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7.xml" ContentType="application/vnd.ms-excel.threadedcomments+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Ally Marketing\Resource page updates\Project Documents\"/>
    </mc:Choice>
  </mc:AlternateContent>
  <xr:revisionPtr revIDLastSave="0" documentId="8_{95F194EF-95B3-4884-9C85-E03B652F9C7C}" xr6:coauthVersionLast="47" xr6:coauthVersionMax="47" xr10:uidLastSave="{00000000-0000-0000-0000-000000000000}"/>
  <workbookProtection workbookAlgorithmName="SHA-512" workbookHashValue="iKTgFeMus6lJ7fwS+FS9LEo3NRKkuDpSQHlyAmuufs6IsC+DHXZLnKMoYpNYYQZWGDUgVCWzeTue54Xko8Yv3g==" workbookSaltValue="kkukNcUMc1YbfH5W+vgDmg==" workbookSpinCount="100000" lockStructure="1"/>
  <bookViews>
    <workbookView xWindow="-120" yWindow="-120" windowWidth="29040" windowHeight="15720" tabRatio="882" xr2:uid="{14CEE6D6-8854-4A86-AD58-3F44B2B555F7}"/>
  </bookViews>
  <sheets>
    <sheet name="Project Details" sheetId="28" r:id="rId1"/>
    <sheet name="Dashboard_FS" sheetId="11" state="hidden" r:id="rId2"/>
    <sheet name="Dashboard_EE" sheetId="23" state="hidden" r:id="rId3"/>
    <sheet name="Form Lookups" sheetId="27" state="hidden" r:id="rId4"/>
    <sheet name="Heating and Cooling Zip Codes" sheetId="26" state="hidden" r:id="rId5"/>
    <sheet name="Algorithms_FS" sheetId="2" state="hidden" r:id="rId6"/>
    <sheet name="Backup_FS" sheetId="12" state="hidden" r:id="rId7"/>
    <sheet name="Algorithms_EE" sheetId="24" state="hidden" r:id="rId8"/>
    <sheet name="Backup_EE" sheetId="25" state="hidden" r:id="rId9"/>
    <sheet name="CZ Inputs" sheetId="3" state="hidden" r:id="rId10"/>
    <sheet name="Rates -&gt;" sheetId="10" state="hidden" r:id="rId11"/>
    <sheet name="Electric Rates" sheetId="6" state="hidden" r:id="rId12"/>
    <sheet name="Gas Rates" sheetId="9" state="hidden" r:id="rId13"/>
    <sheet name="Rate Sheet Input" sheetId="20" state="hidden" r:id="rId14"/>
  </sheets>
  <externalReferences>
    <externalReference r:id="rId15"/>
    <externalReference r:id="rId16"/>
    <externalReference r:id="rId17"/>
    <externalReference r:id="rId18"/>
    <externalReference r:id="rId19"/>
  </externalReferences>
  <definedNames>
    <definedName name="_xlnm._FilterDatabase" localSheetId="7" hidden="1">Algorithms_EE!$A$1:$J$586</definedName>
    <definedName name="_xlnm._FilterDatabase" localSheetId="5" hidden="1">Algorithms_FS!$A$1:$J$910</definedName>
    <definedName name="_xlnm._FilterDatabase" localSheetId="9" hidden="1">'CZ Inputs'!$A$1:$G$403</definedName>
    <definedName name="_xlnm._FilterDatabase" localSheetId="13" hidden="1">'Rate Sheet Input'!$B$5:$AJ$634</definedName>
    <definedName name="Baseline">[1]Lookups!$H$91:$I$93</definedName>
    <definedName name="BldgList">[1]Lookups!$B$18:$B$41</definedName>
    <definedName name="BldgTypes">[2]MeasureList!$B$36</definedName>
    <definedName name="BldSysArray" localSheetId="3">#REF!</definedName>
    <definedName name="BldSysArray" localSheetId="4">#REF!</definedName>
    <definedName name="BldSysArray" localSheetId="0">#REF!</definedName>
    <definedName name="BldSysArray">#REF!</definedName>
    <definedName name="BuildingType">[1]Lookups!$A$18:$P$41</definedName>
    <definedName name="BuildingType2">[1]Lookups!$B$18:$P$41</definedName>
    <definedName name="BuildingType2Cols">[1]Lookups!$B$16:$M$16</definedName>
    <definedName name="BuildingTypeDD">[1]Lookups!$A$18:$A$41</definedName>
    <definedName name="BuildingTypes">'[3]Lookup Info'!$F$2:$F$34</definedName>
    <definedName name="ClimateZone">[1]Lookups!$B$70:$G$86</definedName>
    <definedName name="CoincidentDiversity">'[3]Lookup Info'!$R$2:$R$4</definedName>
    <definedName name="CZWtsCol">'[1]Weighting Factors'!$AK$6:$BA$6</definedName>
    <definedName name="DetailMeasure">'[3]Lookup Info'!#REF!</definedName>
    <definedName name="DIM">'[3]Lookup Info'!$V$2:$V$25</definedName>
    <definedName name="DmdModCZArray">[1]DmdModTable!$B$5:$R$5</definedName>
    <definedName name="DmdModTable">[1]DmdModTable!$B$7:$R$29</definedName>
    <definedName name="EndUse">'[3]CPUC End Use'!$B$3:$B$17</definedName>
    <definedName name="EULID">'[3]Lookup Info'!$AK$2:$AK$204</definedName>
    <definedName name="HVAC_Type">'[3]Lookup Info'!$AH$2:$AH$31</definedName>
    <definedName name="IE_Tech">'[3]Lookup Info'!$T$2:$T$4</definedName>
    <definedName name="IETable" localSheetId="3">#REF!</definedName>
    <definedName name="IETable" localSheetId="4">#REF!</definedName>
    <definedName name="IETable" localSheetId="0">#REF!</definedName>
    <definedName name="IETable">#REF!</definedName>
    <definedName name="InteractiveEffects">'[3]Lookup Info'!$N$2:$N$4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_UtilityHVACWtsTbl">[4]Lookups!$F$20:$G$29</definedName>
    <definedName name="Loadshapes">'[3]Lookup Info'!$A$2:$A$62</definedName>
    <definedName name="Measure">[1]Lookups!$B$57:$F$62</definedName>
    <definedName name="MeasureStatus">'[3]Lookup Info'!$AA$2:$AA$4</definedName>
    <definedName name="MeasureSummary">'[3]Lookup Info'!$AC$2:$AC$4</definedName>
    <definedName name="OLE_LINK1" localSheetId="3">#REF!</definedName>
    <definedName name="OLE_LINK1" localSheetId="4">#REF!</definedName>
    <definedName name="OLE_LINK1" localSheetId="0">#REF!</definedName>
    <definedName name="OLE_LINK1">#REF!</definedName>
    <definedName name="OperatingHours">'[3]Lookup Info'!$P$2:$P$14</definedName>
    <definedName name="_xlnm.Print_Area" localSheetId="11">'Electric Rates'!$A$1:$G$37,'Electric Rates'!#REF!,'Electric Rates'!#REF!</definedName>
    <definedName name="_xlnm.Print_Area" localSheetId="0">'Project Details'!$B$1:$AK$55</definedName>
    <definedName name="_xlnm.Print_Titles" localSheetId="11">'Electric Rates'!$A:$B</definedName>
    <definedName name="ProgramType">'[3]Lookup Info'!$C$2:$C$5</definedName>
    <definedName name="RatesForCAD" localSheetId="3">#REF!</definedName>
    <definedName name="RatesForCAD" localSheetId="4">#REF!</definedName>
    <definedName name="RatesForCAD" localSheetId="0">#REF!</definedName>
    <definedName name="RatesForCAD" localSheetId="13">'Rate Sheet Input'!$AO$5:$BR$634</definedName>
    <definedName name="RatesForCAD">#REF!</definedName>
    <definedName name="ResultType2">[1]Lookups!$A$110:$B$112</definedName>
    <definedName name="superrange" localSheetId="3">#REF!</definedName>
    <definedName name="superrange" localSheetId="4">#REF!</definedName>
    <definedName name="superrange" localSheetId="0">#REF!</definedName>
    <definedName name="superrange">#REF!</definedName>
    <definedName name="SystemType">[1]Lookups!$A$116:$C$126</definedName>
    <definedName name="SystemTypeDD">[1]Lookups!$A$116:$A$125</definedName>
    <definedName name="SysWtsCol">'[1]Weighting Factors'!$D$7:$P$7</definedName>
    <definedName name="TableResults">[1]Results!$B$22:$M$72</definedName>
    <definedName name="Test">[5]WP!#REF!</definedName>
    <definedName name="TestRange">[5]WP!#REF!</definedName>
    <definedName name="Utility">[1]Lookups!$A$3:$C$6</definedName>
    <definedName name="Vintage">[1]Lookups!$A$47:$G$48</definedName>
    <definedName name="VintageDD">[1]Lookups!$A$47:$A$48</definedName>
    <definedName name="YesNo">'[3]Lookup Info'!$Y$2:$Y$3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3" l="1"/>
  <c r="A36" i="3"/>
  <c r="A35" i="3"/>
  <c r="A34" i="3"/>
  <c r="A33" i="3"/>
  <c r="A32" i="3"/>
  <c r="A55" i="3"/>
  <c r="A54" i="3"/>
  <c r="A53" i="3"/>
  <c r="A52" i="3"/>
  <c r="A51" i="3"/>
  <c r="A50" i="3"/>
  <c r="A49" i="3"/>
  <c r="A48" i="3"/>
  <c r="A47" i="3"/>
  <c r="A46" i="3"/>
  <c r="A45" i="3"/>
  <c r="A44" i="3"/>
  <c r="F219" i="2"/>
  <c r="F196" i="2"/>
  <c r="F210" i="2" s="1"/>
  <c r="F194" i="2" l="1"/>
  <c r="M7" i="27"/>
  <c r="M6" i="27"/>
  <c r="M5" i="27"/>
  <c r="M4" i="27"/>
  <c r="M3" i="27"/>
  <c r="G3" i="11"/>
  <c r="G3" i="23"/>
  <c r="AR635" i="20"/>
  <c r="AS635" i="20"/>
  <c r="AT635" i="20"/>
  <c r="AU635" i="20"/>
  <c r="AV635" i="20"/>
  <c r="AW635" i="20"/>
  <c r="AX635" i="20"/>
  <c r="AY635" i="20"/>
  <c r="AZ635" i="20"/>
  <c r="BA635" i="20"/>
  <c r="BB635" i="20"/>
  <c r="BC635" i="20"/>
  <c r="BD635" i="20"/>
  <c r="BE635" i="20"/>
  <c r="BF635" i="20"/>
  <c r="BG635" i="20"/>
  <c r="BH635" i="20"/>
  <c r="BI635" i="20"/>
  <c r="BJ635" i="20"/>
  <c r="BK635" i="20"/>
  <c r="BL635" i="20"/>
  <c r="BM635" i="20"/>
  <c r="BN635" i="20"/>
  <c r="BO635" i="20"/>
  <c r="BP635" i="20"/>
  <c r="BQ635" i="20"/>
  <c r="BR635" i="20"/>
  <c r="AR636" i="20"/>
  <c r="AS636" i="20"/>
  <c r="AT636" i="20"/>
  <c r="AU636" i="20"/>
  <c r="AV636" i="20"/>
  <c r="AW636" i="20"/>
  <c r="AX636" i="20"/>
  <c r="AY636" i="20"/>
  <c r="AZ636" i="20"/>
  <c r="BA636" i="20"/>
  <c r="BB636" i="20"/>
  <c r="BC636" i="20"/>
  <c r="BD636" i="20"/>
  <c r="BE636" i="20"/>
  <c r="BF636" i="20"/>
  <c r="BG636" i="20"/>
  <c r="BH636" i="20"/>
  <c r="BI636" i="20"/>
  <c r="BJ636" i="20"/>
  <c r="BK636" i="20"/>
  <c r="BL636" i="20"/>
  <c r="BM636" i="20"/>
  <c r="BN636" i="20"/>
  <c r="BO636" i="20"/>
  <c r="BP636" i="20"/>
  <c r="BQ636" i="20"/>
  <c r="BR636" i="20"/>
  <c r="AR637" i="20"/>
  <c r="AS637" i="20"/>
  <c r="AT637" i="20"/>
  <c r="AU637" i="20"/>
  <c r="AV637" i="20"/>
  <c r="AW637" i="20"/>
  <c r="AX637" i="20"/>
  <c r="AY637" i="20"/>
  <c r="AZ637" i="20"/>
  <c r="BA637" i="20"/>
  <c r="BB637" i="20"/>
  <c r="BC637" i="20"/>
  <c r="BD637" i="20"/>
  <c r="BE637" i="20"/>
  <c r="BF637" i="20"/>
  <c r="BG637" i="20"/>
  <c r="BH637" i="20"/>
  <c r="BI637" i="20"/>
  <c r="BJ637" i="20"/>
  <c r="BK637" i="20"/>
  <c r="BL637" i="20"/>
  <c r="BM637" i="20"/>
  <c r="BN637" i="20"/>
  <c r="BO637" i="20"/>
  <c r="BP637" i="20"/>
  <c r="BQ637" i="20"/>
  <c r="BR637" i="20"/>
  <c r="AR638" i="20"/>
  <c r="AS638" i="20"/>
  <c r="AT638" i="20"/>
  <c r="AU638" i="20"/>
  <c r="AV638" i="20"/>
  <c r="AW638" i="20"/>
  <c r="AX638" i="20"/>
  <c r="AY638" i="20"/>
  <c r="AZ638" i="20"/>
  <c r="BA638" i="20"/>
  <c r="BB638" i="20"/>
  <c r="BC638" i="20"/>
  <c r="BD638" i="20"/>
  <c r="BE638" i="20"/>
  <c r="BF638" i="20"/>
  <c r="BG638" i="20"/>
  <c r="BH638" i="20"/>
  <c r="BI638" i="20"/>
  <c r="BJ638" i="20"/>
  <c r="BK638" i="20"/>
  <c r="BL638" i="20"/>
  <c r="BM638" i="20"/>
  <c r="BN638" i="20"/>
  <c r="BO638" i="20"/>
  <c r="BP638" i="20"/>
  <c r="BQ638" i="20"/>
  <c r="BR638" i="20"/>
  <c r="AR639" i="20"/>
  <c r="AS639" i="20"/>
  <c r="AT639" i="20"/>
  <c r="AU639" i="20"/>
  <c r="AV639" i="20"/>
  <c r="AW639" i="20"/>
  <c r="AX639" i="20"/>
  <c r="AY639" i="20"/>
  <c r="AZ639" i="20"/>
  <c r="BA639" i="20"/>
  <c r="BB639" i="20"/>
  <c r="BC639" i="20"/>
  <c r="BD639" i="20"/>
  <c r="BE639" i="20"/>
  <c r="BF639" i="20"/>
  <c r="BG639" i="20"/>
  <c r="BH639" i="20"/>
  <c r="BI639" i="20"/>
  <c r="BJ639" i="20"/>
  <c r="BK639" i="20"/>
  <c r="BL639" i="20"/>
  <c r="BM639" i="20"/>
  <c r="BN639" i="20"/>
  <c r="BO639" i="20"/>
  <c r="BP639" i="20"/>
  <c r="BQ639" i="20"/>
  <c r="BR639" i="20"/>
  <c r="AR640" i="20"/>
  <c r="AS640" i="20"/>
  <c r="AT640" i="20"/>
  <c r="AU640" i="20"/>
  <c r="AV640" i="20"/>
  <c r="AW640" i="20"/>
  <c r="AX640" i="20"/>
  <c r="AY640" i="20"/>
  <c r="AZ640" i="20"/>
  <c r="BA640" i="20"/>
  <c r="BB640" i="20"/>
  <c r="BC640" i="20"/>
  <c r="BD640" i="20"/>
  <c r="BE640" i="20"/>
  <c r="BF640" i="20"/>
  <c r="BG640" i="20"/>
  <c r="BH640" i="20"/>
  <c r="BI640" i="20"/>
  <c r="BJ640" i="20"/>
  <c r="BK640" i="20"/>
  <c r="BL640" i="20"/>
  <c r="BM640" i="20"/>
  <c r="BN640" i="20"/>
  <c r="BO640" i="20"/>
  <c r="BP640" i="20"/>
  <c r="BQ640" i="20"/>
  <c r="BR640" i="20"/>
  <c r="AR641" i="20"/>
  <c r="AS641" i="20"/>
  <c r="AT641" i="20"/>
  <c r="AU641" i="20"/>
  <c r="AV641" i="20"/>
  <c r="AW641" i="20"/>
  <c r="AX641" i="20"/>
  <c r="AY641" i="20"/>
  <c r="AZ641" i="20"/>
  <c r="BA641" i="20"/>
  <c r="BB641" i="20"/>
  <c r="BC641" i="20"/>
  <c r="BD641" i="20"/>
  <c r="BE641" i="20"/>
  <c r="BF641" i="20"/>
  <c r="BG641" i="20"/>
  <c r="BH641" i="20"/>
  <c r="BI641" i="20"/>
  <c r="BJ641" i="20"/>
  <c r="BK641" i="20"/>
  <c r="BL641" i="20"/>
  <c r="BM641" i="20"/>
  <c r="BN641" i="20"/>
  <c r="BO641" i="20"/>
  <c r="BP641" i="20"/>
  <c r="BQ641" i="20"/>
  <c r="BR641" i="20"/>
  <c r="AR642" i="20"/>
  <c r="AS642" i="20"/>
  <c r="AT642" i="20"/>
  <c r="AU642" i="20"/>
  <c r="AV642" i="20"/>
  <c r="AW642" i="20"/>
  <c r="AX642" i="20"/>
  <c r="AY642" i="20"/>
  <c r="AZ642" i="20"/>
  <c r="BA642" i="20"/>
  <c r="BB642" i="20"/>
  <c r="BC642" i="20"/>
  <c r="BD642" i="20"/>
  <c r="BE642" i="20"/>
  <c r="BF642" i="20"/>
  <c r="BG642" i="20"/>
  <c r="BH642" i="20"/>
  <c r="BI642" i="20"/>
  <c r="BJ642" i="20"/>
  <c r="BK642" i="20"/>
  <c r="BL642" i="20"/>
  <c r="BM642" i="20"/>
  <c r="BN642" i="20"/>
  <c r="BO642" i="20"/>
  <c r="BP642" i="20"/>
  <c r="BQ642" i="20"/>
  <c r="BR642" i="20"/>
  <c r="AR643" i="20"/>
  <c r="AS643" i="20"/>
  <c r="AT643" i="20"/>
  <c r="AU643" i="20"/>
  <c r="AV643" i="20"/>
  <c r="AW643" i="20"/>
  <c r="AX643" i="20"/>
  <c r="AY643" i="20"/>
  <c r="AZ643" i="20"/>
  <c r="BA643" i="20"/>
  <c r="BB643" i="20"/>
  <c r="BC643" i="20"/>
  <c r="BD643" i="20"/>
  <c r="BE643" i="20"/>
  <c r="BF643" i="20"/>
  <c r="BG643" i="20"/>
  <c r="BH643" i="20"/>
  <c r="BI643" i="20"/>
  <c r="BJ643" i="20"/>
  <c r="BK643" i="20"/>
  <c r="BL643" i="20"/>
  <c r="BM643" i="20"/>
  <c r="BN643" i="20"/>
  <c r="BO643" i="20"/>
  <c r="BP643" i="20"/>
  <c r="BQ643" i="20"/>
  <c r="BR643" i="20"/>
  <c r="AR644" i="20"/>
  <c r="AS644" i="20"/>
  <c r="AT644" i="20"/>
  <c r="AU644" i="20"/>
  <c r="AV644" i="20"/>
  <c r="AW644" i="20"/>
  <c r="AX644" i="20"/>
  <c r="AY644" i="20"/>
  <c r="AZ644" i="20"/>
  <c r="BA644" i="20"/>
  <c r="BB644" i="20"/>
  <c r="BC644" i="20"/>
  <c r="BD644" i="20"/>
  <c r="BE644" i="20"/>
  <c r="BF644" i="20"/>
  <c r="BG644" i="20"/>
  <c r="BH644" i="20"/>
  <c r="BI644" i="20"/>
  <c r="BJ644" i="20"/>
  <c r="BK644" i="20"/>
  <c r="BL644" i="20"/>
  <c r="BM644" i="20"/>
  <c r="BN644" i="20"/>
  <c r="BO644" i="20"/>
  <c r="BP644" i="20"/>
  <c r="BQ644" i="20"/>
  <c r="BR644" i="20"/>
  <c r="AR645" i="20"/>
  <c r="AS645" i="20"/>
  <c r="AT645" i="20"/>
  <c r="AU645" i="20"/>
  <c r="AV645" i="20"/>
  <c r="AW645" i="20"/>
  <c r="AX645" i="20"/>
  <c r="AY645" i="20"/>
  <c r="AZ645" i="20"/>
  <c r="BA645" i="20"/>
  <c r="BB645" i="20"/>
  <c r="BC645" i="20"/>
  <c r="BD645" i="20"/>
  <c r="BE645" i="20"/>
  <c r="BF645" i="20"/>
  <c r="BG645" i="20"/>
  <c r="BH645" i="20"/>
  <c r="BI645" i="20"/>
  <c r="BJ645" i="20"/>
  <c r="BK645" i="20"/>
  <c r="BL645" i="20"/>
  <c r="BM645" i="20"/>
  <c r="BN645" i="20"/>
  <c r="BO645" i="20"/>
  <c r="BP645" i="20"/>
  <c r="BQ645" i="20"/>
  <c r="BR645" i="20"/>
  <c r="AR646" i="20"/>
  <c r="AS646" i="20"/>
  <c r="AT646" i="20"/>
  <c r="AU646" i="20"/>
  <c r="AV646" i="20"/>
  <c r="AW646" i="20"/>
  <c r="AX646" i="20"/>
  <c r="AY646" i="20"/>
  <c r="AZ646" i="20"/>
  <c r="BA646" i="20"/>
  <c r="BB646" i="20"/>
  <c r="BC646" i="20"/>
  <c r="BD646" i="20"/>
  <c r="BE646" i="20"/>
  <c r="BF646" i="20"/>
  <c r="BG646" i="20"/>
  <c r="BH646" i="20"/>
  <c r="BI646" i="20"/>
  <c r="BJ646" i="20"/>
  <c r="BK646" i="20"/>
  <c r="BL646" i="20"/>
  <c r="BM646" i="20"/>
  <c r="BN646" i="20"/>
  <c r="BO646" i="20"/>
  <c r="BP646" i="20"/>
  <c r="BQ646" i="20"/>
  <c r="BR646" i="20"/>
  <c r="AR647" i="20"/>
  <c r="AS647" i="20"/>
  <c r="AT647" i="20"/>
  <c r="AU647" i="20"/>
  <c r="AV647" i="20"/>
  <c r="AW647" i="20"/>
  <c r="AX647" i="20"/>
  <c r="AY647" i="20"/>
  <c r="AZ647" i="20"/>
  <c r="BA647" i="20"/>
  <c r="BB647" i="20"/>
  <c r="BC647" i="20"/>
  <c r="BD647" i="20"/>
  <c r="BE647" i="20"/>
  <c r="BF647" i="20"/>
  <c r="BG647" i="20"/>
  <c r="BH647" i="20"/>
  <c r="BI647" i="20"/>
  <c r="BJ647" i="20"/>
  <c r="BK647" i="20"/>
  <c r="BL647" i="20"/>
  <c r="BM647" i="20"/>
  <c r="BN647" i="20"/>
  <c r="BO647" i="20"/>
  <c r="BP647" i="20"/>
  <c r="BQ647" i="20"/>
  <c r="BR647" i="20"/>
  <c r="AR648" i="20"/>
  <c r="AS648" i="20"/>
  <c r="AT648" i="20"/>
  <c r="AU648" i="20"/>
  <c r="AV648" i="20"/>
  <c r="AW648" i="20"/>
  <c r="AX648" i="20"/>
  <c r="AY648" i="20"/>
  <c r="AZ648" i="20"/>
  <c r="BA648" i="20"/>
  <c r="BB648" i="20"/>
  <c r="BC648" i="20"/>
  <c r="BD648" i="20"/>
  <c r="BE648" i="20"/>
  <c r="BF648" i="20"/>
  <c r="BG648" i="20"/>
  <c r="BH648" i="20"/>
  <c r="BI648" i="20"/>
  <c r="BJ648" i="20"/>
  <c r="BK648" i="20"/>
  <c r="BL648" i="20"/>
  <c r="BM648" i="20"/>
  <c r="BN648" i="20"/>
  <c r="BO648" i="20"/>
  <c r="BP648" i="20"/>
  <c r="BQ648" i="20"/>
  <c r="BR648" i="20"/>
  <c r="AR649" i="20"/>
  <c r="AS649" i="20"/>
  <c r="AT649" i="20"/>
  <c r="AU649" i="20"/>
  <c r="AV649" i="20"/>
  <c r="AW649" i="20"/>
  <c r="AX649" i="20"/>
  <c r="AY649" i="20"/>
  <c r="AZ649" i="20"/>
  <c r="BA649" i="20"/>
  <c r="BB649" i="20"/>
  <c r="BC649" i="20"/>
  <c r="BD649" i="20"/>
  <c r="BE649" i="20"/>
  <c r="BF649" i="20"/>
  <c r="BG649" i="20"/>
  <c r="BH649" i="20"/>
  <c r="BI649" i="20"/>
  <c r="BJ649" i="20"/>
  <c r="BK649" i="20"/>
  <c r="BL649" i="20"/>
  <c r="BM649" i="20"/>
  <c r="BN649" i="20"/>
  <c r="BO649" i="20"/>
  <c r="BP649" i="20"/>
  <c r="BQ649" i="20"/>
  <c r="BR649" i="20"/>
  <c r="AR650" i="20"/>
  <c r="AS650" i="20"/>
  <c r="AT650" i="20"/>
  <c r="AU650" i="20"/>
  <c r="AV650" i="20"/>
  <c r="AW650" i="20"/>
  <c r="AX650" i="20"/>
  <c r="AY650" i="20"/>
  <c r="AZ650" i="20"/>
  <c r="BA650" i="20"/>
  <c r="BB650" i="20"/>
  <c r="BC650" i="20"/>
  <c r="BD650" i="20"/>
  <c r="BE650" i="20"/>
  <c r="BF650" i="20"/>
  <c r="BG650" i="20"/>
  <c r="BH650" i="20"/>
  <c r="BI650" i="20"/>
  <c r="BJ650" i="20"/>
  <c r="BK650" i="20"/>
  <c r="BL650" i="20"/>
  <c r="BM650" i="20"/>
  <c r="BN650" i="20"/>
  <c r="BO650" i="20"/>
  <c r="BP650" i="20"/>
  <c r="BQ650" i="20"/>
  <c r="BR650" i="20"/>
  <c r="AR651" i="20"/>
  <c r="AS651" i="20"/>
  <c r="AT651" i="20"/>
  <c r="AU651" i="20"/>
  <c r="AV651" i="20"/>
  <c r="AW651" i="20"/>
  <c r="AX651" i="20"/>
  <c r="AY651" i="20"/>
  <c r="AZ651" i="20"/>
  <c r="BA651" i="20"/>
  <c r="BB651" i="20"/>
  <c r="BC651" i="20"/>
  <c r="BD651" i="20"/>
  <c r="BE651" i="20"/>
  <c r="BF651" i="20"/>
  <c r="BG651" i="20"/>
  <c r="BH651" i="20"/>
  <c r="BI651" i="20"/>
  <c r="BJ651" i="20"/>
  <c r="BK651" i="20"/>
  <c r="BL651" i="20"/>
  <c r="BM651" i="20"/>
  <c r="BN651" i="20"/>
  <c r="BO651" i="20"/>
  <c r="BP651" i="20"/>
  <c r="BQ651" i="20"/>
  <c r="BR651" i="20"/>
  <c r="AR652" i="20"/>
  <c r="AS652" i="20"/>
  <c r="AT652" i="20"/>
  <c r="AU652" i="20"/>
  <c r="AV652" i="20"/>
  <c r="AW652" i="20"/>
  <c r="AX652" i="20"/>
  <c r="AY652" i="20"/>
  <c r="AZ652" i="20"/>
  <c r="BA652" i="20"/>
  <c r="BB652" i="20"/>
  <c r="BC652" i="20"/>
  <c r="BD652" i="20"/>
  <c r="BE652" i="20"/>
  <c r="BF652" i="20"/>
  <c r="BG652" i="20"/>
  <c r="BH652" i="20"/>
  <c r="BI652" i="20"/>
  <c r="BJ652" i="20"/>
  <c r="BK652" i="20"/>
  <c r="BL652" i="20"/>
  <c r="BM652" i="20"/>
  <c r="BN652" i="20"/>
  <c r="BO652" i="20"/>
  <c r="BP652" i="20"/>
  <c r="BQ652" i="20"/>
  <c r="BR652" i="20"/>
  <c r="AR653" i="20"/>
  <c r="AS653" i="20"/>
  <c r="AT653" i="20"/>
  <c r="AU653" i="20"/>
  <c r="AV653" i="20"/>
  <c r="AW653" i="20"/>
  <c r="AX653" i="20"/>
  <c r="AY653" i="20"/>
  <c r="AZ653" i="20"/>
  <c r="BA653" i="20"/>
  <c r="BB653" i="20"/>
  <c r="BC653" i="20"/>
  <c r="BD653" i="20"/>
  <c r="BE653" i="20"/>
  <c r="BF653" i="20"/>
  <c r="BG653" i="20"/>
  <c r="BH653" i="20"/>
  <c r="BI653" i="20"/>
  <c r="BJ653" i="20"/>
  <c r="BK653" i="20"/>
  <c r="BL653" i="20"/>
  <c r="BM653" i="20"/>
  <c r="BN653" i="20"/>
  <c r="BO653" i="20"/>
  <c r="BP653" i="20"/>
  <c r="BQ653" i="20"/>
  <c r="BR653" i="20"/>
  <c r="AR654" i="20"/>
  <c r="AS654" i="20"/>
  <c r="AT654" i="20"/>
  <c r="AU654" i="20"/>
  <c r="AV654" i="20"/>
  <c r="AW654" i="20"/>
  <c r="AX654" i="20"/>
  <c r="AY654" i="20"/>
  <c r="AZ654" i="20"/>
  <c r="BA654" i="20"/>
  <c r="BB654" i="20"/>
  <c r="BC654" i="20"/>
  <c r="BD654" i="20"/>
  <c r="BE654" i="20"/>
  <c r="BF654" i="20"/>
  <c r="BG654" i="20"/>
  <c r="BH654" i="20"/>
  <c r="BI654" i="20"/>
  <c r="BJ654" i="20"/>
  <c r="BK654" i="20"/>
  <c r="BL654" i="20"/>
  <c r="BM654" i="20"/>
  <c r="BN654" i="20"/>
  <c r="BO654" i="20"/>
  <c r="BP654" i="20"/>
  <c r="BQ654" i="20"/>
  <c r="BR654" i="20"/>
  <c r="AR655" i="20"/>
  <c r="AS655" i="20"/>
  <c r="AT655" i="20"/>
  <c r="AU655" i="20"/>
  <c r="AV655" i="20"/>
  <c r="AW655" i="20"/>
  <c r="AX655" i="20"/>
  <c r="AY655" i="20"/>
  <c r="AZ655" i="20"/>
  <c r="BA655" i="20"/>
  <c r="BB655" i="20"/>
  <c r="BC655" i="20"/>
  <c r="BD655" i="20"/>
  <c r="BE655" i="20"/>
  <c r="BF655" i="20"/>
  <c r="BG655" i="20"/>
  <c r="BH655" i="20"/>
  <c r="BI655" i="20"/>
  <c r="BJ655" i="20"/>
  <c r="BK655" i="20"/>
  <c r="BL655" i="20"/>
  <c r="BM655" i="20"/>
  <c r="BN655" i="20"/>
  <c r="BO655" i="20"/>
  <c r="BP655" i="20"/>
  <c r="BQ655" i="20"/>
  <c r="BR655" i="20"/>
  <c r="AR656" i="20"/>
  <c r="AS656" i="20"/>
  <c r="AT656" i="20"/>
  <c r="AU656" i="20"/>
  <c r="AV656" i="20"/>
  <c r="AW656" i="20"/>
  <c r="AX656" i="20"/>
  <c r="AY656" i="20"/>
  <c r="AZ656" i="20"/>
  <c r="BA656" i="20"/>
  <c r="BB656" i="20"/>
  <c r="BC656" i="20"/>
  <c r="BD656" i="20"/>
  <c r="BE656" i="20"/>
  <c r="BF656" i="20"/>
  <c r="BG656" i="20"/>
  <c r="BH656" i="20"/>
  <c r="BI656" i="20"/>
  <c r="BJ656" i="20"/>
  <c r="BK656" i="20"/>
  <c r="BL656" i="20"/>
  <c r="BM656" i="20"/>
  <c r="BN656" i="20"/>
  <c r="BO656" i="20"/>
  <c r="BP656" i="20"/>
  <c r="BQ656" i="20"/>
  <c r="BR656" i="20"/>
  <c r="AR657" i="20"/>
  <c r="AS657" i="20"/>
  <c r="AT657" i="20"/>
  <c r="AU657" i="20"/>
  <c r="AV657" i="20"/>
  <c r="AW657" i="20"/>
  <c r="AX657" i="20"/>
  <c r="AY657" i="20"/>
  <c r="AZ657" i="20"/>
  <c r="BA657" i="20"/>
  <c r="BB657" i="20"/>
  <c r="BC657" i="20"/>
  <c r="BD657" i="20"/>
  <c r="BE657" i="20"/>
  <c r="BF657" i="20"/>
  <c r="BG657" i="20"/>
  <c r="BH657" i="20"/>
  <c r="BI657" i="20"/>
  <c r="BJ657" i="20"/>
  <c r="BK657" i="20"/>
  <c r="BL657" i="20"/>
  <c r="BM657" i="20"/>
  <c r="BN657" i="20"/>
  <c r="BO657" i="20"/>
  <c r="BP657" i="20"/>
  <c r="BQ657" i="20"/>
  <c r="BR657" i="20"/>
  <c r="AR658" i="20"/>
  <c r="AS658" i="20"/>
  <c r="AT658" i="20"/>
  <c r="AU658" i="20"/>
  <c r="AV658" i="20"/>
  <c r="AW658" i="20"/>
  <c r="AX658" i="20"/>
  <c r="AY658" i="20"/>
  <c r="AZ658" i="20"/>
  <c r="BA658" i="20"/>
  <c r="BB658" i="20"/>
  <c r="BC658" i="20"/>
  <c r="BD658" i="20"/>
  <c r="BE658" i="20"/>
  <c r="BF658" i="20"/>
  <c r="BG658" i="20"/>
  <c r="BH658" i="20"/>
  <c r="BI658" i="20"/>
  <c r="BJ658" i="20"/>
  <c r="BK658" i="20"/>
  <c r="BL658" i="20"/>
  <c r="BM658" i="20"/>
  <c r="BN658" i="20"/>
  <c r="BO658" i="20"/>
  <c r="BP658" i="20"/>
  <c r="BQ658" i="20"/>
  <c r="BR658" i="20"/>
  <c r="AR659" i="20"/>
  <c r="AS659" i="20"/>
  <c r="AT659" i="20"/>
  <c r="AU659" i="20"/>
  <c r="AV659" i="20"/>
  <c r="AW659" i="20"/>
  <c r="AX659" i="20"/>
  <c r="AY659" i="20"/>
  <c r="AZ659" i="20"/>
  <c r="BA659" i="20"/>
  <c r="BB659" i="20"/>
  <c r="BC659" i="20"/>
  <c r="BD659" i="20"/>
  <c r="BE659" i="20"/>
  <c r="BF659" i="20"/>
  <c r="BG659" i="20"/>
  <c r="BH659" i="20"/>
  <c r="BI659" i="20"/>
  <c r="BJ659" i="20"/>
  <c r="BK659" i="20"/>
  <c r="BL659" i="20"/>
  <c r="BM659" i="20"/>
  <c r="BN659" i="20"/>
  <c r="BO659" i="20"/>
  <c r="BP659" i="20"/>
  <c r="BQ659" i="20"/>
  <c r="BR659" i="20"/>
  <c r="AR660" i="20"/>
  <c r="AS660" i="20"/>
  <c r="AT660" i="20"/>
  <c r="AU660" i="20"/>
  <c r="AV660" i="20"/>
  <c r="AW660" i="20"/>
  <c r="AX660" i="20"/>
  <c r="AY660" i="20"/>
  <c r="AZ660" i="20"/>
  <c r="BA660" i="20"/>
  <c r="BB660" i="20"/>
  <c r="BC660" i="20"/>
  <c r="BD660" i="20"/>
  <c r="BE660" i="20"/>
  <c r="BF660" i="20"/>
  <c r="BG660" i="20"/>
  <c r="BH660" i="20"/>
  <c r="BI660" i="20"/>
  <c r="BJ660" i="20"/>
  <c r="BK660" i="20"/>
  <c r="BL660" i="20"/>
  <c r="BM660" i="20"/>
  <c r="BN660" i="20"/>
  <c r="BO660" i="20"/>
  <c r="BP660" i="20"/>
  <c r="BQ660" i="20"/>
  <c r="BR660" i="20"/>
  <c r="AR661" i="20"/>
  <c r="AS661" i="20"/>
  <c r="AT661" i="20"/>
  <c r="AU661" i="20"/>
  <c r="AV661" i="20"/>
  <c r="AW661" i="20"/>
  <c r="AX661" i="20"/>
  <c r="AY661" i="20"/>
  <c r="AZ661" i="20"/>
  <c r="BA661" i="20"/>
  <c r="BB661" i="20"/>
  <c r="BC661" i="20"/>
  <c r="BD661" i="20"/>
  <c r="BE661" i="20"/>
  <c r="BF661" i="20"/>
  <c r="BG661" i="20"/>
  <c r="BH661" i="20"/>
  <c r="BI661" i="20"/>
  <c r="BJ661" i="20"/>
  <c r="BK661" i="20"/>
  <c r="BL661" i="20"/>
  <c r="BM661" i="20"/>
  <c r="BN661" i="20"/>
  <c r="BO661" i="20"/>
  <c r="BP661" i="20"/>
  <c r="BQ661" i="20"/>
  <c r="BR661" i="20"/>
  <c r="AR662" i="20"/>
  <c r="AS662" i="20"/>
  <c r="AT662" i="20"/>
  <c r="AU662" i="20"/>
  <c r="AV662" i="20"/>
  <c r="AW662" i="20"/>
  <c r="AX662" i="20"/>
  <c r="AY662" i="20"/>
  <c r="AZ662" i="20"/>
  <c r="BA662" i="20"/>
  <c r="BB662" i="20"/>
  <c r="BC662" i="20"/>
  <c r="BD662" i="20"/>
  <c r="BE662" i="20"/>
  <c r="BF662" i="20"/>
  <c r="BG662" i="20"/>
  <c r="BH662" i="20"/>
  <c r="BI662" i="20"/>
  <c r="BJ662" i="20"/>
  <c r="BK662" i="20"/>
  <c r="BL662" i="20"/>
  <c r="BM662" i="20"/>
  <c r="BN662" i="20"/>
  <c r="BO662" i="20"/>
  <c r="BP662" i="20"/>
  <c r="BQ662" i="20"/>
  <c r="BR662" i="20"/>
  <c r="AQ635" i="20"/>
  <c r="AQ636" i="20"/>
  <c r="AQ637" i="20"/>
  <c r="AQ638" i="20"/>
  <c r="AQ639" i="20"/>
  <c r="AQ640" i="20"/>
  <c r="AQ641" i="20"/>
  <c r="AQ642" i="20"/>
  <c r="AQ643" i="20"/>
  <c r="AQ644" i="20"/>
  <c r="AQ645" i="20"/>
  <c r="AQ646" i="20"/>
  <c r="AQ647" i="20"/>
  <c r="AQ648" i="20"/>
  <c r="AQ649" i="20"/>
  <c r="AQ650" i="20"/>
  <c r="AQ651" i="20"/>
  <c r="AQ652" i="20"/>
  <c r="AQ653" i="20"/>
  <c r="AQ654" i="20"/>
  <c r="AQ655" i="20"/>
  <c r="AQ656" i="20"/>
  <c r="AQ657" i="20"/>
  <c r="AQ658" i="20"/>
  <c r="AQ659" i="20"/>
  <c r="AQ660" i="20"/>
  <c r="AQ661" i="20"/>
  <c r="AQ662" i="20"/>
  <c r="AO635" i="20"/>
  <c r="AO636" i="20"/>
  <c r="AO637" i="20"/>
  <c r="AO638" i="20"/>
  <c r="AO639" i="20"/>
  <c r="AO640" i="20"/>
  <c r="AO641" i="20"/>
  <c r="AO642" i="20"/>
  <c r="AO643" i="20"/>
  <c r="AO644" i="20"/>
  <c r="AO645" i="20"/>
  <c r="AO646" i="20"/>
  <c r="AO647" i="20"/>
  <c r="AO648" i="20"/>
  <c r="AO649" i="20"/>
  <c r="AO650" i="20"/>
  <c r="AO651" i="20"/>
  <c r="AO652" i="20"/>
  <c r="AO653" i="20"/>
  <c r="AO654" i="20"/>
  <c r="AO655" i="20"/>
  <c r="AO656" i="20"/>
  <c r="AO657" i="20"/>
  <c r="AO658" i="20"/>
  <c r="AO659" i="20"/>
  <c r="AO660" i="20"/>
  <c r="AO661" i="20"/>
  <c r="AO662" i="20"/>
  <c r="AL615" i="20"/>
  <c r="AM615" i="20"/>
  <c r="AL616" i="20"/>
  <c r="AM616" i="20"/>
  <c r="AL617" i="20"/>
  <c r="AM617" i="20"/>
  <c r="AL618" i="20"/>
  <c r="AM618" i="20"/>
  <c r="AL619" i="20"/>
  <c r="AM619" i="20"/>
  <c r="AL620" i="20"/>
  <c r="AM620" i="20"/>
  <c r="AL621" i="20"/>
  <c r="AM621" i="20"/>
  <c r="AL622" i="20"/>
  <c r="AM622" i="20"/>
  <c r="AL623" i="20"/>
  <c r="AM623" i="20"/>
  <c r="AL624" i="20"/>
  <c r="AM624" i="20"/>
  <c r="AL625" i="20"/>
  <c r="AM625" i="20"/>
  <c r="AL626" i="20"/>
  <c r="AM626" i="20"/>
  <c r="AL627" i="20"/>
  <c r="AM627" i="20"/>
  <c r="AL628" i="20"/>
  <c r="AM628" i="20"/>
  <c r="AL629" i="20"/>
  <c r="AM629" i="20"/>
  <c r="AL630" i="20"/>
  <c r="AM630" i="20"/>
  <c r="AL631" i="20"/>
  <c r="AM631" i="20"/>
  <c r="AL632" i="20"/>
  <c r="AM632" i="20"/>
  <c r="AL633" i="20"/>
  <c r="AM633" i="20"/>
  <c r="AL634" i="20"/>
  <c r="AM634" i="20"/>
  <c r="AL635" i="20"/>
  <c r="AM635" i="20"/>
  <c r="AL636" i="20"/>
  <c r="AM636" i="20"/>
  <c r="AL637" i="20"/>
  <c r="AM637" i="20"/>
  <c r="AL638" i="20"/>
  <c r="AM638" i="20"/>
  <c r="AL639" i="20"/>
  <c r="AM639" i="20"/>
  <c r="AL640" i="20"/>
  <c r="AM640" i="20"/>
  <c r="AL641" i="20"/>
  <c r="AM641" i="20"/>
  <c r="AL642" i="20"/>
  <c r="AM642" i="20"/>
  <c r="AL643" i="20"/>
  <c r="AM643" i="20"/>
  <c r="AL644" i="20"/>
  <c r="AM644" i="20"/>
  <c r="AL645" i="20"/>
  <c r="AM645" i="20"/>
  <c r="AL646" i="20"/>
  <c r="AM646" i="20"/>
  <c r="AL647" i="20"/>
  <c r="AM647" i="20"/>
  <c r="AL648" i="20"/>
  <c r="AM648" i="20"/>
  <c r="AL649" i="20"/>
  <c r="AM649" i="20"/>
  <c r="AL650" i="20"/>
  <c r="AM650" i="20"/>
  <c r="AL651" i="20"/>
  <c r="AM651" i="20"/>
  <c r="AL652" i="20"/>
  <c r="AM652" i="20"/>
  <c r="AL653" i="20"/>
  <c r="AM653" i="20"/>
  <c r="AL654" i="20"/>
  <c r="AM654" i="20"/>
  <c r="AL655" i="20"/>
  <c r="AM655" i="20"/>
  <c r="AL656" i="20"/>
  <c r="AM656" i="20"/>
  <c r="AL657" i="20"/>
  <c r="AM657" i="20"/>
  <c r="AL658" i="20"/>
  <c r="AM658" i="20"/>
  <c r="AL659" i="20"/>
  <c r="AM659" i="20"/>
  <c r="AL660" i="20"/>
  <c r="AM660" i="20"/>
  <c r="AL661" i="20"/>
  <c r="AM661" i="20"/>
  <c r="AL662" i="20"/>
  <c r="AM662" i="20"/>
  <c r="Y615" i="20"/>
  <c r="Z615" i="20" s="1"/>
  <c r="AA615" i="20" s="1"/>
  <c r="AB615" i="20" s="1"/>
  <c r="AC615" i="20" s="1"/>
  <c r="AD615" i="20" s="1"/>
  <c r="AE615" i="20"/>
  <c r="AF615" i="20" s="1"/>
  <c r="AG615" i="20" s="1"/>
  <c r="AH615" i="20" s="1"/>
  <c r="AI615" i="20" s="1"/>
  <c r="AJ615" i="20" s="1"/>
  <c r="AK615" i="20" s="1"/>
  <c r="Y616" i="20"/>
  <c r="Z616" i="20"/>
  <c r="AA616" i="20" s="1"/>
  <c r="AB616" i="20" s="1"/>
  <c r="AC616" i="20" s="1"/>
  <c r="AD616" i="20" s="1"/>
  <c r="AE616" i="20" s="1"/>
  <c r="AF616" i="20" s="1"/>
  <c r="AG616" i="20" s="1"/>
  <c r="AH616" i="20"/>
  <c r="AI616" i="20" s="1"/>
  <c r="AJ616" i="20" s="1"/>
  <c r="AK616" i="20" s="1"/>
  <c r="Y617" i="20"/>
  <c r="Z617" i="20" s="1"/>
  <c r="AA617" i="20" s="1"/>
  <c r="AB617" i="20" s="1"/>
  <c r="AC617" i="20"/>
  <c r="AD617" i="20" s="1"/>
  <c r="AE617" i="20" s="1"/>
  <c r="AF617" i="20" s="1"/>
  <c r="AG617" i="20" s="1"/>
  <c r="AH617" i="20" s="1"/>
  <c r="AI617" i="20" s="1"/>
  <c r="AJ617" i="20" s="1"/>
  <c r="AK617" i="20" s="1"/>
  <c r="Y618" i="20"/>
  <c r="Z618" i="20" s="1"/>
  <c r="AA618" i="20" s="1"/>
  <c r="AB618" i="20" s="1"/>
  <c r="AC618" i="20" s="1"/>
  <c r="AD618" i="20" s="1"/>
  <c r="AE618" i="20" s="1"/>
  <c r="AF618" i="20" s="1"/>
  <c r="AG618" i="20" s="1"/>
  <c r="AH618" i="20" s="1"/>
  <c r="AI618" i="20" s="1"/>
  <c r="AJ618" i="20" s="1"/>
  <c r="AK618" i="20" s="1"/>
  <c r="Y619" i="20"/>
  <c r="Z619" i="20" s="1"/>
  <c r="AA619" i="20" s="1"/>
  <c r="AB619" i="20" s="1"/>
  <c r="AC619" i="20" s="1"/>
  <c r="AD619" i="20" s="1"/>
  <c r="AE619" i="20" s="1"/>
  <c r="AF619" i="20" s="1"/>
  <c r="AG619" i="20" s="1"/>
  <c r="AH619" i="20" s="1"/>
  <c r="AI619" i="20" s="1"/>
  <c r="AJ619" i="20" s="1"/>
  <c r="AK619" i="20" s="1"/>
  <c r="Y620" i="20"/>
  <c r="Z620" i="20" s="1"/>
  <c r="AA620" i="20" s="1"/>
  <c r="AB620" i="20" s="1"/>
  <c r="AC620" i="20" s="1"/>
  <c r="AD620" i="20" s="1"/>
  <c r="AE620" i="20" s="1"/>
  <c r="AF620" i="20" s="1"/>
  <c r="AG620" i="20" s="1"/>
  <c r="AH620" i="20" s="1"/>
  <c r="AI620" i="20" s="1"/>
  <c r="AJ620" i="20" s="1"/>
  <c r="AK620" i="20" s="1"/>
  <c r="Y621" i="20"/>
  <c r="Z621" i="20" s="1"/>
  <c r="AA621" i="20" s="1"/>
  <c r="AB621" i="20" s="1"/>
  <c r="AC621" i="20" s="1"/>
  <c r="AD621" i="20" s="1"/>
  <c r="AE621" i="20" s="1"/>
  <c r="AF621" i="20" s="1"/>
  <c r="AG621" i="20" s="1"/>
  <c r="AH621" i="20" s="1"/>
  <c r="AI621" i="20" s="1"/>
  <c r="AJ621" i="20" s="1"/>
  <c r="AK621" i="20" s="1"/>
  <c r="Y622" i="20"/>
  <c r="Z622" i="20"/>
  <c r="AA622" i="20" s="1"/>
  <c r="AB622" i="20" s="1"/>
  <c r="AC622" i="20" s="1"/>
  <c r="AD622" i="20" s="1"/>
  <c r="AE622" i="20" s="1"/>
  <c r="AF622" i="20" s="1"/>
  <c r="AG622" i="20" s="1"/>
  <c r="AH622" i="20" s="1"/>
  <c r="AI622" i="20" s="1"/>
  <c r="AJ622" i="20" s="1"/>
  <c r="AK622" i="20" s="1"/>
  <c r="Y623" i="20"/>
  <c r="Z623" i="20"/>
  <c r="AA623" i="20" s="1"/>
  <c r="AB623" i="20" s="1"/>
  <c r="AC623" i="20" s="1"/>
  <c r="AD623" i="20" s="1"/>
  <c r="AE623" i="20" s="1"/>
  <c r="AF623" i="20" s="1"/>
  <c r="AG623" i="20" s="1"/>
  <c r="AH623" i="20" s="1"/>
  <c r="AI623" i="20" s="1"/>
  <c r="AJ623" i="20" s="1"/>
  <c r="AK623" i="20" s="1"/>
  <c r="Y624" i="20"/>
  <c r="Z624" i="20"/>
  <c r="AA624" i="20" s="1"/>
  <c r="AB624" i="20" s="1"/>
  <c r="AC624" i="20" s="1"/>
  <c r="AD624" i="20" s="1"/>
  <c r="AE624" i="20" s="1"/>
  <c r="AF624" i="20" s="1"/>
  <c r="AG624" i="20" s="1"/>
  <c r="AH624" i="20" s="1"/>
  <c r="AI624" i="20" s="1"/>
  <c r="AJ624" i="20" s="1"/>
  <c r="AK624" i="20" s="1"/>
  <c r="Y625" i="20"/>
  <c r="Z625" i="20" s="1"/>
  <c r="AA625" i="20" s="1"/>
  <c r="AB625" i="20" s="1"/>
  <c r="AC625" i="20" s="1"/>
  <c r="AD625" i="20" s="1"/>
  <c r="AE625" i="20" s="1"/>
  <c r="AF625" i="20" s="1"/>
  <c r="AG625" i="20" s="1"/>
  <c r="AH625" i="20" s="1"/>
  <c r="AI625" i="20" s="1"/>
  <c r="AJ625" i="20" s="1"/>
  <c r="AK625" i="20" s="1"/>
  <c r="Y626" i="20"/>
  <c r="Z626" i="20" s="1"/>
  <c r="AA626" i="20" s="1"/>
  <c r="AB626" i="20" s="1"/>
  <c r="AC626" i="20" s="1"/>
  <c r="AD626" i="20" s="1"/>
  <c r="AE626" i="20" s="1"/>
  <c r="AF626" i="20" s="1"/>
  <c r="AG626" i="20" s="1"/>
  <c r="AH626" i="20" s="1"/>
  <c r="AI626" i="20" s="1"/>
  <c r="AJ626" i="20" s="1"/>
  <c r="AK626" i="20" s="1"/>
  <c r="Y627" i="20"/>
  <c r="Z627" i="20" s="1"/>
  <c r="AA627" i="20" s="1"/>
  <c r="AB627" i="20" s="1"/>
  <c r="AC627" i="20" s="1"/>
  <c r="AD627" i="20" s="1"/>
  <c r="AE627" i="20" s="1"/>
  <c r="AF627" i="20" s="1"/>
  <c r="AG627" i="20" s="1"/>
  <c r="AH627" i="20" s="1"/>
  <c r="AI627" i="20" s="1"/>
  <c r="AJ627" i="20" s="1"/>
  <c r="AK627" i="20" s="1"/>
  <c r="Y628" i="20"/>
  <c r="Z628" i="20" s="1"/>
  <c r="AA628" i="20" s="1"/>
  <c r="AB628" i="20" s="1"/>
  <c r="AC628" i="20" s="1"/>
  <c r="AD628" i="20"/>
  <c r="AE628" i="20" s="1"/>
  <c r="AF628" i="20" s="1"/>
  <c r="AG628" i="20" s="1"/>
  <c r="AH628" i="20" s="1"/>
  <c r="AI628" i="20" s="1"/>
  <c r="AJ628" i="20" s="1"/>
  <c r="AK628" i="20" s="1"/>
  <c r="Y629" i="20"/>
  <c r="Z629" i="20" s="1"/>
  <c r="AA629" i="20" s="1"/>
  <c r="AB629" i="20" s="1"/>
  <c r="AC629" i="20" s="1"/>
  <c r="AD629" i="20" s="1"/>
  <c r="AE629" i="20" s="1"/>
  <c r="AF629" i="20" s="1"/>
  <c r="AG629" i="20" s="1"/>
  <c r="AH629" i="20" s="1"/>
  <c r="AI629" i="20" s="1"/>
  <c r="AJ629" i="20" s="1"/>
  <c r="AK629" i="20" s="1"/>
  <c r="Y630" i="20"/>
  <c r="Z630" i="20"/>
  <c r="AA630" i="20" s="1"/>
  <c r="AB630" i="20" s="1"/>
  <c r="AC630" i="20" s="1"/>
  <c r="AD630" i="20" s="1"/>
  <c r="AE630" i="20" s="1"/>
  <c r="AF630" i="20" s="1"/>
  <c r="AG630" i="20" s="1"/>
  <c r="AH630" i="20" s="1"/>
  <c r="AI630" i="20" s="1"/>
  <c r="AJ630" i="20" s="1"/>
  <c r="AK630" i="20" s="1"/>
  <c r="Y631" i="20"/>
  <c r="Z631" i="20" s="1"/>
  <c r="AA631" i="20" s="1"/>
  <c r="AB631" i="20" s="1"/>
  <c r="AC631" i="20" s="1"/>
  <c r="AD631" i="20" s="1"/>
  <c r="AE631" i="20"/>
  <c r="AF631" i="20" s="1"/>
  <c r="AG631" i="20" s="1"/>
  <c r="AH631" i="20" s="1"/>
  <c r="AI631" i="20" s="1"/>
  <c r="AJ631" i="20" s="1"/>
  <c r="AK631" i="20" s="1"/>
  <c r="Y632" i="20"/>
  <c r="Z632" i="20"/>
  <c r="AA632" i="20" s="1"/>
  <c r="AB632" i="20" s="1"/>
  <c r="AC632" i="20" s="1"/>
  <c r="AD632" i="20" s="1"/>
  <c r="AE632" i="20" s="1"/>
  <c r="AF632" i="20" s="1"/>
  <c r="AG632" i="20" s="1"/>
  <c r="AH632" i="20"/>
  <c r="AI632" i="20" s="1"/>
  <c r="AJ632" i="20" s="1"/>
  <c r="AK632" i="20" s="1"/>
  <c r="Y633" i="20"/>
  <c r="Z633" i="20" s="1"/>
  <c r="AA633" i="20" s="1"/>
  <c r="AB633" i="20" s="1"/>
  <c r="AC633" i="20" s="1"/>
  <c r="AD633" i="20" s="1"/>
  <c r="AE633" i="20" s="1"/>
  <c r="AF633" i="20" s="1"/>
  <c r="AG633" i="20" s="1"/>
  <c r="AH633" i="20" s="1"/>
  <c r="AI633" i="20" s="1"/>
  <c r="AJ633" i="20" s="1"/>
  <c r="AK633" i="20" s="1"/>
  <c r="Y634" i="20"/>
  <c r="Z634" i="20" s="1"/>
  <c r="AA634" i="20" s="1"/>
  <c r="AB634" i="20" s="1"/>
  <c r="AC634" i="20" s="1"/>
  <c r="AD634" i="20" s="1"/>
  <c r="AE634" i="20" s="1"/>
  <c r="AF634" i="20"/>
  <c r="AG634" i="20" s="1"/>
  <c r="AH634" i="20" s="1"/>
  <c r="AI634" i="20" s="1"/>
  <c r="AJ634" i="20" s="1"/>
  <c r="AK634" i="20" s="1"/>
  <c r="Y635" i="20"/>
  <c r="Z635" i="20" s="1"/>
  <c r="AA635" i="20" s="1"/>
  <c r="AB635" i="20" s="1"/>
  <c r="AC635" i="20" s="1"/>
  <c r="AD635" i="20" s="1"/>
  <c r="AE635" i="20" s="1"/>
  <c r="AF635" i="20" s="1"/>
  <c r="AG635" i="20" s="1"/>
  <c r="AH635" i="20" s="1"/>
  <c r="AI635" i="20" s="1"/>
  <c r="AJ635" i="20" s="1"/>
  <c r="AK635" i="20" s="1"/>
  <c r="Y636" i="20"/>
  <c r="Z636" i="20" s="1"/>
  <c r="AA636" i="20" s="1"/>
  <c r="AB636" i="20" s="1"/>
  <c r="AC636" i="20" s="1"/>
  <c r="AD636" i="20" s="1"/>
  <c r="AE636" i="20" s="1"/>
  <c r="AF636" i="20" s="1"/>
  <c r="AG636" i="20" s="1"/>
  <c r="AH636" i="20" s="1"/>
  <c r="AI636" i="20" s="1"/>
  <c r="AJ636" i="20" s="1"/>
  <c r="AK636" i="20" s="1"/>
  <c r="Y637" i="20"/>
  <c r="Z637" i="20" s="1"/>
  <c r="AA637" i="20" s="1"/>
  <c r="AB637" i="20" s="1"/>
  <c r="AC637" i="20" s="1"/>
  <c r="AD637" i="20" s="1"/>
  <c r="AE637" i="20" s="1"/>
  <c r="AF637" i="20" s="1"/>
  <c r="AG637" i="20"/>
  <c r="AH637" i="20" s="1"/>
  <c r="AI637" i="20" s="1"/>
  <c r="AJ637" i="20" s="1"/>
  <c r="AK637" i="20" s="1"/>
  <c r="Y638" i="20"/>
  <c r="Z638" i="20"/>
  <c r="AA638" i="20" s="1"/>
  <c r="AB638" i="20" s="1"/>
  <c r="AC638" i="20" s="1"/>
  <c r="AD638" i="20" s="1"/>
  <c r="AE638" i="20" s="1"/>
  <c r="AF638" i="20" s="1"/>
  <c r="AG638" i="20" s="1"/>
  <c r="AH638" i="20" s="1"/>
  <c r="AI638" i="20" s="1"/>
  <c r="AJ638" i="20" s="1"/>
  <c r="AK638" i="20" s="1"/>
  <c r="Y639" i="20"/>
  <c r="Z639" i="20"/>
  <c r="AA639" i="20" s="1"/>
  <c r="AB639" i="20" s="1"/>
  <c r="AC639" i="20" s="1"/>
  <c r="AD639" i="20" s="1"/>
  <c r="AE639" i="20"/>
  <c r="AF639" i="20" s="1"/>
  <c r="AG639" i="20" s="1"/>
  <c r="AH639" i="20" s="1"/>
  <c r="AI639" i="20" s="1"/>
  <c r="AJ639" i="20" s="1"/>
  <c r="AK639" i="20" s="1"/>
  <c r="Y640" i="20"/>
  <c r="Z640" i="20"/>
  <c r="AA640" i="20" s="1"/>
  <c r="AB640" i="20" s="1"/>
  <c r="AC640" i="20" s="1"/>
  <c r="AD640" i="20" s="1"/>
  <c r="AE640" i="20" s="1"/>
  <c r="AF640" i="20" s="1"/>
  <c r="AG640" i="20" s="1"/>
  <c r="AH640" i="20"/>
  <c r="AI640" i="20" s="1"/>
  <c r="AJ640" i="20" s="1"/>
  <c r="AK640" i="20" s="1"/>
  <c r="Y641" i="20"/>
  <c r="Z641" i="20" s="1"/>
  <c r="AA641" i="20" s="1"/>
  <c r="AB641" i="20" s="1"/>
  <c r="AC641" i="20"/>
  <c r="AD641" i="20" s="1"/>
  <c r="AE641" i="20" s="1"/>
  <c r="AF641" i="20" s="1"/>
  <c r="AG641" i="20" s="1"/>
  <c r="AH641" i="20" s="1"/>
  <c r="AI641" i="20" s="1"/>
  <c r="AJ641" i="20" s="1"/>
  <c r="AK641" i="20"/>
  <c r="Y642" i="20"/>
  <c r="Z642" i="20" s="1"/>
  <c r="AA642" i="20" s="1"/>
  <c r="AB642" i="20" s="1"/>
  <c r="AC642" i="20" s="1"/>
  <c r="AD642" i="20" s="1"/>
  <c r="AE642" i="20" s="1"/>
  <c r="AF642" i="20"/>
  <c r="AG642" i="20" s="1"/>
  <c r="AH642" i="20" s="1"/>
  <c r="AI642" i="20" s="1"/>
  <c r="AJ642" i="20" s="1"/>
  <c r="AK642" i="20" s="1"/>
  <c r="Y643" i="20"/>
  <c r="Z643" i="20" s="1"/>
  <c r="AA643" i="20"/>
  <c r="AB643" i="20" s="1"/>
  <c r="AC643" i="20" s="1"/>
  <c r="AD643" i="20" s="1"/>
  <c r="AE643" i="20" s="1"/>
  <c r="AF643" i="20" s="1"/>
  <c r="AG643" i="20" s="1"/>
  <c r="AH643" i="20" s="1"/>
  <c r="AI643" i="20"/>
  <c r="AJ643" i="20" s="1"/>
  <c r="AK643" i="20" s="1"/>
  <c r="Y644" i="20"/>
  <c r="Z644" i="20" s="1"/>
  <c r="AA644" i="20" s="1"/>
  <c r="AB644" i="20" s="1"/>
  <c r="AC644" i="20" s="1"/>
  <c r="AD644" i="20"/>
  <c r="AE644" i="20" s="1"/>
  <c r="AF644" i="20" s="1"/>
  <c r="AG644" i="20" s="1"/>
  <c r="AH644" i="20" s="1"/>
  <c r="AI644" i="20" s="1"/>
  <c r="AJ644" i="20" s="1"/>
  <c r="AK644" i="20" s="1"/>
  <c r="Y645" i="20"/>
  <c r="Z645" i="20" s="1"/>
  <c r="AA645" i="20" s="1"/>
  <c r="AB645" i="20" s="1"/>
  <c r="AC645" i="20" s="1"/>
  <c r="AD645" i="20" s="1"/>
  <c r="AE645" i="20" s="1"/>
  <c r="AF645" i="20" s="1"/>
  <c r="AG645" i="20" s="1"/>
  <c r="AH645" i="20" s="1"/>
  <c r="AI645" i="20" s="1"/>
  <c r="AJ645" i="20" s="1"/>
  <c r="AK645" i="20" s="1"/>
  <c r="Y646" i="20"/>
  <c r="Z646" i="20"/>
  <c r="AA646" i="20" s="1"/>
  <c r="AB646" i="20"/>
  <c r="AC646" i="20" s="1"/>
  <c r="AD646" i="20" s="1"/>
  <c r="AE646" i="20" s="1"/>
  <c r="AF646" i="20" s="1"/>
  <c r="AG646" i="20" s="1"/>
  <c r="AH646" i="20" s="1"/>
  <c r="AI646" i="20" s="1"/>
  <c r="AJ646" i="20"/>
  <c r="AK646" i="20" s="1"/>
  <c r="Y647" i="20"/>
  <c r="Z647" i="20" s="1"/>
  <c r="AA647" i="20" s="1"/>
  <c r="AB647" i="20" s="1"/>
  <c r="AC647" i="20" s="1"/>
  <c r="AD647" i="20" s="1"/>
  <c r="AE647" i="20"/>
  <c r="AF647" i="20" s="1"/>
  <c r="AG647" i="20" s="1"/>
  <c r="AH647" i="20" s="1"/>
  <c r="AI647" i="20" s="1"/>
  <c r="AJ647" i="20" s="1"/>
  <c r="AK647" i="20" s="1"/>
  <c r="Y648" i="20"/>
  <c r="Z648" i="20"/>
  <c r="AA648" i="20" s="1"/>
  <c r="AB648" i="20" s="1"/>
  <c r="AC648" i="20" s="1"/>
  <c r="AD648" i="20" s="1"/>
  <c r="AE648" i="20" s="1"/>
  <c r="AF648" i="20" s="1"/>
  <c r="AG648" i="20" s="1"/>
  <c r="AH648" i="20" s="1"/>
  <c r="AI648" i="20" s="1"/>
  <c r="AJ648" i="20" s="1"/>
  <c r="AK648" i="20" s="1"/>
  <c r="Y649" i="20"/>
  <c r="Z649" i="20" s="1"/>
  <c r="AA649" i="20" s="1"/>
  <c r="AB649" i="20" s="1"/>
  <c r="AC649" i="20"/>
  <c r="AD649" i="20" s="1"/>
  <c r="AE649" i="20" s="1"/>
  <c r="AF649" i="20" s="1"/>
  <c r="AG649" i="20" s="1"/>
  <c r="AH649" i="20" s="1"/>
  <c r="AI649" i="20" s="1"/>
  <c r="AJ649" i="20" s="1"/>
  <c r="AK649" i="20"/>
  <c r="Y650" i="20"/>
  <c r="Z650" i="20" s="1"/>
  <c r="AA650" i="20" s="1"/>
  <c r="AB650" i="20" s="1"/>
  <c r="AC650" i="20" s="1"/>
  <c r="AD650" i="20" s="1"/>
  <c r="AE650" i="20" s="1"/>
  <c r="AF650" i="20"/>
  <c r="AG650" i="20" s="1"/>
  <c r="AH650" i="20" s="1"/>
  <c r="AI650" i="20" s="1"/>
  <c r="AJ650" i="20" s="1"/>
  <c r="AK650" i="20" s="1"/>
  <c r="Y651" i="20"/>
  <c r="Z651" i="20"/>
  <c r="AA651" i="20"/>
  <c r="AB651" i="20" s="1"/>
  <c r="AC651" i="20" s="1"/>
  <c r="AD651" i="20" s="1"/>
  <c r="AE651" i="20" s="1"/>
  <c r="AF651" i="20" s="1"/>
  <c r="AG651" i="20" s="1"/>
  <c r="AH651" i="20" s="1"/>
  <c r="AI651" i="20"/>
  <c r="AJ651" i="20" s="1"/>
  <c r="AK651" i="20" s="1"/>
  <c r="Y652" i="20"/>
  <c r="Z652" i="20" s="1"/>
  <c r="AA652" i="20" s="1"/>
  <c r="AB652" i="20" s="1"/>
  <c r="AC652" i="20" s="1"/>
  <c r="AD652" i="20"/>
  <c r="AE652" i="20" s="1"/>
  <c r="AF652" i="20" s="1"/>
  <c r="AG652" i="20" s="1"/>
  <c r="AH652" i="20" s="1"/>
  <c r="AI652" i="20" s="1"/>
  <c r="AJ652" i="20" s="1"/>
  <c r="AK652" i="20" s="1"/>
  <c r="Y653" i="20"/>
  <c r="Z653" i="20" s="1"/>
  <c r="AA653" i="20" s="1"/>
  <c r="AB653" i="20" s="1"/>
  <c r="AC653" i="20" s="1"/>
  <c r="AD653" i="20" s="1"/>
  <c r="AE653" i="20" s="1"/>
  <c r="AF653" i="20" s="1"/>
  <c r="AG653" i="20"/>
  <c r="AH653" i="20" s="1"/>
  <c r="AI653" i="20" s="1"/>
  <c r="AJ653" i="20" s="1"/>
  <c r="AK653" i="20" s="1"/>
  <c r="Y654" i="20"/>
  <c r="Z654" i="20" s="1"/>
  <c r="AA654" i="20" s="1"/>
  <c r="AB654" i="20" s="1"/>
  <c r="AC654" i="20" s="1"/>
  <c r="AD654" i="20" s="1"/>
  <c r="AE654" i="20" s="1"/>
  <c r="AF654" i="20" s="1"/>
  <c r="AG654" i="20" s="1"/>
  <c r="AH654" i="20" s="1"/>
  <c r="AI654" i="20" s="1"/>
  <c r="AJ654" i="20" s="1"/>
  <c r="AK654" i="20" s="1"/>
  <c r="Y655" i="20"/>
  <c r="Z655" i="20" s="1"/>
  <c r="AA655" i="20" s="1"/>
  <c r="AB655" i="20" s="1"/>
  <c r="AC655" i="20" s="1"/>
  <c r="AD655" i="20" s="1"/>
  <c r="AE655" i="20"/>
  <c r="AF655" i="20" s="1"/>
  <c r="AG655" i="20" s="1"/>
  <c r="AH655" i="20" s="1"/>
  <c r="AI655" i="20" s="1"/>
  <c r="AJ655" i="20" s="1"/>
  <c r="AK655" i="20" s="1"/>
  <c r="Y656" i="20"/>
  <c r="Z656" i="20"/>
  <c r="AA656" i="20" s="1"/>
  <c r="AB656" i="20" s="1"/>
  <c r="AC656" i="20" s="1"/>
  <c r="AD656" i="20" s="1"/>
  <c r="AE656" i="20" s="1"/>
  <c r="AF656" i="20" s="1"/>
  <c r="AG656" i="20" s="1"/>
  <c r="AH656" i="20"/>
  <c r="AI656" i="20" s="1"/>
  <c r="AJ656" i="20" s="1"/>
  <c r="AK656" i="20" s="1"/>
  <c r="Y657" i="20"/>
  <c r="Z657" i="20" s="1"/>
  <c r="AA657" i="20" s="1"/>
  <c r="AB657" i="20" s="1"/>
  <c r="AC657" i="20" s="1"/>
  <c r="AD657" i="20" s="1"/>
  <c r="AE657" i="20" s="1"/>
  <c r="AF657" i="20" s="1"/>
  <c r="AG657" i="20" s="1"/>
  <c r="AH657" i="20" s="1"/>
  <c r="AI657" i="20" s="1"/>
  <c r="AJ657" i="20" s="1"/>
  <c r="AK657" i="20" s="1"/>
  <c r="Y658" i="20"/>
  <c r="Z658" i="20" s="1"/>
  <c r="AA658" i="20" s="1"/>
  <c r="AB658" i="20" s="1"/>
  <c r="AC658" i="20" s="1"/>
  <c r="AD658" i="20" s="1"/>
  <c r="AE658" i="20" s="1"/>
  <c r="AF658" i="20"/>
  <c r="AG658" i="20" s="1"/>
  <c r="AH658" i="20" s="1"/>
  <c r="AI658" i="20" s="1"/>
  <c r="AJ658" i="20" s="1"/>
  <c r="AK658" i="20" s="1"/>
  <c r="Y659" i="20"/>
  <c r="Z659" i="20" s="1"/>
  <c r="AA659" i="20" s="1"/>
  <c r="AB659" i="20" s="1"/>
  <c r="AC659" i="20" s="1"/>
  <c r="AD659" i="20" s="1"/>
  <c r="AE659" i="20" s="1"/>
  <c r="AF659" i="20" s="1"/>
  <c r="AG659" i="20" s="1"/>
  <c r="AH659" i="20" s="1"/>
  <c r="AI659" i="20" s="1"/>
  <c r="AJ659" i="20" s="1"/>
  <c r="AK659" i="20" s="1"/>
  <c r="Y660" i="20"/>
  <c r="Z660" i="20" s="1"/>
  <c r="AA660" i="20" s="1"/>
  <c r="AB660" i="20" s="1"/>
  <c r="AC660" i="20" s="1"/>
  <c r="AD660" i="20" s="1"/>
  <c r="AE660" i="20" s="1"/>
  <c r="AF660" i="20" s="1"/>
  <c r="AG660" i="20" s="1"/>
  <c r="AH660" i="20" s="1"/>
  <c r="AI660" i="20" s="1"/>
  <c r="AJ660" i="20" s="1"/>
  <c r="AK660" i="20" s="1"/>
  <c r="Y661" i="20"/>
  <c r="Z661" i="20" s="1"/>
  <c r="AA661" i="20" s="1"/>
  <c r="AB661" i="20" s="1"/>
  <c r="AC661" i="20" s="1"/>
  <c r="AD661" i="20" s="1"/>
  <c r="AE661" i="20" s="1"/>
  <c r="AF661" i="20" s="1"/>
  <c r="AG661" i="20"/>
  <c r="AH661" i="20" s="1"/>
  <c r="AI661" i="20" s="1"/>
  <c r="AJ661" i="20" s="1"/>
  <c r="AK661" i="20" s="1"/>
  <c r="Y662" i="20"/>
  <c r="Z662" i="20" s="1"/>
  <c r="AA662" i="20" s="1"/>
  <c r="AB662" i="20"/>
  <c r="AC662" i="20" s="1"/>
  <c r="AD662" i="20" s="1"/>
  <c r="AE662" i="20" s="1"/>
  <c r="AF662" i="20" s="1"/>
  <c r="AG662" i="20" s="1"/>
  <c r="AH662" i="20" s="1"/>
  <c r="AI662" i="20" s="1"/>
  <c r="AJ662" i="20" s="1"/>
  <c r="AK662" i="20" s="1"/>
  <c r="Y7" i="20"/>
  <c r="Z7" i="20" s="1"/>
  <c r="AA7" i="20" s="1"/>
  <c r="AB7" i="20" s="1"/>
  <c r="AC7" i="20"/>
  <c r="AD7" i="20" s="1"/>
  <c r="AE7" i="20" s="1"/>
  <c r="AF7" i="20" s="1"/>
  <c r="AG7" i="20" s="1"/>
  <c r="AH7" i="20" s="1"/>
  <c r="AI7" i="20" s="1"/>
  <c r="AJ7" i="20" s="1"/>
  <c r="AK7" i="20" s="1"/>
  <c r="Y8" i="20"/>
  <c r="Z8" i="20"/>
  <c r="AA8" i="20" s="1"/>
  <c r="AB8" i="20" s="1"/>
  <c r="AC8" i="20" s="1"/>
  <c r="AD8" i="20" s="1"/>
  <c r="AE8" i="20" s="1"/>
  <c r="AF8" i="20" s="1"/>
  <c r="AG8" i="20" s="1"/>
  <c r="AH8" i="20" s="1"/>
  <c r="AI8" i="20" s="1"/>
  <c r="AJ8" i="20" s="1"/>
  <c r="AK8" i="20" s="1"/>
  <c r="Y9" i="20"/>
  <c r="Z9" i="20" s="1"/>
  <c r="AA9" i="20"/>
  <c r="AB9" i="20" s="1"/>
  <c r="AC9" i="20"/>
  <c r="AD9" i="20" s="1"/>
  <c r="AE9" i="20"/>
  <c r="AF9" i="20" s="1"/>
  <c r="AG9" i="20" s="1"/>
  <c r="AH9" i="20" s="1"/>
  <c r="AI9" i="20" s="1"/>
  <c r="AJ9" i="20" s="1"/>
  <c r="AK9" i="20" s="1"/>
  <c r="Y10" i="20"/>
  <c r="Z10" i="20"/>
  <c r="AA10" i="20" s="1"/>
  <c r="AB10" i="20" s="1"/>
  <c r="AC10" i="20" s="1"/>
  <c r="AD10" i="20"/>
  <c r="AE10" i="20" s="1"/>
  <c r="AF10" i="20"/>
  <c r="AG10" i="20" s="1"/>
  <c r="AH10" i="20"/>
  <c r="AI10" i="20" s="1"/>
  <c r="AJ10" i="20" s="1"/>
  <c r="AK10" i="20" s="1"/>
  <c r="Y11" i="20"/>
  <c r="Z11" i="20" s="1"/>
  <c r="AA11" i="20" s="1"/>
  <c r="AB11" i="20" s="1"/>
  <c r="AC11" i="20" s="1"/>
  <c r="AD11" i="20" s="1"/>
  <c r="AE11" i="20" s="1"/>
  <c r="AF11" i="20" s="1"/>
  <c r="AG11" i="20" s="1"/>
  <c r="AH11" i="20" s="1"/>
  <c r="AI11" i="20" s="1"/>
  <c r="AJ11" i="20" s="1"/>
  <c r="AK11" i="20" s="1"/>
  <c r="Y12" i="20"/>
  <c r="Z12" i="20"/>
  <c r="AA12" i="20" s="1"/>
  <c r="AB12" i="20"/>
  <c r="AC12" i="20" s="1"/>
  <c r="AD12" i="20" s="1"/>
  <c r="AE12" i="20" s="1"/>
  <c r="AF12" i="20" s="1"/>
  <c r="AG12" i="20" s="1"/>
  <c r="AH12" i="20" s="1"/>
  <c r="AI12" i="20" s="1"/>
  <c r="AJ12" i="20" s="1"/>
  <c r="AK12" i="20" s="1"/>
  <c r="Y13" i="20"/>
  <c r="Z13" i="20" s="1"/>
  <c r="AA13" i="20"/>
  <c r="AB13" i="20" s="1"/>
  <c r="AC13" i="20" s="1"/>
  <c r="AD13" i="20" s="1"/>
  <c r="AE13" i="20"/>
  <c r="AF13" i="20" s="1"/>
  <c r="AG13" i="20"/>
  <c r="AH13" i="20" s="1"/>
  <c r="AI13" i="20"/>
  <c r="AJ13" i="20" s="1"/>
  <c r="AK13" i="20" s="1"/>
  <c r="Y14" i="20"/>
  <c r="Z14" i="20"/>
  <c r="AA14" i="20" s="1"/>
  <c r="AB14" i="20"/>
  <c r="AC14" i="20" s="1"/>
  <c r="AD14" i="20"/>
  <c r="AE14" i="20" s="1"/>
  <c r="AF14" i="20" s="1"/>
  <c r="AG14" i="20" s="1"/>
  <c r="AH14" i="20"/>
  <c r="AI14" i="20" s="1"/>
  <c r="AJ14" i="20"/>
  <c r="AK14" i="20" s="1"/>
  <c r="Y15" i="20"/>
  <c r="Z15" i="20" s="1"/>
  <c r="AA15" i="20" s="1"/>
  <c r="AB15" i="20" s="1"/>
  <c r="AC15" i="20"/>
  <c r="AD15" i="20" s="1"/>
  <c r="AE15" i="20"/>
  <c r="AF15" i="20" s="1"/>
  <c r="AG15" i="20" s="1"/>
  <c r="AH15" i="20" s="1"/>
  <c r="AI15" i="20" s="1"/>
  <c r="AJ15" i="20" s="1"/>
  <c r="AK15" i="20" s="1"/>
  <c r="Y16" i="20"/>
  <c r="Z16" i="20"/>
  <c r="AA16" i="20" s="1"/>
  <c r="AB16" i="20"/>
  <c r="AC16" i="20" s="1"/>
  <c r="AD16" i="20" s="1"/>
  <c r="AE16" i="20" s="1"/>
  <c r="AF16" i="20"/>
  <c r="AG16" i="20" s="1"/>
  <c r="AH16" i="20"/>
  <c r="AI16" i="20" s="1"/>
  <c r="AJ16" i="20" s="1"/>
  <c r="AK16" i="20" s="1"/>
  <c r="Y17" i="20"/>
  <c r="Z17" i="20" s="1"/>
  <c r="AA17" i="20"/>
  <c r="AB17" i="20" s="1"/>
  <c r="AC17" i="20"/>
  <c r="AD17" i="20" s="1"/>
  <c r="AE17" i="20"/>
  <c r="AF17" i="20" s="1"/>
  <c r="AG17" i="20" s="1"/>
  <c r="AH17" i="20" s="1"/>
  <c r="AI17" i="20"/>
  <c r="AJ17" i="20" s="1"/>
  <c r="AK17" i="20"/>
  <c r="Y18" i="20"/>
  <c r="Z18" i="20"/>
  <c r="AA18" i="20" s="1"/>
  <c r="AB18" i="20" s="1"/>
  <c r="AC18" i="20" s="1"/>
  <c r="AD18" i="20" s="1"/>
  <c r="AE18" i="20" s="1"/>
  <c r="AF18" i="20" s="1"/>
  <c r="AG18" i="20" s="1"/>
  <c r="AH18" i="20" s="1"/>
  <c r="AI18" i="20" s="1"/>
  <c r="AJ18" i="20" s="1"/>
  <c r="AK18" i="20" s="1"/>
  <c r="Y19" i="20"/>
  <c r="Z19" i="20" s="1"/>
  <c r="AA19" i="20"/>
  <c r="AB19" i="20" s="1"/>
  <c r="AC19" i="20"/>
  <c r="AD19" i="20" s="1"/>
  <c r="AE19" i="20" s="1"/>
  <c r="AF19" i="20" s="1"/>
  <c r="AG19" i="20"/>
  <c r="AH19" i="20" s="1"/>
  <c r="AI19" i="20"/>
  <c r="AJ19" i="20" s="1"/>
  <c r="AK19" i="20" s="1"/>
  <c r="Y20" i="20"/>
  <c r="Z20" i="20" s="1"/>
  <c r="AA20" i="20" s="1"/>
  <c r="AB20" i="20"/>
  <c r="AC20" i="20" s="1"/>
  <c r="AD20" i="20"/>
  <c r="AE20" i="20" s="1"/>
  <c r="AF20" i="20"/>
  <c r="AG20" i="20" s="1"/>
  <c r="AH20" i="20" s="1"/>
  <c r="AI20" i="20" s="1"/>
  <c r="AJ20" i="20"/>
  <c r="AK20" i="20" s="1"/>
  <c r="Y21" i="20"/>
  <c r="Z21" i="20" s="1"/>
  <c r="AA21" i="20" s="1"/>
  <c r="AB21" i="20" s="1"/>
  <c r="AC21" i="20" s="1"/>
  <c r="AD21" i="20" s="1"/>
  <c r="AE21" i="20" s="1"/>
  <c r="AF21" i="20" s="1"/>
  <c r="AG21" i="20" s="1"/>
  <c r="AH21" i="20" s="1"/>
  <c r="AI21" i="20" s="1"/>
  <c r="AJ21" i="20" s="1"/>
  <c r="AK21" i="20" s="1"/>
  <c r="Y22" i="20"/>
  <c r="Z22" i="20"/>
  <c r="AA22" i="20" s="1"/>
  <c r="AB22" i="20"/>
  <c r="AC22" i="20" s="1"/>
  <c r="AD22" i="20"/>
  <c r="AE22" i="20" s="1"/>
  <c r="AF22" i="20" s="1"/>
  <c r="AG22" i="20" s="1"/>
  <c r="AH22" i="20" s="1"/>
  <c r="AI22" i="20" s="1"/>
  <c r="AJ22" i="20" s="1"/>
  <c r="AK22" i="20" s="1"/>
  <c r="Y23" i="20"/>
  <c r="Z23" i="20" s="1"/>
  <c r="AA23" i="20" s="1"/>
  <c r="AB23" i="20" s="1"/>
  <c r="AC23" i="20" s="1"/>
  <c r="AD23" i="20" s="1"/>
  <c r="AE23" i="20" s="1"/>
  <c r="AF23" i="20" s="1"/>
  <c r="AG23" i="20" s="1"/>
  <c r="AH23" i="20" s="1"/>
  <c r="AI23" i="20" s="1"/>
  <c r="AJ23" i="20" s="1"/>
  <c r="AK23" i="20" s="1"/>
  <c r="Y24" i="20"/>
  <c r="Z24" i="20"/>
  <c r="AA24" i="20" s="1"/>
  <c r="AB24" i="20" s="1"/>
  <c r="AC24" i="20" s="1"/>
  <c r="AD24" i="20" s="1"/>
  <c r="AE24" i="20" s="1"/>
  <c r="AF24" i="20" s="1"/>
  <c r="AG24" i="20" s="1"/>
  <c r="AH24" i="20" s="1"/>
  <c r="AI24" i="20" s="1"/>
  <c r="AJ24" i="20" s="1"/>
  <c r="AK24" i="20" s="1"/>
  <c r="Y25" i="20"/>
  <c r="Z25" i="20" s="1"/>
  <c r="AA25" i="20"/>
  <c r="AB25" i="20" s="1"/>
  <c r="AC25" i="20"/>
  <c r="AD25" i="20" s="1"/>
  <c r="AE25" i="20" s="1"/>
  <c r="AF25" i="20" s="1"/>
  <c r="AG25" i="20" s="1"/>
  <c r="AH25" i="20" s="1"/>
  <c r="AI25" i="20" s="1"/>
  <c r="AJ25" i="20" s="1"/>
  <c r="AK25" i="20" s="1"/>
  <c r="Y26" i="20"/>
  <c r="Z26" i="20"/>
  <c r="AA26" i="20" s="1"/>
  <c r="AB26" i="20" s="1"/>
  <c r="AC26" i="20" s="1"/>
  <c r="AD26" i="20"/>
  <c r="AE26" i="20" s="1"/>
  <c r="AF26" i="20"/>
  <c r="AG26" i="20" s="1"/>
  <c r="AH26" i="20"/>
  <c r="AI26" i="20" s="1"/>
  <c r="AJ26" i="20" s="1"/>
  <c r="AK26" i="20" s="1"/>
  <c r="Y27" i="20"/>
  <c r="Z27" i="20" s="1"/>
  <c r="AA27" i="20" s="1"/>
  <c r="AB27" i="20" s="1"/>
  <c r="AC27" i="20" s="1"/>
  <c r="AD27" i="20" s="1"/>
  <c r="AE27" i="20" s="1"/>
  <c r="AF27" i="20" s="1"/>
  <c r="AG27" i="20" s="1"/>
  <c r="AH27" i="20" s="1"/>
  <c r="AI27" i="20" s="1"/>
  <c r="AJ27" i="20" s="1"/>
  <c r="AK27" i="20" s="1"/>
  <c r="Y28" i="20"/>
  <c r="Z28" i="20" s="1"/>
  <c r="AA28" i="20" s="1"/>
  <c r="AB28" i="20"/>
  <c r="AC28" i="20" s="1"/>
  <c r="AD28" i="20" s="1"/>
  <c r="AE28" i="20" s="1"/>
  <c r="AF28" i="20" s="1"/>
  <c r="AG28" i="20" s="1"/>
  <c r="AH28" i="20" s="1"/>
  <c r="AI28" i="20" s="1"/>
  <c r="AJ28" i="20" s="1"/>
  <c r="AK28" i="20" s="1"/>
  <c r="Y29" i="20"/>
  <c r="Z29" i="20" s="1"/>
  <c r="AA29" i="20"/>
  <c r="AB29" i="20" s="1"/>
  <c r="AC29" i="20" s="1"/>
  <c r="AD29" i="20" s="1"/>
  <c r="AE29" i="20"/>
  <c r="AF29" i="20" s="1"/>
  <c r="AG29" i="20"/>
  <c r="AH29" i="20" s="1"/>
  <c r="AI29" i="20"/>
  <c r="AJ29" i="20" s="1"/>
  <c r="AK29" i="20" s="1"/>
  <c r="Y30" i="20"/>
  <c r="Z30" i="20"/>
  <c r="AA30" i="20" s="1"/>
  <c r="AB30" i="20"/>
  <c r="AC30" i="20" s="1"/>
  <c r="AD30" i="20" s="1"/>
  <c r="AE30" i="20" s="1"/>
  <c r="AF30" i="20" s="1"/>
  <c r="AG30" i="20" s="1"/>
  <c r="AH30" i="20" s="1"/>
  <c r="AI30" i="20" s="1"/>
  <c r="AJ30" i="20" s="1"/>
  <c r="AK30" i="20" s="1"/>
  <c r="Y31" i="20"/>
  <c r="Z31" i="20" s="1"/>
  <c r="AA31" i="20" s="1"/>
  <c r="AB31" i="20" s="1"/>
  <c r="AC31" i="20" s="1"/>
  <c r="AD31" i="20" s="1"/>
  <c r="AE31" i="20" s="1"/>
  <c r="AF31" i="20" s="1"/>
  <c r="AG31" i="20" s="1"/>
  <c r="AH31" i="20" s="1"/>
  <c r="AI31" i="20" s="1"/>
  <c r="AJ31" i="20" s="1"/>
  <c r="AK31" i="20" s="1"/>
  <c r="Y32" i="20"/>
  <c r="Z32" i="20"/>
  <c r="AA32" i="20" s="1"/>
  <c r="AB32" i="20"/>
  <c r="AC32" i="20" s="1"/>
  <c r="AD32" i="20" s="1"/>
  <c r="AE32" i="20" s="1"/>
  <c r="AF32" i="20"/>
  <c r="AG32" i="20" s="1"/>
  <c r="AH32" i="20" s="1"/>
  <c r="AI32" i="20" s="1"/>
  <c r="AJ32" i="20"/>
  <c r="AK32" i="20" s="1"/>
  <c r="Y33" i="20"/>
  <c r="Z33" i="20" s="1"/>
  <c r="AA33" i="20"/>
  <c r="AB33" i="20" s="1"/>
  <c r="AC33" i="20" s="1"/>
  <c r="AD33" i="20" s="1"/>
  <c r="AE33" i="20" s="1"/>
  <c r="AF33" i="20" s="1"/>
  <c r="AG33" i="20" s="1"/>
  <c r="AH33" i="20" s="1"/>
  <c r="AI33" i="20" s="1"/>
  <c r="AJ33" i="20" s="1"/>
  <c r="AK33" i="20" s="1"/>
  <c r="Y34" i="20"/>
  <c r="Z34" i="20"/>
  <c r="AA34" i="20" s="1"/>
  <c r="AB34" i="20" s="1"/>
  <c r="AC34" i="20" s="1"/>
  <c r="AD34" i="20" s="1"/>
  <c r="AE34" i="20" s="1"/>
  <c r="AF34" i="20" s="1"/>
  <c r="AG34" i="20" s="1"/>
  <c r="AH34" i="20" s="1"/>
  <c r="AI34" i="20" s="1"/>
  <c r="AJ34" i="20" s="1"/>
  <c r="AK34" i="20" s="1"/>
  <c r="Y35" i="20"/>
  <c r="Z35" i="20" s="1"/>
  <c r="AA35" i="20"/>
  <c r="AB35" i="20" s="1"/>
  <c r="AC35" i="20"/>
  <c r="AD35" i="20" s="1"/>
  <c r="AE35" i="20" s="1"/>
  <c r="AF35" i="20" s="1"/>
  <c r="AG35" i="20" s="1"/>
  <c r="AH35" i="20" s="1"/>
  <c r="AI35" i="20" s="1"/>
  <c r="AJ35" i="20" s="1"/>
  <c r="AK35" i="20" s="1"/>
  <c r="Y36" i="20"/>
  <c r="Z36" i="20" s="1"/>
  <c r="AA36" i="20" s="1"/>
  <c r="AB36" i="20" s="1"/>
  <c r="AC36" i="20" s="1"/>
  <c r="AD36" i="20" s="1"/>
  <c r="AE36" i="20" s="1"/>
  <c r="AF36" i="20" s="1"/>
  <c r="AG36" i="20" s="1"/>
  <c r="AH36" i="20" s="1"/>
  <c r="AI36" i="20" s="1"/>
  <c r="AJ36" i="20"/>
  <c r="AK36" i="20" s="1"/>
  <c r="Y37" i="20"/>
  <c r="Z37" i="20" s="1"/>
  <c r="AA37" i="20"/>
  <c r="AB37" i="20" s="1"/>
  <c r="AC37" i="20" s="1"/>
  <c r="AD37" i="20" s="1"/>
  <c r="AE37" i="20" s="1"/>
  <c r="AF37" i="20" s="1"/>
  <c r="AG37" i="20" s="1"/>
  <c r="AH37" i="20" s="1"/>
  <c r="AI37" i="20" s="1"/>
  <c r="AJ37" i="20" s="1"/>
  <c r="AK37" i="20" s="1"/>
  <c r="Y38" i="20"/>
  <c r="Z38" i="20"/>
  <c r="AA38" i="20" s="1"/>
  <c r="AB38" i="20"/>
  <c r="AC38" i="20" s="1"/>
  <c r="AD38" i="20" s="1"/>
  <c r="AE38" i="20" s="1"/>
  <c r="AF38" i="20" s="1"/>
  <c r="AG38" i="20" s="1"/>
  <c r="AH38" i="20" s="1"/>
  <c r="AI38" i="20" s="1"/>
  <c r="AJ38" i="20" s="1"/>
  <c r="AK38" i="20" s="1"/>
  <c r="Y39" i="20"/>
  <c r="Z39" i="20" s="1"/>
  <c r="AA39" i="20" s="1"/>
  <c r="AB39" i="20" s="1"/>
  <c r="AC39" i="20" s="1"/>
  <c r="AD39" i="20" s="1"/>
  <c r="AE39" i="20" s="1"/>
  <c r="AF39" i="20" s="1"/>
  <c r="AG39" i="20" s="1"/>
  <c r="AH39" i="20" s="1"/>
  <c r="AI39" i="20" s="1"/>
  <c r="AJ39" i="20" s="1"/>
  <c r="AK39" i="20"/>
  <c r="Y40" i="20"/>
  <c r="Z40" i="20"/>
  <c r="AA40" i="20" s="1"/>
  <c r="AB40" i="20" s="1"/>
  <c r="AC40" i="20" s="1"/>
  <c r="AD40" i="20" s="1"/>
  <c r="AE40" i="20" s="1"/>
  <c r="AF40" i="20" s="1"/>
  <c r="AG40" i="20" s="1"/>
  <c r="AH40" i="20" s="1"/>
  <c r="AI40" i="20" s="1"/>
  <c r="AJ40" i="20" s="1"/>
  <c r="AK40" i="20" s="1"/>
  <c r="Y41" i="20"/>
  <c r="Z41" i="20" s="1"/>
  <c r="AA41" i="20"/>
  <c r="AB41" i="20" s="1"/>
  <c r="AC41" i="20" s="1"/>
  <c r="AD41" i="20" s="1"/>
  <c r="AE41" i="20" s="1"/>
  <c r="AF41" i="20" s="1"/>
  <c r="AG41" i="20" s="1"/>
  <c r="AH41" i="20" s="1"/>
  <c r="AI41" i="20" s="1"/>
  <c r="AJ41" i="20" s="1"/>
  <c r="AK41" i="20" s="1"/>
  <c r="Y42" i="20"/>
  <c r="Z42" i="20"/>
  <c r="AA42" i="20" s="1"/>
  <c r="AB42" i="20" s="1"/>
  <c r="AC42" i="20" s="1"/>
  <c r="AD42" i="20"/>
  <c r="AE42" i="20" s="1"/>
  <c r="AF42" i="20"/>
  <c r="AG42" i="20" s="1"/>
  <c r="AH42" i="20"/>
  <c r="AI42" i="20" s="1"/>
  <c r="AJ42" i="20" s="1"/>
  <c r="AK42" i="20" s="1"/>
  <c r="Y43" i="20"/>
  <c r="Z43" i="20" s="1"/>
  <c r="AA43" i="20" s="1"/>
  <c r="AB43" i="20" s="1"/>
  <c r="AC43" i="20" s="1"/>
  <c r="AD43" i="20" s="1"/>
  <c r="AE43" i="20" s="1"/>
  <c r="AF43" i="20" s="1"/>
  <c r="AG43" i="20" s="1"/>
  <c r="AH43" i="20" s="1"/>
  <c r="AI43" i="20" s="1"/>
  <c r="AJ43" i="20" s="1"/>
  <c r="AK43" i="20" s="1"/>
  <c r="Y44" i="20"/>
  <c r="Z44" i="20" s="1"/>
  <c r="AA44" i="20" s="1"/>
  <c r="AB44" i="20"/>
  <c r="AC44" i="20" s="1"/>
  <c r="AD44" i="20"/>
  <c r="AE44" i="20" s="1"/>
  <c r="AF44" i="20" s="1"/>
  <c r="AG44" i="20" s="1"/>
  <c r="AH44" i="20" s="1"/>
  <c r="AI44" i="20" s="1"/>
  <c r="AJ44" i="20" s="1"/>
  <c r="AK44" i="20" s="1"/>
  <c r="Y45" i="20"/>
  <c r="Z45" i="20" s="1"/>
  <c r="AA45" i="20"/>
  <c r="AB45" i="20" s="1"/>
  <c r="AC45" i="20" s="1"/>
  <c r="AD45" i="20" s="1"/>
  <c r="AE45" i="20"/>
  <c r="AF45" i="20" s="1"/>
  <c r="AG45" i="20"/>
  <c r="AH45" i="20" s="1"/>
  <c r="AI45" i="20" s="1"/>
  <c r="AJ45" i="20" s="1"/>
  <c r="AK45" i="20" s="1"/>
  <c r="Y46" i="20"/>
  <c r="Z46" i="20"/>
  <c r="AA46" i="20" s="1"/>
  <c r="AB46" i="20"/>
  <c r="AC46" i="20" s="1"/>
  <c r="AD46" i="20" s="1"/>
  <c r="AE46" i="20" s="1"/>
  <c r="AF46" i="20" s="1"/>
  <c r="AG46" i="20" s="1"/>
  <c r="AH46" i="20" s="1"/>
  <c r="AI46" i="20" s="1"/>
  <c r="AJ46" i="20" s="1"/>
  <c r="AK46" i="20" s="1"/>
  <c r="Y47" i="20"/>
  <c r="Z47" i="20" s="1"/>
  <c r="AA47" i="20" s="1"/>
  <c r="AB47" i="20" s="1"/>
  <c r="AC47" i="20" s="1"/>
  <c r="AD47" i="20" s="1"/>
  <c r="AE47" i="20" s="1"/>
  <c r="AF47" i="20" s="1"/>
  <c r="AG47" i="20" s="1"/>
  <c r="AH47" i="20" s="1"/>
  <c r="AI47" i="20" s="1"/>
  <c r="AJ47" i="20" s="1"/>
  <c r="AK47" i="20" s="1"/>
  <c r="Y48" i="20"/>
  <c r="Z48" i="20"/>
  <c r="AA48" i="20" s="1"/>
  <c r="AB48" i="20"/>
  <c r="AC48" i="20" s="1"/>
  <c r="AD48" i="20" s="1"/>
  <c r="AE48" i="20" s="1"/>
  <c r="AF48" i="20"/>
  <c r="AG48" i="20" s="1"/>
  <c r="AH48" i="20"/>
  <c r="AI48" i="20" s="1"/>
  <c r="AJ48" i="20"/>
  <c r="AK48" i="20" s="1"/>
  <c r="Y49" i="20"/>
  <c r="Z49" i="20" s="1"/>
  <c r="AA49" i="20"/>
  <c r="AB49" i="20" s="1"/>
  <c r="AC49" i="20" s="1"/>
  <c r="AD49" i="20" s="1"/>
  <c r="AE49" i="20" s="1"/>
  <c r="AF49" i="20" s="1"/>
  <c r="AG49" i="20" s="1"/>
  <c r="AH49" i="20" s="1"/>
  <c r="AI49" i="20" s="1"/>
  <c r="AJ49" i="20" s="1"/>
  <c r="AK49" i="20"/>
  <c r="Y50" i="20"/>
  <c r="Z50" i="20"/>
  <c r="AA50" i="20" s="1"/>
  <c r="AB50" i="20" s="1"/>
  <c r="AC50" i="20" s="1"/>
  <c r="AD50" i="20" s="1"/>
  <c r="AE50" i="20" s="1"/>
  <c r="AF50" i="20" s="1"/>
  <c r="AG50" i="20" s="1"/>
  <c r="AH50" i="20" s="1"/>
  <c r="AI50" i="20" s="1"/>
  <c r="AJ50" i="20" s="1"/>
  <c r="AK50" i="20" s="1"/>
  <c r="Y51" i="20"/>
  <c r="Z51" i="20" s="1"/>
  <c r="AA51" i="20"/>
  <c r="AB51" i="20" s="1"/>
  <c r="AC51" i="20"/>
  <c r="AD51" i="20" s="1"/>
  <c r="AE51" i="20" s="1"/>
  <c r="AF51" i="20" s="1"/>
  <c r="AG51" i="20"/>
  <c r="AH51" i="20" s="1"/>
  <c r="AI51" i="20" s="1"/>
  <c r="AJ51" i="20" s="1"/>
  <c r="AK51" i="20" s="1"/>
  <c r="Y52" i="20"/>
  <c r="Z52" i="20" s="1"/>
  <c r="AA52" i="20" s="1"/>
  <c r="AB52" i="20" s="1"/>
  <c r="AC52" i="20" s="1"/>
  <c r="AD52" i="20" s="1"/>
  <c r="AE52" i="20" s="1"/>
  <c r="AF52" i="20" s="1"/>
  <c r="AG52" i="20" s="1"/>
  <c r="AH52" i="20" s="1"/>
  <c r="AI52" i="20" s="1"/>
  <c r="AJ52" i="20" s="1"/>
  <c r="AK52" i="20" s="1"/>
  <c r="Y53" i="20"/>
  <c r="Z53" i="20" s="1"/>
  <c r="AA53" i="20" s="1"/>
  <c r="AB53" i="20" s="1"/>
  <c r="AC53" i="20" s="1"/>
  <c r="AD53" i="20" s="1"/>
  <c r="AE53" i="20" s="1"/>
  <c r="AF53" i="20" s="1"/>
  <c r="AG53" i="20" s="1"/>
  <c r="AH53" i="20" s="1"/>
  <c r="AI53" i="20" s="1"/>
  <c r="AJ53" i="20" s="1"/>
  <c r="AK53" i="20" s="1"/>
  <c r="Y54" i="20"/>
  <c r="Z54" i="20"/>
  <c r="AA54" i="20" s="1"/>
  <c r="AB54" i="20"/>
  <c r="AC54" i="20" s="1"/>
  <c r="AD54" i="20" s="1"/>
  <c r="AE54" i="20" s="1"/>
  <c r="AF54" i="20" s="1"/>
  <c r="AG54" i="20" s="1"/>
  <c r="AH54" i="20"/>
  <c r="AI54" i="20" s="1"/>
  <c r="AJ54" i="20" s="1"/>
  <c r="AK54" i="20" s="1"/>
  <c r="Y55" i="20"/>
  <c r="Z55" i="20" s="1"/>
  <c r="AA55" i="20" s="1"/>
  <c r="AB55" i="20" s="1"/>
  <c r="AC55" i="20" s="1"/>
  <c r="AD55" i="20" s="1"/>
  <c r="AE55" i="20" s="1"/>
  <c r="AF55" i="20" s="1"/>
  <c r="AG55" i="20" s="1"/>
  <c r="AH55" i="20" s="1"/>
  <c r="AI55" i="20" s="1"/>
  <c r="AJ55" i="20" s="1"/>
  <c r="AK55" i="20" s="1"/>
  <c r="Y56" i="20"/>
  <c r="Z56" i="20"/>
  <c r="AA56" i="20" s="1"/>
  <c r="AB56" i="20" s="1"/>
  <c r="AC56" i="20" s="1"/>
  <c r="AD56" i="20" s="1"/>
  <c r="AE56" i="20" s="1"/>
  <c r="AF56" i="20" s="1"/>
  <c r="AG56" i="20" s="1"/>
  <c r="AH56" i="20" s="1"/>
  <c r="AI56" i="20" s="1"/>
  <c r="AJ56" i="20" s="1"/>
  <c r="AK56" i="20" s="1"/>
  <c r="Y57" i="20"/>
  <c r="Z57" i="20"/>
  <c r="AA57" i="20"/>
  <c r="AB57" i="20" s="1"/>
  <c r="AC57" i="20"/>
  <c r="AD57" i="20" s="1"/>
  <c r="AE57" i="20" s="1"/>
  <c r="AF57" i="20" s="1"/>
  <c r="AG57" i="20" s="1"/>
  <c r="AH57" i="20" s="1"/>
  <c r="AI57" i="20" s="1"/>
  <c r="AJ57" i="20" s="1"/>
  <c r="AK57" i="20" s="1"/>
  <c r="Y58" i="20"/>
  <c r="Z58" i="20"/>
  <c r="AA58" i="20" s="1"/>
  <c r="AB58" i="20" s="1"/>
  <c r="AC58" i="20" s="1"/>
  <c r="AD58" i="20"/>
  <c r="AE58" i="20" s="1"/>
  <c r="AF58" i="20"/>
  <c r="AG58" i="20" s="1"/>
  <c r="AH58" i="20"/>
  <c r="AI58" i="20" s="1"/>
  <c r="AJ58" i="20" s="1"/>
  <c r="AK58" i="20" s="1"/>
  <c r="Y59" i="20"/>
  <c r="Z59" i="20" s="1"/>
  <c r="AA59" i="20"/>
  <c r="AB59" i="20" s="1"/>
  <c r="AC59" i="20" s="1"/>
  <c r="AD59" i="20" s="1"/>
  <c r="AE59" i="20" s="1"/>
  <c r="AF59" i="20" s="1"/>
  <c r="AG59" i="20" s="1"/>
  <c r="AH59" i="20" s="1"/>
  <c r="AI59" i="20" s="1"/>
  <c r="AJ59" i="20" s="1"/>
  <c r="AK59" i="20"/>
  <c r="Y60" i="20"/>
  <c r="Z60" i="20"/>
  <c r="AA60" i="20"/>
  <c r="AB60" i="20"/>
  <c r="AC60" i="20" s="1"/>
  <c r="AD60" i="20" s="1"/>
  <c r="AE60" i="20" s="1"/>
  <c r="AF60" i="20" s="1"/>
  <c r="AG60" i="20" s="1"/>
  <c r="AH60" i="20" s="1"/>
  <c r="AI60" i="20" s="1"/>
  <c r="AJ60" i="20" s="1"/>
  <c r="AK60" i="20" s="1"/>
  <c r="Y61" i="20"/>
  <c r="Z61" i="20" s="1"/>
  <c r="AA61" i="20"/>
  <c r="AB61" i="20" s="1"/>
  <c r="AC61" i="20" s="1"/>
  <c r="AD61" i="20" s="1"/>
  <c r="AE61" i="20" s="1"/>
  <c r="AF61" i="20" s="1"/>
  <c r="AG61" i="20" s="1"/>
  <c r="AH61" i="20" s="1"/>
  <c r="AI61" i="20" s="1"/>
  <c r="AJ61" i="20" s="1"/>
  <c r="AK61" i="20" s="1"/>
  <c r="Y62" i="20"/>
  <c r="Z62" i="20"/>
  <c r="AA62" i="20" s="1"/>
  <c r="AB62" i="20"/>
  <c r="AC62" i="20" s="1"/>
  <c r="AD62" i="20"/>
  <c r="AE62" i="20" s="1"/>
  <c r="AF62" i="20" s="1"/>
  <c r="AG62" i="20"/>
  <c r="AH62" i="20" s="1"/>
  <c r="AI62" i="20" s="1"/>
  <c r="AJ62" i="20" s="1"/>
  <c r="AK62" i="20" s="1"/>
  <c r="Y63" i="20"/>
  <c r="Z63" i="20" s="1"/>
  <c r="AA63" i="20" s="1"/>
  <c r="AB63" i="20"/>
  <c r="AC63" i="20"/>
  <c r="AD63" i="20"/>
  <c r="AE63" i="20" s="1"/>
  <c r="AF63" i="20" s="1"/>
  <c r="AG63" i="20" s="1"/>
  <c r="AH63" i="20" s="1"/>
  <c r="AI63" i="20" s="1"/>
  <c r="AJ63" i="20" s="1"/>
  <c r="AK63" i="20" s="1"/>
  <c r="Y64" i="20"/>
  <c r="Z64" i="20"/>
  <c r="AA64" i="20"/>
  <c r="AB64" i="20" s="1"/>
  <c r="AC64" i="20" s="1"/>
  <c r="AD64" i="20" s="1"/>
  <c r="AE64" i="20" s="1"/>
  <c r="AF64" i="20" s="1"/>
  <c r="AG64" i="20" s="1"/>
  <c r="AH64" i="20" s="1"/>
  <c r="AI64" i="20" s="1"/>
  <c r="AJ64" i="20" s="1"/>
  <c r="AK64" i="20" s="1"/>
  <c r="Y65" i="20"/>
  <c r="Z65" i="20"/>
  <c r="AA65" i="20" s="1"/>
  <c r="AB65" i="20" s="1"/>
  <c r="AC65" i="20" s="1"/>
  <c r="AD65" i="20" s="1"/>
  <c r="AE65" i="20" s="1"/>
  <c r="AF65" i="20" s="1"/>
  <c r="AG65" i="20" s="1"/>
  <c r="AH65" i="20" s="1"/>
  <c r="AI65" i="20" s="1"/>
  <c r="AJ65" i="20" s="1"/>
  <c r="AK65" i="20" s="1"/>
  <c r="Y66" i="20"/>
  <c r="Z66" i="20" s="1"/>
  <c r="AA66" i="20" s="1"/>
  <c r="AB66" i="20" s="1"/>
  <c r="AC66" i="20" s="1"/>
  <c r="AD66" i="20" s="1"/>
  <c r="AE66" i="20" s="1"/>
  <c r="AF66" i="20" s="1"/>
  <c r="AG66" i="20"/>
  <c r="AH66" i="20"/>
  <c r="AI66" i="20" s="1"/>
  <c r="AJ66" i="20" s="1"/>
  <c r="AK66" i="20" s="1"/>
  <c r="Y67" i="20"/>
  <c r="Z67" i="20"/>
  <c r="AA67" i="20"/>
  <c r="AB67" i="20"/>
  <c r="AC67" i="20" s="1"/>
  <c r="AD67" i="20" s="1"/>
  <c r="AE67" i="20" s="1"/>
  <c r="AF67" i="20" s="1"/>
  <c r="AG67" i="20" s="1"/>
  <c r="AH67" i="20" s="1"/>
  <c r="AI67" i="20" s="1"/>
  <c r="AJ67" i="20" s="1"/>
  <c r="AK67" i="20" s="1"/>
  <c r="Y68" i="20"/>
  <c r="Z68" i="20" s="1"/>
  <c r="AA68" i="20" s="1"/>
  <c r="AB68" i="20" s="1"/>
  <c r="AC68" i="20" s="1"/>
  <c r="AD68" i="20" s="1"/>
  <c r="AE68" i="20"/>
  <c r="AF68" i="20" s="1"/>
  <c r="AG68" i="20" s="1"/>
  <c r="AH68" i="20" s="1"/>
  <c r="AI68" i="20" s="1"/>
  <c r="AJ68" i="20" s="1"/>
  <c r="AK68" i="20" s="1"/>
  <c r="Y69" i="20"/>
  <c r="Z69" i="20"/>
  <c r="AA69" i="20" s="1"/>
  <c r="AB69" i="20" s="1"/>
  <c r="AC69" i="20" s="1"/>
  <c r="AD69" i="20" s="1"/>
  <c r="AE69" i="20" s="1"/>
  <c r="AF69" i="20" s="1"/>
  <c r="AG69" i="20" s="1"/>
  <c r="AH69" i="20" s="1"/>
  <c r="AI69" i="20" s="1"/>
  <c r="AJ69" i="20" s="1"/>
  <c r="AK69" i="20" s="1"/>
  <c r="Y70" i="20"/>
  <c r="Z70" i="20"/>
  <c r="AA70" i="20"/>
  <c r="AB70" i="20"/>
  <c r="AC70" i="20"/>
  <c r="AD70" i="20" s="1"/>
  <c r="AE70" i="20" s="1"/>
  <c r="AF70" i="20" s="1"/>
  <c r="AG70" i="20" s="1"/>
  <c r="AH70" i="20" s="1"/>
  <c r="AI70" i="20" s="1"/>
  <c r="AJ70" i="20" s="1"/>
  <c r="AK70" i="20" s="1"/>
  <c r="Y71" i="20"/>
  <c r="Z71" i="20" s="1"/>
  <c r="AA71" i="20" s="1"/>
  <c r="AB71" i="20" s="1"/>
  <c r="AC71" i="20" s="1"/>
  <c r="AD71" i="20" s="1"/>
  <c r="AE71" i="20" s="1"/>
  <c r="AF71" i="20"/>
  <c r="AG71" i="20"/>
  <c r="AH71" i="20" s="1"/>
  <c r="AI71" i="20" s="1"/>
  <c r="AJ71" i="20" s="1"/>
  <c r="AK71" i="20" s="1"/>
  <c r="Y72" i="20"/>
  <c r="Z72" i="20"/>
  <c r="AA72" i="20"/>
  <c r="AB72" i="20" s="1"/>
  <c r="AC72" i="20" s="1"/>
  <c r="AD72" i="20" s="1"/>
  <c r="AE72" i="20" s="1"/>
  <c r="AF72" i="20" s="1"/>
  <c r="AG72" i="20" s="1"/>
  <c r="AH72" i="20" s="1"/>
  <c r="AI72" i="20" s="1"/>
  <c r="AJ72" i="20" s="1"/>
  <c r="AK72" i="20" s="1"/>
  <c r="Y73" i="20"/>
  <c r="Z73" i="20"/>
  <c r="AA73" i="20"/>
  <c r="AB73" i="20"/>
  <c r="AC73" i="20"/>
  <c r="AD73" i="20"/>
  <c r="AE73" i="20" s="1"/>
  <c r="AF73" i="20" s="1"/>
  <c r="AG73" i="20" s="1"/>
  <c r="AH73" i="20" s="1"/>
  <c r="AI73" i="20" s="1"/>
  <c r="AJ73" i="20" s="1"/>
  <c r="AK73" i="20" s="1"/>
  <c r="Y74" i="20"/>
  <c r="Z74" i="20"/>
  <c r="AA74" i="20" s="1"/>
  <c r="AB74" i="20" s="1"/>
  <c r="AC74" i="20" s="1"/>
  <c r="AD74" i="20" s="1"/>
  <c r="AE74" i="20" s="1"/>
  <c r="AF74" i="20" s="1"/>
  <c r="AG74" i="20" s="1"/>
  <c r="AH74" i="20" s="1"/>
  <c r="AI74" i="20"/>
  <c r="AJ74" i="20" s="1"/>
  <c r="AK74" i="20" s="1"/>
  <c r="Y75" i="20"/>
  <c r="Z75" i="20"/>
  <c r="AA75" i="20"/>
  <c r="AB75" i="20"/>
  <c r="AC75" i="20" s="1"/>
  <c r="AD75" i="20" s="1"/>
  <c r="AE75" i="20" s="1"/>
  <c r="AF75" i="20" s="1"/>
  <c r="AG75" i="20" s="1"/>
  <c r="AH75" i="20" s="1"/>
  <c r="AI75" i="20" s="1"/>
  <c r="AJ75" i="20" s="1"/>
  <c r="AK75" i="20"/>
  <c r="Y76" i="20"/>
  <c r="Z76" i="20" s="1"/>
  <c r="AA76" i="20" s="1"/>
  <c r="AB76" i="20" s="1"/>
  <c r="AC76" i="20" s="1"/>
  <c r="AD76" i="20" s="1"/>
  <c r="AE76" i="20" s="1"/>
  <c r="AF76" i="20" s="1"/>
  <c r="AG76" i="20" s="1"/>
  <c r="AH76" i="20" s="1"/>
  <c r="AI76" i="20" s="1"/>
  <c r="AJ76" i="20" s="1"/>
  <c r="AK76" i="20" s="1"/>
  <c r="Y77" i="20"/>
  <c r="Z77" i="20"/>
  <c r="AA77" i="20" s="1"/>
  <c r="AB77" i="20" s="1"/>
  <c r="AC77" i="20" s="1"/>
  <c r="AD77" i="20" s="1"/>
  <c r="AE77" i="20" s="1"/>
  <c r="AF77" i="20" s="1"/>
  <c r="AG77" i="20" s="1"/>
  <c r="AH77" i="20" s="1"/>
  <c r="AI77" i="20" s="1"/>
  <c r="AJ77" i="20" s="1"/>
  <c r="AK77" i="20" s="1"/>
  <c r="Y78" i="20"/>
  <c r="Z78" i="20" s="1"/>
  <c r="AA78" i="20" s="1"/>
  <c r="AB78" i="20" s="1"/>
  <c r="AC78" i="20" s="1"/>
  <c r="AD78" i="20" s="1"/>
  <c r="AE78" i="20" s="1"/>
  <c r="AF78" i="20" s="1"/>
  <c r="AG78" i="20" s="1"/>
  <c r="AH78" i="20" s="1"/>
  <c r="AI78" i="20" s="1"/>
  <c r="AJ78" i="20" s="1"/>
  <c r="AK78" i="20" s="1"/>
  <c r="Y79" i="20"/>
  <c r="Z79" i="20"/>
  <c r="AA79" i="20" s="1"/>
  <c r="AB79" i="20" s="1"/>
  <c r="AC79" i="20" s="1"/>
  <c r="AD79" i="20" s="1"/>
  <c r="AE79" i="20" s="1"/>
  <c r="AF79" i="20" s="1"/>
  <c r="AG79" i="20" s="1"/>
  <c r="AH79" i="20" s="1"/>
  <c r="AI79" i="20" s="1"/>
  <c r="AJ79" i="20" s="1"/>
  <c r="AK79" i="20" s="1"/>
  <c r="Y80" i="20"/>
  <c r="Z80" i="20"/>
  <c r="AA80" i="20"/>
  <c r="AB80" i="20"/>
  <c r="AC80" i="20" s="1"/>
  <c r="AD80" i="20" s="1"/>
  <c r="AE80" i="20" s="1"/>
  <c r="AF80" i="20" s="1"/>
  <c r="AG80" i="20" s="1"/>
  <c r="AH80" i="20" s="1"/>
  <c r="AI80" i="20" s="1"/>
  <c r="AJ80" i="20" s="1"/>
  <c r="AK80" i="20" s="1"/>
  <c r="Y81" i="20"/>
  <c r="Z81" i="20"/>
  <c r="AA81" i="20" s="1"/>
  <c r="AB81" i="20" s="1"/>
  <c r="AC81" i="20" s="1"/>
  <c r="AD81" i="20" s="1"/>
  <c r="AE81" i="20" s="1"/>
  <c r="AF81" i="20" s="1"/>
  <c r="AG81" i="20" s="1"/>
  <c r="AH81" i="20" s="1"/>
  <c r="AI81" i="20" s="1"/>
  <c r="AJ81" i="20" s="1"/>
  <c r="AK81" i="20" s="1"/>
  <c r="Y82" i="20"/>
  <c r="Z82" i="20" s="1"/>
  <c r="AA82" i="20" s="1"/>
  <c r="AB82" i="20" s="1"/>
  <c r="AC82" i="20" s="1"/>
  <c r="AD82" i="20" s="1"/>
  <c r="AE82" i="20" s="1"/>
  <c r="AF82" i="20" s="1"/>
  <c r="AG82" i="20" s="1"/>
  <c r="AH82" i="20" s="1"/>
  <c r="AI82" i="20" s="1"/>
  <c r="AJ82" i="20" s="1"/>
  <c r="AK82" i="20" s="1"/>
  <c r="Y83" i="20"/>
  <c r="Z83" i="20"/>
  <c r="AA83" i="20"/>
  <c r="AB83" i="20"/>
  <c r="AC83" i="20" s="1"/>
  <c r="AD83" i="20" s="1"/>
  <c r="AE83" i="20" s="1"/>
  <c r="AF83" i="20" s="1"/>
  <c r="AG83" i="20" s="1"/>
  <c r="AH83" i="20" s="1"/>
  <c r="AI83" i="20" s="1"/>
  <c r="AJ83" i="20"/>
  <c r="AK83" i="20" s="1"/>
  <c r="Y84" i="20"/>
  <c r="Z84" i="20" s="1"/>
  <c r="AA84" i="20" s="1"/>
  <c r="AB84" i="20" s="1"/>
  <c r="AC84" i="20" s="1"/>
  <c r="AD84" i="20" s="1"/>
  <c r="AE84" i="20" s="1"/>
  <c r="AF84" i="20" s="1"/>
  <c r="AG84" i="20" s="1"/>
  <c r="AH84" i="20" s="1"/>
  <c r="AI84" i="20" s="1"/>
  <c r="AJ84" i="20" s="1"/>
  <c r="AK84" i="20" s="1"/>
  <c r="Y85" i="20"/>
  <c r="Z85" i="20"/>
  <c r="AA85" i="20" s="1"/>
  <c r="AB85" i="20" s="1"/>
  <c r="AC85" i="20" s="1"/>
  <c r="AD85" i="20" s="1"/>
  <c r="AE85" i="20" s="1"/>
  <c r="AF85" i="20" s="1"/>
  <c r="AG85" i="20" s="1"/>
  <c r="AH85" i="20"/>
  <c r="AI85" i="20"/>
  <c r="AJ85" i="20" s="1"/>
  <c r="AK85" i="20" s="1"/>
  <c r="Y86" i="20"/>
  <c r="Z86" i="20" s="1"/>
  <c r="AA86" i="20" s="1"/>
  <c r="AB86" i="20"/>
  <c r="AC86" i="20" s="1"/>
  <c r="AD86" i="20" s="1"/>
  <c r="AE86" i="20" s="1"/>
  <c r="AF86" i="20" s="1"/>
  <c r="AG86" i="20" s="1"/>
  <c r="AH86" i="20" s="1"/>
  <c r="AI86" i="20" s="1"/>
  <c r="AJ86" i="20"/>
  <c r="AK86" i="20"/>
  <c r="Y87" i="20"/>
  <c r="Z87" i="20" s="1"/>
  <c r="AA87" i="20" s="1"/>
  <c r="AB87" i="20" s="1"/>
  <c r="AC87" i="20" s="1"/>
  <c r="AD87" i="20" s="1"/>
  <c r="AE87" i="20" s="1"/>
  <c r="AF87" i="20" s="1"/>
  <c r="AG87" i="20" s="1"/>
  <c r="AH87" i="20" s="1"/>
  <c r="AI87" i="20" s="1"/>
  <c r="AJ87" i="20" s="1"/>
  <c r="AK87" i="20" s="1"/>
  <c r="Y88" i="20"/>
  <c r="Z88" i="20"/>
  <c r="AA88" i="20" s="1"/>
  <c r="AB88" i="20" s="1"/>
  <c r="AC88" i="20" s="1"/>
  <c r="AD88" i="20" s="1"/>
  <c r="AE88" i="20" s="1"/>
  <c r="AF88" i="20" s="1"/>
  <c r="AG88" i="20" s="1"/>
  <c r="AH88" i="20" s="1"/>
  <c r="AI88" i="20" s="1"/>
  <c r="AJ88" i="20" s="1"/>
  <c r="AK88" i="20" s="1"/>
  <c r="Y89" i="20"/>
  <c r="Z89" i="20"/>
  <c r="AA89" i="20" s="1"/>
  <c r="AB89" i="20" s="1"/>
  <c r="AC89" i="20" s="1"/>
  <c r="AD89" i="20" s="1"/>
  <c r="AE89" i="20" s="1"/>
  <c r="AF89" i="20" s="1"/>
  <c r="AG89" i="20" s="1"/>
  <c r="AH89" i="20" s="1"/>
  <c r="AI89" i="20" s="1"/>
  <c r="AJ89" i="20" s="1"/>
  <c r="AK89" i="20" s="1"/>
  <c r="Y90" i="20"/>
  <c r="Z90" i="20"/>
  <c r="AA90" i="20" s="1"/>
  <c r="AB90" i="20" s="1"/>
  <c r="AC90" i="20" s="1"/>
  <c r="AD90" i="20" s="1"/>
  <c r="AE90" i="20" s="1"/>
  <c r="AF90" i="20" s="1"/>
  <c r="AG90" i="20" s="1"/>
  <c r="AH90" i="20" s="1"/>
  <c r="AI90" i="20" s="1"/>
  <c r="AJ90" i="20" s="1"/>
  <c r="AK90" i="20" s="1"/>
  <c r="Y91" i="20"/>
  <c r="Z91" i="20"/>
  <c r="AA91" i="20"/>
  <c r="AB91" i="20" s="1"/>
  <c r="AC91" i="20" s="1"/>
  <c r="AD91" i="20"/>
  <c r="AE91" i="20" s="1"/>
  <c r="AF91" i="20" s="1"/>
  <c r="AG91" i="20" s="1"/>
  <c r="AH91" i="20" s="1"/>
  <c r="AI91" i="20" s="1"/>
  <c r="AJ91" i="20" s="1"/>
  <c r="AK91" i="20" s="1"/>
  <c r="Y92" i="20"/>
  <c r="Z92" i="20" s="1"/>
  <c r="AA92" i="20" s="1"/>
  <c r="AB92" i="20" s="1"/>
  <c r="AC92" i="20"/>
  <c r="AD92" i="20" s="1"/>
  <c r="AE92" i="20"/>
  <c r="AF92" i="20" s="1"/>
  <c r="AG92" i="20" s="1"/>
  <c r="AH92" i="20" s="1"/>
  <c r="AI92" i="20" s="1"/>
  <c r="AJ92" i="20" s="1"/>
  <c r="AK92" i="20" s="1"/>
  <c r="Y93" i="20"/>
  <c r="Z93" i="20" s="1"/>
  <c r="AA93" i="20" s="1"/>
  <c r="AB93" i="20" s="1"/>
  <c r="AC93" i="20" s="1"/>
  <c r="AD93" i="20" s="1"/>
  <c r="AE93" i="20" s="1"/>
  <c r="AF93" i="20" s="1"/>
  <c r="AG93" i="20" s="1"/>
  <c r="AH93" i="20" s="1"/>
  <c r="AI93" i="20" s="1"/>
  <c r="AJ93" i="20" s="1"/>
  <c r="AK93" i="20" s="1"/>
  <c r="Y94" i="20"/>
  <c r="Z94" i="20"/>
  <c r="AA94" i="20"/>
  <c r="AB94" i="20"/>
  <c r="AC94" i="20" s="1"/>
  <c r="AD94" i="20" s="1"/>
  <c r="AE94" i="20" s="1"/>
  <c r="AF94" i="20" s="1"/>
  <c r="AG94" i="20" s="1"/>
  <c r="AH94" i="20" s="1"/>
  <c r="AI94" i="20" s="1"/>
  <c r="AJ94" i="20"/>
  <c r="AK94" i="20" s="1"/>
  <c r="Y95" i="20"/>
  <c r="Z95" i="20" s="1"/>
  <c r="AA95" i="20" s="1"/>
  <c r="AB95" i="20" s="1"/>
  <c r="AC95" i="20" s="1"/>
  <c r="AD95" i="20" s="1"/>
  <c r="AE95" i="20" s="1"/>
  <c r="AF95" i="20" s="1"/>
  <c r="AG95" i="20" s="1"/>
  <c r="AH95" i="20" s="1"/>
  <c r="AI95" i="20" s="1"/>
  <c r="AJ95" i="20" s="1"/>
  <c r="AK95" i="20" s="1"/>
  <c r="Y96" i="20"/>
  <c r="Z96" i="20"/>
  <c r="AA96" i="20"/>
  <c r="AB96" i="20"/>
  <c r="AC96" i="20" s="1"/>
  <c r="AD96" i="20" s="1"/>
  <c r="AE96" i="20" s="1"/>
  <c r="AF96" i="20" s="1"/>
  <c r="AG96" i="20" s="1"/>
  <c r="AH96" i="20" s="1"/>
  <c r="AI96" i="20" s="1"/>
  <c r="AJ96" i="20" s="1"/>
  <c r="AK96" i="20"/>
  <c r="Y97" i="20"/>
  <c r="Z97" i="20"/>
  <c r="AA97" i="20" s="1"/>
  <c r="AB97" i="20" s="1"/>
  <c r="AC97" i="20" s="1"/>
  <c r="AD97" i="20"/>
  <c r="AE97" i="20"/>
  <c r="AF97" i="20" s="1"/>
  <c r="AG97" i="20" s="1"/>
  <c r="AH97" i="20" s="1"/>
  <c r="AI97" i="20" s="1"/>
  <c r="AJ97" i="20" s="1"/>
  <c r="AK97" i="20" s="1"/>
  <c r="Y98" i="20"/>
  <c r="Z98" i="20"/>
  <c r="AA98" i="20" s="1"/>
  <c r="AB98" i="20" s="1"/>
  <c r="AC98" i="20" s="1"/>
  <c r="AD98" i="20" s="1"/>
  <c r="AE98" i="20"/>
  <c r="AF98" i="20" s="1"/>
  <c r="AG98" i="20" s="1"/>
  <c r="AH98" i="20" s="1"/>
  <c r="AI98" i="20"/>
  <c r="AJ98" i="20" s="1"/>
  <c r="AK98" i="20" s="1"/>
  <c r="Y99" i="20"/>
  <c r="Z99" i="20" s="1"/>
  <c r="AA99" i="20"/>
  <c r="AB99" i="20" s="1"/>
  <c r="AC99" i="20" s="1"/>
  <c r="AD99" i="20" s="1"/>
  <c r="AE99" i="20" s="1"/>
  <c r="AF99" i="20"/>
  <c r="AG99" i="20" s="1"/>
  <c r="AH99" i="20" s="1"/>
  <c r="AI99" i="20" s="1"/>
  <c r="AJ99" i="20"/>
  <c r="AK99" i="20" s="1"/>
  <c r="Y100" i="20"/>
  <c r="Z100" i="20" s="1"/>
  <c r="AA100" i="20" s="1"/>
  <c r="AB100" i="20" s="1"/>
  <c r="AC100" i="20" s="1"/>
  <c r="AD100" i="20" s="1"/>
  <c r="AE100" i="20" s="1"/>
  <c r="AF100" i="20" s="1"/>
  <c r="AG100" i="20" s="1"/>
  <c r="AH100" i="20" s="1"/>
  <c r="AI100" i="20" s="1"/>
  <c r="AJ100" i="20" s="1"/>
  <c r="AK100" i="20" s="1"/>
  <c r="Y101" i="20"/>
  <c r="Z101" i="20"/>
  <c r="AA101" i="20" s="1"/>
  <c r="AB101" i="20" s="1"/>
  <c r="AC101" i="20" s="1"/>
  <c r="AD101" i="20"/>
  <c r="AE101" i="20"/>
  <c r="AF101" i="20"/>
  <c r="AG101" i="20" s="1"/>
  <c r="AH101" i="20" s="1"/>
  <c r="AI101" i="20" s="1"/>
  <c r="AJ101" i="20" s="1"/>
  <c r="AK101" i="20" s="1"/>
  <c r="Y102" i="20"/>
  <c r="Z102" i="20"/>
  <c r="AA102" i="20"/>
  <c r="AB102" i="20" s="1"/>
  <c r="AC102" i="20" s="1"/>
  <c r="AD102" i="20" s="1"/>
  <c r="AE102" i="20" s="1"/>
  <c r="AF102" i="20" s="1"/>
  <c r="AG102" i="20" s="1"/>
  <c r="AH102" i="20"/>
  <c r="AI102" i="20" s="1"/>
  <c r="AJ102" i="20" s="1"/>
  <c r="AK102" i="20" s="1"/>
  <c r="Y103" i="20"/>
  <c r="Z103" i="20" s="1"/>
  <c r="AA103" i="20" s="1"/>
  <c r="AB103" i="20" s="1"/>
  <c r="AC103" i="20" s="1"/>
  <c r="AD103" i="20" s="1"/>
  <c r="AE103" i="20" s="1"/>
  <c r="AF103" i="20" s="1"/>
  <c r="AG103" i="20" s="1"/>
  <c r="AH103" i="20" s="1"/>
  <c r="AI103" i="20" s="1"/>
  <c r="AJ103" i="20" s="1"/>
  <c r="AK103" i="20" s="1"/>
  <c r="Y104" i="20"/>
  <c r="Z104" i="20" s="1"/>
  <c r="AA104" i="20"/>
  <c r="AB104" i="20" s="1"/>
  <c r="AC104" i="20" s="1"/>
  <c r="AD104" i="20" s="1"/>
  <c r="AE104" i="20" s="1"/>
  <c r="AF104" i="20" s="1"/>
  <c r="AG104" i="20" s="1"/>
  <c r="AH104" i="20" s="1"/>
  <c r="AI104" i="20" s="1"/>
  <c r="AJ104" i="20" s="1"/>
  <c r="AK104" i="20" s="1"/>
  <c r="Y105" i="20"/>
  <c r="Z105" i="20"/>
  <c r="AA105" i="20" s="1"/>
  <c r="AB105" i="20" s="1"/>
  <c r="AC105" i="20" s="1"/>
  <c r="AD105" i="20" s="1"/>
  <c r="AE105" i="20"/>
  <c r="AF105" i="20" s="1"/>
  <c r="AG105" i="20" s="1"/>
  <c r="AH105" i="20" s="1"/>
  <c r="AI105" i="20" s="1"/>
  <c r="AJ105" i="20" s="1"/>
  <c r="AK105" i="20" s="1"/>
  <c r="Y106" i="20"/>
  <c r="Z106" i="20" s="1"/>
  <c r="AA106" i="20" s="1"/>
  <c r="AB106" i="20" s="1"/>
  <c r="AC106" i="20" s="1"/>
  <c r="AD106" i="20" s="1"/>
  <c r="AE106" i="20"/>
  <c r="AF106" i="20" s="1"/>
  <c r="AG106" i="20" s="1"/>
  <c r="AH106" i="20" s="1"/>
  <c r="AI106" i="20" s="1"/>
  <c r="AJ106" i="20" s="1"/>
  <c r="AK106" i="20"/>
  <c r="Y107" i="20"/>
  <c r="Z107" i="20" s="1"/>
  <c r="AA107" i="20" s="1"/>
  <c r="AB107" i="20" s="1"/>
  <c r="AC107" i="20" s="1"/>
  <c r="AD107" i="20" s="1"/>
  <c r="AE107" i="20" s="1"/>
  <c r="AF107" i="20"/>
  <c r="AG107" i="20" s="1"/>
  <c r="AH107" i="20" s="1"/>
  <c r="AI107" i="20" s="1"/>
  <c r="AJ107" i="20"/>
  <c r="AK107" i="20"/>
  <c r="Y108" i="20"/>
  <c r="Z108" i="20" s="1"/>
  <c r="AA108" i="20" s="1"/>
  <c r="AB108" i="20" s="1"/>
  <c r="AC108" i="20" s="1"/>
  <c r="AD108" i="20" s="1"/>
  <c r="AE108" i="20" s="1"/>
  <c r="AF108" i="20" s="1"/>
  <c r="AG108" i="20" s="1"/>
  <c r="AH108" i="20" s="1"/>
  <c r="AI108" i="20" s="1"/>
  <c r="AJ108" i="20" s="1"/>
  <c r="AK108" i="20" s="1"/>
  <c r="Y109" i="20"/>
  <c r="Z109" i="20"/>
  <c r="AA109" i="20"/>
  <c r="AB109" i="20" s="1"/>
  <c r="AC109" i="20" s="1"/>
  <c r="AD109" i="20" s="1"/>
  <c r="AE109" i="20" s="1"/>
  <c r="AF109" i="20"/>
  <c r="AG109" i="20" s="1"/>
  <c r="AH109" i="20" s="1"/>
  <c r="AI109" i="20" s="1"/>
  <c r="AJ109" i="20" s="1"/>
  <c r="AK109" i="20" s="1"/>
  <c r="Y110" i="20"/>
  <c r="Z110" i="20"/>
  <c r="AA110" i="20"/>
  <c r="AB110" i="20" s="1"/>
  <c r="AC110" i="20" s="1"/>
  <c r="AD110" i="20" s="1"/>
  <c r="AE110" i="20" s="1"/>
  <c r="AF110" i="20" s="1"/>
  <c r="AG110" i="20" s="1"/>
  <c r="AH110" i="20" s="1"/>
  <c r="AI110" i="20" s="1"/>
  <c r="AJ110" i="20" s="1"/>
  <c r="AK110" i="20" s="1"/>
  <c r="Y111" i="20"/>
  <c r="Z111" i="20" s="1"/>
  <c r="AA111" i="20" s="1"/>
  <c r="AB111" i="20"/>
  <c r="AC111" i="20" s="1"/>
  <c r="AD111" i="20" s="1"/>
  <c r="AE111" i="20" s="1"/>
  <c r="AF111" i="20" s="1"/>
  <c r="AG111" i="20" s="1"/>
  <c r="AH111" i="20" s="1"/>
  <c r="AI111" i="20" s="1"/>
  <c r="AJ111" i="20" s="1"/>
  <c r="AK111" i="20" s="1"/>
  <c r="Y112" i="20"/>
  <c r="Z112" i="20" s="1"/>
  <c r="AA112" i="20"/>
  <c r="AB112" i="20" s="1"/>
  <c r="AC112" i="20" s="1"/>
  <c r="AD112" i="20" s="1"/>
  <c r="AE112" i="20" s="1"/>
  <c r="AF112" i="20" s="1"/>
  <c r="AG112" i="20" s="1"/>
  <c r="AH112" i="20" s="1"/>
  <c r="AI112" i="20" s="1"/>
  <c r="AJ112" i="20" s="1"/>
  <c r="AK112" i="20" s="1"/>
  <c r="Y113" i="20"/>
  <c r="Z113" i="20"/>
  <c r="AA113" i="20" s="1"/>
  <c r="AB113" i="20" s="1"/>
  <c r="AC113" i="20" s="1"/>
  <c r="AD113" i="20" s="1"/>
  <c r="AE113" i="20" s="1"/>
  <c r="AF113" i="20" s="1"/>
  <c r="AG113" i="20" s="1"/>
  <c r="AH113" i="20" s="1"/>
  <c r="AI113" i="20" s="1"/>
  <c r="AJ113" i="20" s="1"/>
  <c r="AK113" i="20" s="1"/>
  <c r="Y114" i="20"/>
  <c r="Z114" i="20" s="1"/>
  <c r="AA114" i="20" s="1"/>
  <c r="AB114" i="20" s="1"/>
  <c r="AC114" i="20" s="1"/>
  <c r="AD114" i="20"/>
  <c r="AE114" i="20" s="1"/>
  <c r="AF114" i="20" s="1"/>
  <c r="AG114" i="20" s="1"/>
  <c r="AH114" i="20" s="1"/>
  <c r="AI114" i="20" s="1"/>
  <c r="AJ114" i="20" s="1"/>
  <c r="AK114" i="20" s="1"/>
  <c r="Y115" i="20"/>
  <c r="Z115" i="20" s="1"/>
  <c r="AA115" i="20" s="1"/>
  <c r="AB115" i="20" s="1"/>
  <c r="AC115" i="20"/>
  <c r="AD115" i="20" s="1"/>
  <c r="AE115" i="20" s="1"/>
  <c r="AF115" i="20"/>
  <c r="AG115" i="20" s="1"/>
  <c r="AH115" i="20" s="1"/>
  <c r="AI115" i="20" s="1"/>
  <c r="AJ115" i="20" s="1"/>
  <c r="AK115" i="20" s="1"/>
  <c r="Y116" i="20"/>
  <c r="Z116" i="20" s="1"/>
  <c r="AA116" i="20" s="1"/>
  <c r="AB116" i="20"/>
  <c r="AC116" i="20"/>
  <c r="AD116" i="20" s="1"/>
  <c r="AE116" i="20" s="1"/>
  <c r="AF116" i="20" s="1"/>
  <c r="AG116" i="20" s="1"/>
  <c r="AH116" i="20" s="1"/>
  <c r="AI116" i="20" s="1"/>
  <c r="AJ116" i="20" s="1"/>
  <c r="AK116" i="20" s="1"/>
  <c r="Y117" i="20"/>
  <c r="Z117" i="20"/>
  <c r="AA117" i="20"/>
  <c r="AB117" i="20" s="1"/>
  <c r="AC117" i="20" s="1"/>
  <c r="AD117" i="20" s="1"/>
  <c r="AE117" i="20" s="1"/>
  <c r="AF117" i="20" s="1"/>
  <c r="AG117" i="20" s="1"/>
  <c r="AH117" i="20" s="1"/>
  <c r="AI117" i="20" s="1"/>
  <c r="AJ117" i="20" s="1"/>
  <c r="AK117" i="20" s="1"/>
  <c r="Y118" i="20"/>
  <c r="Z118" i="20"/>
  <c r="AA118" i="20"/>
  <c r="AB118" i="20" s="1"/>
  <c r="AC118" i="20" s="1"/>
  <c r="AD118" i="20" s="1"/>
  <c r="AE118" i="20" s="1"/>
  <c r="AF118" i="20" s="1"/>
  <c r="AG118" i="20" s="1"/>
  <c r="AH118" i="20" s="1"/>
  <c r="AI118" i="20" s="1"/>
  <c r="AJ118" i="20" s="1"/>
  <c r="AK118" i="20" s="1"/>
  <c r="Y119" i="20"/>
  <c r="Z119" i="20" s="1"/>
  <c r="AA119" i="20" s="1"/>
  <c r="AB119" i="20"/>
  <c r="AC119" i="20" s="1"/>
  <c r="AD119" i="20" s="1"/>
  <c r="AE119" i="20" s="1"/>
  <c r="AF119" i="20" s="1"/>
  <c r="AG119" i="20"/>
  <c r="AH119" i="20" s="1"/>
  <c r="AI119" i="20" s="1"/>
  <c r="AJ119" i="20" s="1"/>
  <c r="AK119" i="20" s="1"/>
  <c r="Y120" i="20"/>
  <c r="Z120" i="20" s="1"/>
  <c r="AA120" i="20" s="1"/>
  <c r="AB120" i="20" s="1"/>
  <c r="AC120" i="20" s="1"/>
  <c r="AD120" i="20" s="1"/>
  <c r="AE120" i="20" s="1"/>
  <c r="AF120" i="20" s="1"/>
  <c r="AG120" i="20" s="1"/>
  <c r="AH120" i="20" s="1"/>
  <c r="AI120" i="20" s="1"/>
  <c r="AJ120" i="20" s="1"/>
  <c r="AK120" i="20" s="1"/>
  <c r="Y121" i="20"/>
  <c r="Z121" i="20"/>
  <c r="AA121" i="20" s="1"/>
  <c r="AB121" i="20" s="1"/>
  <c r="AC121" i="20" s="1"/>
  <c r="AD121" i="20" s="1"/>
  <c r="AE121" i="20"/>
  <c r="AF121" i="20" s="1"/>
  <c r="AG121" i="20" s="1"/>
  <c r="AH121" i="20" s="1"/>
  <c r="AI121" i="20" s="1"/>
  <c r="AJ121" i="20"/>
  <c r="AK121" i="20" s="1"/>
  <c r="Y122" i="20"/>
  <c r="Z122" i="20" s="1"/>
  <c r="AA122" i="20" s="1"/>
  <c r="AB122" i="20" s="1"/>
  <c r="AC122" i="20" s="1"/>
  <c r="AD122" i="20" s="1"/>
  <c r="AE122" i="20" s="1"/>
  <c r="AF122" i="20" s="1"/>
  <c r="AG122" i="20" s="1"/>
  <c r="AH122" i="20" s="1"/>
  <c r="AI122" i="20" s="1"/>
  <c r="AJ122" i="20" s="1"/>
  <c r="AK122" i="20" s="1"/>
  <c r="Y123" i="20"/>
  <c r="Z123" i="20" s="1"/>
  <c r="AA123" i="20" s="1"/>
  <c r="AB123" i="20" s="1"/>
  <c r="AC123" i="20" s="1"/>
  <c r="AD123" i="20" s="1"/>
  <c r="AE123" i="20" s="1"/>
  <c r="AF123" i="20"/>
  <c r="AG123" i="20" s="1"/>
  <c r="AH123" i="20" s="1"/>
  <c r="AI123" i="20" s="1"/>
  <c r="AJ123" i="20" s="1"/>
  <c r="AK123" i="20" s="1"/>
  <c r="Y124" i="20"/>
  <c r="Z124" i="20" s="1"/>
  <c r="AA124" i="20" s="1"/>
  <c r="AB124" i="20" s="1"/>
  <c r="AC124" i="20"/>
  <c r="AD124" i="20" s="1"/>
  <c r="AE124" i="20" s="1"/>
  <c r="AF124" i="20" s="1"/>
  <c r="AG124" i="20" s="1"/>
  <c r="AH124" i="20" s="1"/>
  <c r="AI124" i="20" s="1"/>
  <c r="AJ124" i="20" s="1"/>
  <c r="AK124" i="20" s="1"/>
  <c r="Y125" i="20"/>
  <c r="Z125" i="20"/>
  <c r="AA125" i="20"/>
  <c r="AB125" i="20" s="1"/>
  <c r="AC125" i="20" s="1"/>
  <c r="AD125" i="20" s="1"/>
  <c r="AE125" i="20" s="1"/>
  <c r="AF125" i="20"/>
  <c r="AG125" i="20" s="1"/>
  <c r="AH125" i="20"/>
  <c r="AI125" i="20" s="1"/>
  <c r="AJ125" i="20" s="1"/>
  <c r="AK125" i="20" s="1"/>
  <c r="Y126" i="20"/>
  <c r="Z126" i="20"/>
  <c r="AA126" i="20"/>
  <c r="AB126" i="20" s="1"/>
  <c r="AC126" i="20" s="1"/>
  <c r="AD126" i="20" s="1"/>
  <c r="AE126" i="20" s="1"/>
  <c r="AF126" i="20" s="1"/>
  <c r="AG126" i="20"/>
  <c r="AH126" i="20"/>
  <c r="AI126" i="20" s="1"/>
  <c r="AJ126" i="20" s="1"/>
  <c r="AK126" i="20" s="1"/>
  <c r="Y127" i="20"/>
  <c r="Z127" i="20" s="1"/>
  <c r="AA127" i="20" s="1"/>
  <c r="AB127" i="20"/>
  <c r="AC127" i="20" s="1"/>
  <c r="AD127" i="20" s="1"/>
  <c r="AE127" i="20" s="1"/>
  <c r="AF127" i="20"/>
  <c r="AG127" i="20"/>
  <c r="AH127" i="20" s="1"/>
  <c r="AI127" i="20" s="1"/>
  <c r="AJ127" i="20" s="1"/>
  <c r="AK127" i="20" s="1"/>
  <c r="Y128" i="20"/>
  <c r="Z128" i="20" s="1"/>
  <c r="AA128" i="20"/>
  <c r="AB128" i="20" s="1"/>
  <c r="AC128" i="20" s="1"/>
  <c r="AD128" i="20" s="1"/>
  <c r="AE128" i="20" s="1"/>
  <c r="AF128" i="20"/>
  <c r="AG128" i="20"/>
  <c r="AH128" i="20" s="1"/>
  <c r="AI128" i="20" s="1"/>
  <c r="AJ128" i="20" s="1"/>
  <c r="AK128" i="20" s="1"/>
  <c r="Y129" i="20"/>
  <c r="Z129" i="20"/>
  <c r="AA129" i="20" s="1"/>
  <c r="AB129" i="20" s="1"/>
  <c r="AC129" i="20" s="1"/>
  <c r="AD129" i="20"/>
  <c r="AE129" i="20"/>
  <c r="AF129" i="20" s="1"/>
  <c r="AG129" i="20" s="1"/>
  <c r="AH129" i="20" s="1"/>
  <c r="AI129" i="20" s="1"/>
  <c r="AJ129" i="20" s="1"/>
  <c r="AK129" i="20" s="1"/>
  <c r="Y130" i="20"/>
  <c r="Z130" i="20" s="1"/>
  <c r="AA130" i="20" s="1"/>
  <c r="AB130" i="20" s="1"/>
  <c r="AC130" i="20" s="1"/>
  <c r="AD130" i="20" s="1"/>
  <c r="AE130" i="20" s="1"/>
  <c r="AF130" i="20" s="1"/>
  <c r="AG130" i="20" s="1"/>
  <c r="AH130" i="20" s="1"/>
  <c r="AI130" i="20" s="1"/>
  <c r="AJ130" i="20" s="1"/>
  <c r="AK130" i="20" s="1"/>
  <c r="Y131" i="20"/>
  <c r="Z131" i="20" s="1"/>
  <c r="AA131" i="20" s="1"/>
  <c r="AB131" i="20" s="1"/>
  <c r="AC131" i="20" s="1"/>
  <c r="AD131" i="20" s="1"/>
  <c r="AE131" i="20" s="1"/>
  <c r="AF131" i="20" s="1"/>
  <c r="AG131" i="20" s="1"/>
  <c r="AH131" i="20" s="1"/>
  <c r="AI131" i="20" s="1"/>
  <c r="AJ131" i="20" s="1"/>
  <c r="AK131" i="20" s="1"/>
  <c r="Y132" i="20"/>
  <c r="Z132" i="20" s="1"/>
  <c r="AA132" i="20" s="1"/>
  <c r="AB132" i="20" s="1"/>
  <c r="AC132" i="20" s="1"/>
  <c r="AD132" i="20" s="1"/>
  <c r="AE132" i="20" s="1"/>
  <c r="AF132" i="20" s="1"/>
  <c r="AG132" i="20" s="1"/>
  <c r="AH132" i="20" s="1"/>
  <c r="AI132" i="20" s="1"/>
  <c r="AJ132" i="20" s="1"/>
  <c r="AK132" i="20" s="1"/>
  <c r="Y133" i="20"/>
  <c r="Z133" i="20"/>
  <c r="AA133" i="20" s="1"/>
  <c r="AB133" i="20" s="1"/>
  <c r="AC133" i="20" s="1"/>
  <c r="AD133" i="20" s="1"/>
  <c r="AE133" i="20"/>
  <c r="AF133" i="20" s="1"/>
  <c r="AG133" i="20" s="1"/>
  <c r="AH133" i="20" s="1"/>
  <c r="AI133" i="20"/>
  <c r="AJ133" i="20"/>
  <c r="AK133" i="20" s="1"/>
  <c r="Y134" i="20"/>
  <c r="Z134" i="20" s="1"/>
  <c r="AA134" i="20" s="1"/>
  <c r="AB134" i="20" s="1"/>
  <c r="AC134" i="20" s="1"/>
  <c r="AD134" i="20" s="1"/>
  <c r="AE134" i="20" s="1"/>
  <c r="AF134" i="20" s="1"/>
  <c r="AG134" i="20" s="1"/>
  <c r="AH134" i="20" s="1"/>
  <c r="AI134" i="20" s="1"/>
  <c r="AJ134" i="20" s="1"/>
  <c r="AK134" i="20" s="1"/>
  <c r="Y135" i="20"/>
  <c r="Z135" i="20"/>
  <c r="AA135" i="20" s="1"/>
  <c r="AB135" i="20" s="1"/>
  <c r="AC135" i="20" s="1"/>
  <c r="AD135" i="20"/>
  <c r="AE135" i="20" s="1"/>
  <c r="AF135" i="20"/>
  <c r="AG135" i="20" s="1"/>
  <c r="AH135" i="20" s="1"/>
  <c r="AI135" i="20" s="1"/>
  <c r="AJ135" i="20" s="1"/>
  <c r="AK135" i="20" s="1"/>
  <c r="Y136" i="20"/>
  <c r="Z136" i="20" s="1"/>
  <c r="AA136" i="20" s="1"/>
  <c r="AB136" i="20"/>
  <c r="AC136" i="20"/>
  <c r="AD136" i="20" s="1"/>
  <c r="AE136" i="20" s="1"/>
  <c r="AF136" i="20" s="1"/>
  <c r="AG136" i="20" s="1"/>
  <c r="AH136" i="20" s="1"/>
  <c r="AI136" i="20" s="1"/>
  <c r="AJ136" i="20" s="1"/>
  <c r="AK136" i="20" s="1"/>
  <c r="Y137" i="20"/>
  <c r="Z137" i="20" s="1"/>
  <c r="AA137" i="20" s="1"/>
  <c r="AB137" i="20" s="1"/>
  <c r="AC137" i="20" s="1"/>
  <c r="AD137" i="20" s="1"/>
  <c r="AE137" i="20" s="1"/>
  <c r="AF137" i="20" s="1"/>
  <c r="AG137" i="20" s="1"/>
  <c r="AH137" i="20" s="1"/>
  <c r="AI137" i="20" s="1"/>
  <c r="AJ137" i="20" s="1"/>
  <c r="AK137" i="20" s="1"/>
  <c r="Y138" i="20"/>
  <c r="Z138" i="20" s="1"/>
  <c r="AA138" i="20"/>
  <c r="AB138" i="20"/>
  <c r="AC138" i="20" s="1"/>
  <c r="AD138" i="20" s="1"/>
  <c r="AE138" i="20" s="1"/>
  <c r="AF138" i="20" s="1"/>
  <c r="AG138" i="20" s="1"/>
  <c r="AH138" i="20" s="1"/>
  <c r="AI138" i="20" s="1"/>
  <c r="AJ138" i="20" s="1"/>
  <c r="AK138" i="20" s="1"/>
  <c r="Y139" i="20"/>
  <c r="Z139" i="20"/>
  <c r="AA139" i="20"/>
  <c r="AB139" i="20"/>
  <c r="AC139" i="20" s="1"/>
  <c r="AD139" i="20" s="1"/>
  <c r="AE139" i="20" s="1"/>
  <c r="AF139" i="20" s="1"/>
  <c r="AG139" i="20" s="1"/>
  <c r="AH139" i="20" s="1"/>
  <c r="AI139" i="20" s="1"/>
  <c r="AJ139" i="20" s="1"/>
  <c r="AK139" i="20" s="1"/>
  <c r="Y140" i="20"/>
  <c r="Z140" i="20"/>
  <c r="AA140" i="20" s="1"/>
  <c r="AB140" i="20" s="1"/>
  <c r="AC140" i="20" s="1"/>
  <c r="AD140" i="20"/>
  <c r="AE140" i="20"/>
  <c r="AF140" i="20" s="1"/>
  <c r="AG140" i="20" s="1"/>
  <c r="AH140" i="20" s="1"/>
  <c r="AI140" i="20" s="1"/>
  <c r="AJ140" i="20" s="1"/>
  <c r="AK140" i="20" s="1"/>
  <c r="Y141" i="20"/>
  <c r="Z141" i="20"/>
  <c r="AA141" i="20" s="1"/>
  <c r="AB141" i="20" s="1"/>
  <c r="AC141" i="20" s="1"/>
  <c r="AD141" i="20" s="1"/>
  <c r="AE141" i="20" s="1"/>
  <c r="AF141" i="20" s="1"/>
  <c r="AG141" i="20" s="1"/>
  <c r="AH141" i="20"/>
  <c r="AI141" i="20" s="1"/>
  <c r="AJ141" i="20" s="1"/>
  <c r="AK141" i="20" s="1"/>
  <c r="Y142" i="20"/>
  <c r="Z142" i="20" s="1"/>
  <c r="AA142" i="20" s="1"/>
  <c r="AB142" i="20"/>
  <c r="AC142" i="20" s="1"/>
  <c r="AD142" i="20" s="1"/>
  <c r="AE142" i="20" s="1"/>
  <c r="AF142" i="20" s="1"/>
  <c r="AG142" i="20" s="1"/>
  <c r="AH142" i="20" s="1"/>
  <c r="AI142" i="20" s="1"/>
  <c r="AJ142" i="20" s="1"/>
  <c r="AK142" i="20" s="1"/>
  <c r="Y143" i="20"/>
  <c r="Z143" i="20"/>
  <c r="AA143" i="20"/>
  <c r="AB143" i="20" s="1"/>
  <c r="AC143" i="20" s="1"/>
  <c r="AD143" i="20" s="1"/>
  <c r="AE143" i="20" s="1"/>
  <c r="AF143" i="20" s="1"/>
  <c r="AG143" i="20" s="1"/>
  <c r="AH143" i="20" s="1"/>
  <c r="AI143" i="20" s="1"/>
  <c r="AJ143" i="20" s="1"/>
  <c r="AK143" i="20" s="1"/>
  <c r="Y144" i="20"/>
  <c r="Z144" i="20"/>
  <c r="AA144" i="20"/>
  <c r="AB144" i="20" s="1"/>
  <c r="AC144" i="20"/>
  <c r="AD144" i="20" s="1"/>
  <c r="AE144" i="20" s="1"/>
  <c r="AF144" i="20" s="1"/>
  <c r="AG144" i="20" s="1"/>
  <c r="AH144" i="20" s="1"/>
  <c r="AI144" i="20" s="1"/>
  <c r="AJ144" i="20" s="1"/>
  <c r="AK144" i="20" s="1"/>
  <c r="Y145" i="20"/>
  <c r="Z145" i="20" s="1"/>
  <c r="AA145" i="20" s="1"/>
  <c r="AB145" i="20" s="1"/>
  <c r="AC145" i="20" s="1"/>
  <c r="AD145" i="20" s="1"/>
  <c r="AE145" i="20" s="1"/>
  <c r="AF145" i="20" s="1"/>
  <c r="AG145" i="20" s="1"/>
  <c r="AH145" i="20" s="1"/>
  <c r="AI145" i="20" s="1"/>
  <c r="AJ145" i="20" s="1"/>
  <c r="AK145" i="20" s="1"/>
  <c r="Y146" i="20"/>
  <c r="Z146" i="20" s="1"/>
  <c r="AA146" i="20"/>
  <c r="AB146" i="20" s="1"/>
  <c r="AC146" i="20" s="1"/>
  <c r="AD146" i="20" s="1"/>
  <c r="AE146" i="20" s="1"/>
  <c r="AF146" i="20" s="1"/>
  <c r="AG146" i="20" s="1"/>
  <c r="AH146" i="20" s="1"/>
  <c r="AI146" i="20" s="1"/>
  <c r="AJ146" i="20" s="1"/>
  <c r="AK146" i="20" s="1"/>
  <c r="Y147" i="20"/>
  <c r="Z147" i="20"/>
  <c r="AA147" i="20"/>
  <c r="AB147" i="20" s="1"/>
  <c r="AC147" i="20" s="1"/>
  <c r="AD147" i="20" s="1"/>
  <c r="AE147" i="20" s="1"/>
  <c r="AF147" i="20" s="1"/>
  <c r="AG147" i="20" s="1"/>
  <c r="AH147" i="20" s="1"/>
  <c r="AI147" i="20" s="1"/>
  <c r="AJ147" i="20" s="1"/>
  <c r="AK147" i="20"/>
  <c r="Y148" i="20"/>
  <c r="Z148" i="20" s="1"/>
  <c r="AA148" i="20" s="1"/>
  <c r="AB148" i="20" s="1"/>
  <c r="AC148" i="20" s="1"/>
  <c r="AD148" i="20" s="1"/>
  <c r="AE148" i="20" s="1"/>
  <c r="AF148" i="20" s="1"/>
  <c r="AG148" i="20" s="1"/>
  <c r="AH148" i="20" s="1"/>
  <c r="AI148" i="20" s="1"/>
  <c r="AJ148" i="20" s="1"/>
  <c r="AK148" i="20" s="1"/>
  <c r="Y149" i="20"/>
  <c r="Z149" i="20" s="1"/>
  <c r="AA149" i="20" s="1"/>
  <c r="AB149" i="20" s="1"/>
  <c r="AC149" i="20" s="1"/>
  <c r="AD149" i="20" s="1"/>
  <c r="AE149" i="20" s="1"/>
  <c r="AF149" i="20" s="1"/>
  <c r="AG149" i="20" s="1"/>
  <c r="AH149" i="20" s="1"/>
  <c r="AI149" i="20" s="1"/>
  <c r="AJ149" i="20" s="1"/>
  <c r="AK149" i="20" s="1"/>
  <c r="Y150" i="20"/>
  <c r="Z150" i="20" s="1"/>
  <c r="AA150" i="20" s="1"/>
  <c r="AB150" i="20"/>
  <c r="AC150" i="20"/>
  <c r="AD150" i="20" s="1"/>
  <c r="AE150" i="20" s="1"/>
  <c r="AF150" i="20" s="1"/>
  <c r="AG150" i="20" s="1"/>
  <c r="AH150" i="20" s="1"/>
  <c r="AI150" i="20" s="1"/>
  <c r="AJ150" i="20" s="1"/>
  <c r="AK150" i="20" s="1"/>
  <c r="Y151" i="20"/>
  <c r="Z151" i="20"/>
  <c r="AA151" i="20"/>
  <c r="AB151" i="20" s="1"/>
  <c r="AC151" i="20" s="1"/>
  <c r="AD151" i="20" s="1"/>
  <c r="AE151" i="20" s="1"/>
  <c r="AF151" i="20" s="1"/>
  <c r="AG151" i="20" s="1"/>
  <c r="AH151" i="20" s="1"/>
  <c r="AI151" i="20" s="1"/>
  <c r="AJ151" i="20" s="1"/>
  <c r="AK151" i="20" s="1"/>
  <c r="Y152" i="20"/>
  <c r="Z152" i="20"/>
  <c r="AA152" i="20"/>
  <c r="AB152" i="20" s="1"/>
  <c r="AC152" i="20" s="1"/>
  <c r="AD152" i="20" s="1"/>
  <c r="AE152" i="20" s="1"/>
  <c r="AF152" i="20" s="1"/>
  <c r="AG152" i="20" s="1"/>
  <c r="AH152" i="20"/>
  <c r="AI152" i="20" s="1"/>
  <c r="AJ152" i="20" s="1"/>
  <c r="AK152" i="20" s="1"/>
  <c r="Y153" i="20"/>
  <c r="Z153" i="20" s="1"/>
  <c r="AA153" i="20" s="1"/>
  <c r="AB153" i="20" s="1"/>
  <c r="AC153" i="20" s="1"/>
  <c r="AD153" i="20" s="1"/>
  <c r="AE153" i="20" s="1"/>
  <c r="AF153" i="20"/>
  <c r="AG153" i="20" s="1"/>
  <c r="AH153" i="20" s="1"/>
  <c r="AI153" i="20" s="1"/>
  <c r="AJ153" i="20" s="1"/>
  <c r="AK153" i="20" s="1"/>
  <c r="Y154" i="20"/>
  <c r="Z154" i="20"/>
  <c r="AA154" i="20" s="1"/>
  <c r="AB154" i="20" s="1"/>
  <c r="AC154" i="20" s="1"/>
  <c r="AD154" i="20" s="1"/>
  <c r="AE154" i="20" s="1"/>
  <c r="AF154" i="20" s="1"/>
  <c r="AG154" i="20" s="1"/>
  <c r="AH154" i="20" s="1"/>
  <c r="AI154" i="20" s="1"/>
  <c r="AJ154" i="20" s="1"/>
  <c r="AK154" i="20" s="1"/>
  <c r="Y155" i="20"/>
  <c r="Z155" i="20"/>
  <c r="AA155" i="20"/>
  <c r="AB155" i="20"/>
  <c r="AC155" i="20"/>
  <c r="AD155" i="20" s="1"/>
  <c r="AE155" i="20" s="1"/>
  <c r="AF155" i="20" s="1"/>
  <c r="AG155" i="20" s="1"/>
  <c r="AH155" i="20" s="1"/>
  <c r="AI155" i="20" s="1"/>
  <c r="AJ155" i="20" s="1"/>
  <c r="AK155" i="20" s="1"/>
  <c r="Y156" i="20"/>
  <c r="Z156" i="20"/>
  <c r="AA156" i="20" s="1"/>
  <c r="AB156" i="20" s="1"/>
  <c r="AC156" i="20" s="1"/>
  <c r="AD156" i="20"/>
  <c r="AE156" i="20" s="1"/>
  <c r="AF156" i="20" s="1"/>
  <c r="AG156" i="20" s="1"/>
  <c r="AH156" i="20"/>
  <c r="AI156" i="20" s="1"/>
  <c r="AJ156" i="20" s="1"/>
  <c r="AK156" i="20" s="1"/>
  <c r="Y157" i="20"/>
  <c r="Z157" i="20"/>
  <c r="AA157" i="20"/>
  <c r="AB157" i="20" s="1"/>
  <c r="AC157" i="20" s="1"/>
  <c r="AD157" i="20" s="1"/>
  <c r="AE157" i="20" s="1"/>
  <c r="AF157" i="20" s="1"/>
  <c r="AG157" i="20" s="1"/>
  <c r="AH157" i="20" s="1"/>
  <c r="AI157" i="20" s="1"/>
  <c r="AJ157" i="20" s="1"/>
  <c r="AK157" i="20" s="1"/>
  <c r="Y158" i="20"/>
  <c r="Z158" i="20" s="1"/>
  <c r="AA158" i="20" s="1"/>
  <c r="AB158" i="20"/>
  <c r="AC158" i="20" s="1"/>
  <c r="AD158" i="20" s="1"/>
  <c r="AE158" i="20" s="1"/>
  <c r="AF158" i="20"/>
  <c r="AG158" i="20" s="1"/>
  <c r="AH158" i="20" s="1"/>
  <c r="AI158" i="20" s="1"/>
  <c r="AJ158" i="20" s="1"/>
  <c r="AK158" i="20" s="1"/>
  <c r="Y159" i="20"/>
  <c r="Z159" i="20"/>
  <c r="AA159" i="20" s="1"/>
  <c r="AB159" i="20" s="1"/>
  <c r="AC159" i="20" s="1"/>
  <c r="AD159" i="20" s="1"/>
  <c r="AE159" i="20" s="1"/>
  <c r="AF159" i="20" s="1"/>
  <c r="AG159" i="20" s="1"/>
  <c r="AH159" i="20" s="1"/>
  <c r="AI159" i="20" s="1"/>
  <c r="AJ159" i="20" s="1"/>
  <c r="AK159" i="20" s="1"/>
  <c r="Y160" i="20"/>
  <c r="Z160" i="20"/>
  <c r="AA160" i="20" s="1"/>
  <c r="AB160" i="20" s="1"/>
  <c r="AC160" i="20"/>
  <c r="AD160" i="20" s="1"/>
  <c r="AE160" i="20" s="1"/>
  <c r="AF160" i="20" s="1"/>
  <c r="AG160" i="20" s="1"/>
  <c r="AH160" i="20"/>
  <c r="AI160" i="20"/>
  <c r="AJ160" i="20" s="1"/>
  <c r="AK160" i="20" s="1"/>
  <c r="Y161" i="20"/>
  <c r="Z161" i="20"/>
  <c r="AA161" i="20" s="1"/>
  <c r="AB161" i="20" s="1"/>
  <c r="AC161" i="20" s="1"/>
  <c r="AD161" i="20" s="1"/>
  <c r="AE161" i="20" s="1"/>
  <c r="AF161" i="20" s="1"/>
  <c r="AG161" i="20" s="1"/>
  <c r="AH161" i="20" s="1"/>
  <c r="AI161" i="20" s="1"/>
  <c r="AJ161" i="20" s="1"/>
  <c r="AK161" i="20" s="1"/>
  <c r="Y162" i="20"/>
  <c r="Z162" i="20"/>
  <c r="AA162" i="20"/>
  <c r="AB162" i="20" s="1"/>
  <c r="AC162" i="20" s="1"/>
  <c r="AD162" i="20" s="1"/>
  <c r="AE162" i="20" s="1"/>
  <c r="AF162" i="20" s="1"/>
  <c r="AG162" i="20" s="1"/>
  <c r="AH162" i="20" s="1"/>
  <c r="AI162" i="20" s="1"/>
  <c r="AJ162" i="20" s="1"/>
  <c r="AK162" i="20" s="1"/>
  <c r="Y163" i="20"/>
  <c r="Z163" i="20"/>
  <c r="AA163" i="20"/>
  <c r="AB163" i="20" s="1"/>
  <c r="AC163" i="20" s="1"/>
  <c r="AD163" i="20" s="1"/>
  <c r="AE163" i="20" s="1"/>
  <c r="AF163" i="20" s="1"/>
  <c r="AG163" i="20" s="1"/>
  <c r="AH163" i="20" s="1"/>
  <c r="AI163" i="20" s="1"/>
  <c r="AJ163" i="20" s="1"/>
  <c r="AK163" i="20" s="1"/>
  <c r="Y164" i="20"/>
  <c r="Z164" i="20" s="1"/>
  <c r="AA164" i="20" s="1"/>
  <c r="AB164" i="20" s="1"/>
  <c r="AC164" i="20" s="1"/>
  <c r="AD164" i="20" s="1"/>
  <c r="AE164" i="20" s="1"/>
  <c r="AF164" i="20" s="1"/>
  <c r="AG164" i="20" s="1"/>
  <c r="AH164" i="20"/>
  <c r="AI164" i="20" s="1"/>
  <c r="AJ164" i="20" s="1"/>
  <c r="AK164" i="20" s="1"/>
  <c r="Y165" i="20"/>
  <c r="Z165" i="20" s="1"/>
  <c r="AA165" i="20" s="1"/>
  <c r="AB165" i="20" s="1"/>
  <c r="AC165" i="20" s="1"/>
  <c r="AD165" i="20" s="1"/>
  <c r="AE165" i="20" s="1"/>
  <c r="AF165" i="20" s="1"/>
  <c r="AG165" i="20" s="1"/>
  <c r="AH165" i="20" s="1"/>
  <c r="AI165" i="20" s="1"/>
  <c r="AJ165" i="20" s="1"/>
  <c r="AK165" i="20" s="1"/>
  <c r="Y166" i="20"/>
  <c r="Z166" i="20" s="1"/>
  <c r="AA166" i="20" s="1"/>
  <c r="AB166" i="20"/>
  <c r="AC166" i="20" s="1"/>
  <c r="AD166" i="20" s="1"/>
  <c r="AE166" i="20"/>
  <c r="AF166" i="20" s="1"/>
  <c r="AG166" i="20" s="1"/>
  <c r="AH166" i="20" s="1"/>
  <c r="AI166" i="20" s="1"/>
  <c r="AJ166" i="20" s="1"/>
  <c r="AK166" i="20" s="1"/>
  <c r="Y167" i="20"/>
  <c r="Z167" i="20"/>
  <c r="AA167" i="20" s="1"/>
  <c r="AB167" i="20" s="1"/>
  <c r="AC167" i="20" s="1"/>
  <c r="AD167" i="20" s="1"/>
  <c r="AE167" i="20" s="1"/>
  <c r="AF167" i="20" s="1"/>
  <c r="AG167" i="20" s="1"/>
  <c r="AH167" i="20"/>
  <c r="AI167" i="20" s="1"/>
  <c r="AJ167" i="20" s="1"/>
  <c r="AK167" i="20" s="1"/>
  <c r="Y168" i="20"/>
  <c r="Z168" i="20"/>
  <c r="AA168" i="20" s="1"/>
  <c r="AB168" i="20" s="1"/>
  <c r="AC168" i="20" s="1"/>
  <c r="AD168" i="20" s="1"/>
  <c r="AE168" i="20" s="1"/>
  <c r="AF168" i="20" s="1"/>
  <c r="AG168" i="20" s="1"/>
  <c r="AH168" i="20" s="1"/>
  <c r="AI168" i="20" s="1"/>
  <c r="AJ168" i="20" s="1"/>
  <c r="AK168" i="20" s="1"/>
  <c r="Y169" i="20"/>
  <c r="Z169" i="20" s="1"/>
  <c r="AA169" i="20" s="1"/>
  <c r="AB169" i="20" s="1"/>
  <c r="AC169" i="20" s="1"/>
  <c r="AD169" i="20" s="1"/>
  <c r="AE169" i="20" s="1"/>
  <c r="AF169" i="20" s="1"/>
  <c r="AG169" i="20" s="1"/>
  <c r="AH169" i="20" s="1"/>
  <c r="AI169" i="20" s="1"/>
  <c r="AJ169" i="20" s="1"/>
  <c r="AK169" i="20" s="1"/>
  <c r="Y170" i="20"/>
  <c r="Z170" i="20"/>
  <c r="AA170" i="20"/>
  <c r="AB170" i="20"/>
  <c r="AC170" i="20" s="1"/>
  <c r="AD170" i="20" s="1"/>
  <c r="AE170" i="20" s="1"/>
  <c r="AF170" i="20" s="1"/>
  <c r="AG170" i="20" s="1"/>
  <c r="AH170" i="20" s="1"/>
  <c r="AI170" i="20" s="1"/>
  <c r="AJ170" i="20" s="1"/>
  <c r="AK170" i="20" s="1"/>
  <c r="Y171" i="20"/>
  <c r="Z171" i="20"/>
  <c r="AA171" i="20"/>
  <c r="AB171" i="20" s="1"/>
  <c r="AC171" i="20" s="1"/>
  <c r="AD171" i="20" s="1"/>
  <c r="AE171" i="20" s="1"/>
  <c r="AF171" i="20" s="1"/>
  <c r="AG171" i="20" s="1"/>
  <c r="AH171" i="20" s="1"/>
  <c r="AI171" i="20" s="1"/>
  <c r="AJ171" i="20" s="1"/>
  <c r="AK171" i="20" s="1"/>
  <c r="Y172" i="20"/>
  <c r="Z172" i="20" s="1"/>
  <c r="AA172" i="20" s="1"/>
  <c r="AB172" i="20" s="1"/>
  <c r="AC172" i="20" s="1"/>
  <c r="AD172" i="20" s="1"/>
  <c r="AE172" i="20" s="1"/>
  <c r="AF172" i="20" s="1"/>
  <c r="AG172" i="20" s="1"/>
  <c r="AH172" i="20" s="1"/>
  <c r="AI172" i="20" s="1"/>
  <c r="AJ172" i="20" s="1"/>
  <c r="AK172" i="20" s="1"/>
  <c r="Y173" i="20"/>
  <c r="Z173" i="20" s="1"/>
  <c r="AA173" i="20"/>
  <c r="AB173" i="20"/>
  <c r="AC173" i="20" s="1"/>
  <c r="AD173" i="20" s="1"/>
  <c r="AE173" i="20" s="1"/>
  <c r="AF173" i="20" s="1"/>
  <c r="AG173" i="20" s="1"/>
  <c r="AH173" i="20" s="1"/>
  <c r="AI173" i="20" s="1"/>
  <c r="AJ173" i="20" s="1"/>
  <c r="AK173" i="20" s="1"/>
  <c r="Y174" i="20"/>
  <c r="Z174" i="20" s="1"/>
  <c r="AA174" i="20" s="1"/>
  <c r="AB174" i="20"/>
  <c r="AC174" i="20" s="1"/>
  <c r="AD174" i="20"/>
  <c r="AE174" i="20"/>
  <c r="AF174" i="20"/>
  <c r="AG174" i="20" s="1"/>
  <c r="AH174" i="20" s="1"/>
  <c r="AI174" i="20" s="1"/>
  <c r="AJ174" i="20" s="1"/>
  <c r="AK174" i="20" s="1"/>
  <c r="Y175" i="20"/>
  <c r="Z175" i="20" s="1"/>
  <c r="AA175" i="20" s="1"/>
  <c r="AB175" i="20" s="1"/>
  <c r="AC175" i="20" s="1"/>
  <c r="AD175" i="20" s="1"/>
  <c r="AE175" i="20" s="1"/>
  <c r="AF175" i="20" s="1"/>
  <c r="AG175" i="20" s="1"/>
  <c r="AH175" i="20" s="1"/>
  <c r="AI175" i="20" s="1"/>
  <c r="AJ175" i="20" s="1"/>
  <c r="AK175" i="20" s="1"/>
  <c r="Y176" i="20"/>
  <c r="Z176" i="20"/>
  <c r="AA176" i="20" s="1"/>
  <c r="AB176" i="20" s="1"/>
  <c r="AC176" i="20" s="1"/>
  <c r="AD176" i="20" s="1"/>
  <c r="AE176" i="20" s="1"/>
  <c r="AF176" i="20" s="1"/>
  <c r="AG176" i="20" s="1"/>
  <c r="AH176" i="20"/>
  <c r="AI176" i="20" s="1"/>
  <c r="AJ176" i="20" s="1"/>
  <c r="AK176" i="20" s="1"/>
  <c r="Y177" i="20"/>
  <c r="Z177" i="20" s="1"/>
  <c r="AA177" i="20" s="1"/>
  <c r="AB177" i="20" s="1"/>
  <c r="AC177" i="20" s="1"/>
  <c r="AD177" i="20" s="1"/>
  <c r="AE177" i="20" s="1"/>
  <c r="AF177" i="20" s="1"/>
  <c r="AG177" i="20" s="1"/>
  <c r="AH177" i="20" s="1"/>
  <c r="AI177" i="20" s="1"/>
  <c r="AJ177" i="20" s="1"/>
  <c r="AK177" i="20" s="1"/>
  <c r="Y178" i="20"/>
  <c r="Z178" i="20"/>
  <c r="AA178" i="20"/>
  <c r="AB178" i="20" s="1"/>
  <c r="AC178" i="20" s="1"/>
  <c r="AD178" i="20" s="1"/>
  <c r="AE178" i="20" s="1"/>
  <c r="AF178" i="20" s="1"/>
  <c r="AG178" i="20" s="1"/>
  <c r="AH178" i="20" s="1"/>
  <c r="AI178" i="20" s="1"/>
  <c r="AJ178" i="20"/>
  <c r="AK178" i="20" s="1"/>
  <c r="Y179" i="20"/>
  <c r="Z179" i="20"/>
  <c r="AA179" i="20"/>
  <c r="AB179" i="20" s="1"/>
  <c r="AC179" i="20" s="1"/>
  <c r="AD179" i="20" s="1"/>
  <c r="AE179" i="20" s="1"/>
  <c r="AF179" i="20" s="1"/>
  <c r="AG179" i="20" s="1"/>
  <c r="AH179" i="20" s="1"/>
  <c r="AI179" i="20" s="1"/>
  <c r="AJ179" i="20" s="1"/>
  <c r="AK179" i="20" s="1"/>
  <c r="Y180" i="20"/>
  <c r="Z180" i="20" s="1"/>
  <c r="AA180" i="20" s="1"/>
  <c r="AB180" i="20" s="1"/>
  <c r="AC180" i="20" s="1"/>
  <c r="AD180" i="20" s="1"/>
  <c r="AE180" i="20" s="1"/>
  <c r="AF180" i="20" s="1"/>
  <c r="AG180" i="20" s="1"/>
  <c r="AH180" i="20" s="1"/>
  <c r="AI180" i="20" s="1"/>
  <c r="AJ180" i="20" s="1"/>
  <c r="AK180" i="20" s="1"/>
  <c r="Y181" i="20"/>
  <c r="Z181" i="20" s="1"/>
  <c r="AA181" i="20"/>
  <c r="AB181" i="20"/>
  <c r="AC181" i="20" s="1"/>
  <c r="AD181" i="20" s="1"/>
  <c r="AE181" i="20" s="1"/>
  <c r="AF181" i="20" s="1"/>
  <c r="AG181" i="20" s="1"/>
  <c r="AH181" i="20" s="1"/>
  <c r="AI181" i="20" s="1"/>
  <c r="AJ181" i="20" s="1"/>
  <c r="AK181" i="20" s="1"/>
  <c r="Y182" i="20"/>
  <c r="Z182" i="20" s="1"/>
  <c r="AA182" i="20" s="1"/>
  <c r="AB182" i="20"/>
  <c r="AC182" i="20" s="1"/>
  <c r="AD182" i="20"/>
  <c r="AE182" i="20"/>
  <c r="AF182" i="20" s="1"/>
  <c r="AG182" i="20" s="1"/>
  <c r="AH182" i="20" s="1"/>
  <c r="AI182" i="20" s="1"/>
  <c r="AJ182" i="20" s="1"/>
  <c r="AK182" i="20" s="1"/>
  <c r="Y183" i="20"/>
  <c r="Z183" i="20" s="1"/>
  <c r="AA183" i="20" s="1"/>
  <c r="AB183" i="20" s="1"/>
  <c r="AC183" i="20" s="1"/>
  <c r="AD183" i="20" s="1"/>
  <c r="AE183" i="20" s="1"/>
  <c r="AF183" i="20" s="1"/>
  <c r="AG183" i="20" s="1"/>
  <c r="AH183" i="20" s="1"/>
  <c r="AI183" i="20" s="1"/>
  <c r="AJ183" i="20" s="1"/>
  <c r="AK183" i="20" s="1"/>
  <c r="Y184" i="20"/>
  <c r="Z184" i="20"/>
  <c r="AA184" i="20" s="1"/>
  <c r="AB184" i="20" s="1"/>
  <c r="AC184" i="20" s="1"/>
  <c r="AD184" i="20" s="1"/>
  <c r="AE184" i="20" s="1"/>
  <c r="AF184" i="20" s="1"/>
  <c r="AG184" i="20" s="1"/>
  <c r="AH184" i="20" s="1"/>
  <c r="AI184" i="20" s="1"/>
  <c r="AJ184" i="20" s="1"/>
  <c r="AK184" i="20" s="1"/>
  <c r="Y185" i="20"/>
  <c r="Z185" i="20" s="1"/>
  <c r="AA185" i="20" s="1"/>
  <c r="AB185" i="20" s="1"/>
  <c r="AC185" i="20" s="1"/>
  <c r="AD185" i="20" s="1"/>
  <c r="AE185" i="20" s="1"/>
  <c r="AF185" i="20" s="1"/>
  <c r="AG185" i="20" s="1"/>
  <c r="AH185" i="20" s="1"/>
  <c r="AI185" i="20" s="1"/>
  <c r="AJ185" i="20" s="1"/>
  <c r="AK185" i="20" s="1"/>
  <c r="Y186" i="20"/>
  <c r="Z186" i="20"/>
  <c r="AA186" i="20" s="1"/>
  <c r="AB186" i="20" s="1"/>
  <c r="AC186" i="20" s="1"/>
  <c r="AD186" i="20" s="1"/>
  <c r="AE186" i="20" s="1"/>
  <c r="AF186" i="20" s="1"/>
  <c r="AG186" i="20" s="1"/>
  <c r="AH186" i="20" s="1"/>
  <c r="AI186" i="20" s="1"/>
  <c r="AJ186" i="20" s="1"/>
  <c r="AK186" i="20" s="1"/>
  <c r="Y187" i="20"/>
  <c r="Z187" i="20"/>
  <c r="AA187" i="20"/>
  <c r="AB187" i="20" s="1"/>
  <c r="AC187" i="20"/>
  <c r="AD187" i="20" s="1"/>
  <c r="AE187" i="20" s="1"/>
  <c r="AF187" i="20" s="1"/>
  <c r="AG187" i="20" s="1"/>
  <c r="AH187" i="20" s="1"/>
  <c r="AI187" i="20" s="1"/>
  <c r="AJ187" i="20" s="1"/>
  <c r="AK187" i="20" s="1"/>
  <c r="Y188" i="20"/>
  <c r="Z188" i="20"/>
  <c r="AA188" i="20" s="1"/>
  <c r="AB188" i="20" s="1"/>
  <c r="AC188" i="20"/>
  <c r="AD188" i="20"/>
  <c r="AE188" i="20" s="1"/>
  <c r="AF188" i="20" s="1"/>
  <c r="AG188" i="20" s="1"/>
  <c r="AH188" i="20" s="1"/>
  <c r="AI188" i="20" s="1"/>
  <c r="AJ188" i="20" s="1"/>
  <c r="AK188" i="20" s="1"/>
  <c r="Y189" i="20"/>
  <c r="Z189" i="20" s="1"/>
  <c r="AA189" i="20"/>
  <c r="AB189" i="20"/>
  <c r="AC189" i="20"/>
  <c r="AD189" i="20" s="1"/>
  <c r="AE189" i="20" s="1"/>
  <c r="AF189" i="20" s="1"/>
  <c r="AG189" i="20" s="1"/>
  <c r="AH189" i="20" s="1"/>
  <c r="AI189" i="20" s="1"/>
  <c r="AJ189" i="20" s="1"/>
  <c r="AK189" i="20" s="1"/>
  <c r="Y190" i="20"/>
  <c r="Z190" i="20" s="1"/>
  <c r="AA190" i="20"/>
  <c r="AB190" i="20"/>
  <c r="AC190" i="20" s="1"/>
  <c r="AD190" i="20" s="1"/>
  <c r="AE190" i="20" s="1"/>
  <c r="AF190" i="20" s="1"/>
  <c r="AG190" i="20" s="1"/>
  <c r="AH190" i="20" s="1"/>
  <c r="AI190" i="20" s="1"/>
  <c r="AJ190" i="20" s="1"/>
  <c r="AK190" i="20" s="1"/>
  <c r="Y191" i="20"/>
  <c r="Z191" i="20"/>
  <c r="AA191" i="20"/>
  <c r="AB191" i="20" s="1"/>
  <c r="AC191" i="20" s="1"/>
  <c r="AD191" i="20" s="1"/>
  <c r="AE191" i="20" s="1"/>
  <c r="AF191" i="20" s="1"/>
  <c r="AG191" i="20" s="1"/>
  <c r="AH191" i="20" s="1"/>
  <c r="AI191" i="20" s="1"/>
  <c r="AJ191" i="20" s="1"/>
  <c r="AK191" i="20" s="1"/>
  <c r="Y192" i="20"/>
  <c r="Z192" i="20"/>
  <c r="AA192" i="20" s="1"/>
  <c r="AB192" i="20"/>
  <c r="AC192" i="20"/>
  <c r="AD192" i="20" s="1"/>
  <c r="AE192" i="20" s="1"/>
  <c r="AF192" i="20" s="1"/>
  <c r="AG192" i="20" s="1"/>
  <c r="AH192" i="20" s="1"/>
  <c r="AI192" i="20" s="1"/>
  <c r="AJ192" i="20" s="1"/>
  <c r="AK192" i="20" s="1"/>
  <c r="Y193" i="20"/>
  <c r="Z193" i="20" s="1"/>
  <c r="AA193" i="20" s="1"/>
  <c r="AB193" i="20" s="1"/>
  <c r="AC193" i="20" s="1"/>
  <c r="AD193" i="20" s="1"/>
  <c r="AE193" i="20" s="1"/>
  <c r="AF193" i="20" s="1"/>
  <c r="AG193" i="20" s="1"/>
  <c r="AH193" i="20" s="1"/>
  <c r="AI193" i="20" s="1"/>
  <c r="AJ193" i="20" s="1"/>
  <c r="AK193" i="20" s="1"/>
  <c r="Y194" i="20"/>
  <c r="Z194" i="20"/>
  <c r="AA194" i="20"/>
  <c r="AB194" i="20" s="1"/>
  <c r="AC194" i="20" s="1"/>
  <c r="AD194" i="20" s="1"/>
  <c r="AE194" i="20" s="1"/>
  <c r="AF194" i="20" s="1"/>
  <c r="AG194" i="20" s="1"/>
  <c r="AH194" i="20" s="1"/>
  <c r="AI194" i="20" s="1"/>
  <c r="AJ194" i="20" s="1"/>
  <c r="AK194" i="20" s="1"/>
  <c r="Y195" i="20"/>
  <c r="Z195" i="20"/>
  <c r="AA195" i="20"/>
  <c r="AB195" i="20" s="1"/>
  <c r="AC195" i="20" s="1"/>
  <c r="AD195" i="20" s="1"/>
  <c r="AE195" i="20" s="1"/>
  <c r="AF195" i="20" s="1"/>
  <c r="AG195" i="20" s="1"/>
  <c r="AH195" i="20" s="1"/>
  <c r="AI195" i="20" s="1"/>
  <c r="AJ195" i="20" s="1"/>
  <c r="AK195" i="20" s="1"/>
  <c r="Y196" i="20"/>
  <c r="Z196" i="20" s="1"/>
  <c r="AA196" i="20" s="1"/>
  <c r="AB196" i="20" s="1"/>
  <c r="AC196" i="20" s="1"/>
  <c r="AD196" i="20" s="1"/>
  <c r="AE196" i="20"/>
  <c r="AF196" i="20" s="1"/>
  <c r="AG196" i="20" s="1"/>
  <c r="AH196" i="20" s="1"/>
  <c r="AI196" i="20" s="1"/>
  <c r="AJ196" i="20" s="1"/>
  <c r="AK196" i="20" s="1"/>
  <c r="Y197" i="20"/>
  <c r="Z197" i="20"/>
  <c r="AA197" i="20"/>
  <c r="AB197" i="20" s="1"/>
  <c r="AC197" i="20" s="1"/>
  <c r="AD197" i="20" s="1"/>
  <c r="AE197" i="20" s="1"/>
  <c r="AF197" i="20" s="1"/>
  <c r="AG197" i="20" s="1"/>
  <c r="AH197" i="20" s="1"/>
  <c r="AI197" i="20" s="1"/>
  <c r="AJ197" i="20" s="1"/>
  <c r="AK197" i="20" s="1"/>
  <c r="Y198" i="20"/>
  <c r="Z198" i="20" s="1"/>
  <c r="AA198" i="20"/>
  <c r="AB198" i="20" s="1"/>
  <c r="AC198" i="20" s="1"/>
  <c r="AD198" i="20" s="1"/>
  <c r="AE198" i="20" s="1"/>
  <c r="AF198" i="20"/>
  <c r="AG198" i="20" s="1"/>
  <c r="AH198" i="20" s="1"/>
  <c r="AI198" i="20" s="1"/>
  <c r="AJ198" i="20" s="1"/>
  <c r="AK198" i="20" s="1"/>
  <c r="Y199" i="20"/>
  <c r="Z199" i="20" s="1"/>
  <c r="AA199" i="20" s="1"/>
  <c r="AB199" i="20"/>
  <c r="AC199" i="20" s="1"/>
  <c r="AD199" i="20" s="1"/>
  <c r="AE199" i="20" s="1"/>
  <c r="AF199" i="20" s="1"/>
  <c r="AG199" i="20" s="1"/>
  <c r="AH199" i="20" s="1"/>
  <c r="AI199" i="20" s="1"/>
  <c r="AJ199" i="20" s="1"/>
  <c r="AK199" i="20" s="1"/>
  <c r="Y200" i="20"/>
  <c r="Z200" i="20" s="1"/>
  <c r="AA200" i="20" s="1"/>
  <c r="AB200" i="20" s="1"/>
  <c r="AC200" i="20" s="1"/>
  <c r="AD200" i="20" s="1"/>
  <c r="AE200" i="20" s="1"/>
  <c r="AF200" i="20" s="1"/>
  <c r="AG200" i="20" s="1"/>
  <c r="AH200" i="20" s="1"/>
  <c r="AI200" i="20" s="1"/>
  <c r="AJ200" i="20" s="1"/>
  <c r="AK200" i="20" s="1"/>
  <c r="Y201" i="20"/>
  <c r="Z201" i="20"/>
  <c r="AA201" i="20"/>
  <c r="AB201" i="20" s="1"/>
  <c r="AC201" i="20" s="1"/>
  <c r="AD201" i="20" s="1"/>
  <c r="AE201" i="20" s="1"/>
  <c r="AF201" i="20" s="1"/>
  <c r="AG201" i="20" s="1"/>
  <c r="AH201" i="20" s="1"/>
  <c r="AI201" i="20" s="1"/>
  <c r="AJ201" i="20"/>
  <c r="AK201" i="20" s="1"/>
  <c r="Y202" i="20"/>
  <c r="Z202" i="20" s="1"/>
  <c r="AA202" i="20" s="1"/>
  <c r="AB202" i="20" s="1"/>
  <c r="AC202" i="20" s="1"/>
  <c r="AD202" i="20" s="1"/>
  <c r="AE202" i="20" s="1"/>
  <c r="AF202" i="20" s="1"/>
  <c r="AG202" i="20" s="1"/>
  <c r="AH202" i="20" s="1"/>
  <c r="AI202" i="20" s="1"/>
  <c r="AJ202" i="20" s="1"/>
  <c r="AK202" i="20" s="1"/>
  <c r="Y203" i="20"/>
  <c r="Z203" i="20"/>
  <c r="AA203" i="20" s="1"/>
  <c r="AB203" i="20" s="1"/>
  <c r="AC203" i="20" s="1"/>
  <c r="AD203" i="20" s="1"/>
  <c r="AE203" i="20" s="1"/>
  <c r="AF203" i="20" s="1"/>
  <c r="AG203" i="20" s="1"/>
  <c r="AH203" i="20" s="1"/>
  <c r="AI203" i="20" s="1"/>
  <c r="AJ203" i="20" s="1"/>
  <c r="AK203" i="20" s="1"/>
  <c r="Y204" i="20"/>
  <c r="Z204" i="20" s="1"/>
  <c r="AA204" i="20" s="1"/>
  <c r="AB204" i="20"/>
  <c r="AC204" i="20" s="1"/>
  <c r="AD204" i="20" s="1"/>
  <c r="AE204" i="20" s="1"/>
  <c r="AF204" i="20" s="1"/>
  <c r="AG204" i="20" s="1"/>
  <c r="AH204" i="20" s="1"/>
  <c r="AI204" i="20" s="1"/>
  <c r="AJ204" i="20" s="1"/>
  <c r="AK204" i="20" s="1"/>
  <c r="Y205" i="20"/>
  <c r="Z205" i="20"/>
  <c r="AA205" i="20" s="1"/>
  <c r="AB205" i="20" s="1"/>
  <c r="AC205" i="20" s="1"/>
  <c r="AD205" i="20" s="1"/>
  <c r="AE205" i="20"/>
  <c r="AF205" i="20" s="1"/>
  <c r="AG205" i="20" s="1"/>
  <c r="AH205" i="20" s="1"/>
  <c r="AI205" i="20" s="1"/>
  <c r="AJ205" i="20" s="1"/>
  <c r="AK205" i="20" s="1"/>
  <c r="Y206" i="20"/>
  <c r="Z206" i="20"/>
  <c r="AA206" i="20" s="1"/>
  <c r="AB206" i="20" s="1"/>
  <c r="AC206" i="20"/>
  <c r="AD206" i="20" s="1"/>
  <c r="AE206" i="20" s="1"/>
  <c r="AF206" i="20" s="1"/>
  <c r="AG206" i="20" s="1"/>
  <c r="AH206" i="20" s="1"/>
  <c r="AI206" i="20" s="1"/>
  <c r="AJ206" i="20" s="1"/>
  <c r="AK206" i="20" s="1"/>
  <c r="Y207" i="20"/>
  <c r="Z207" i="20" s="1"/>
  <c r="AA207" i="20" s="1"/>
  <c r="AB207" i="20" s="1"/>
  <c r="AC207" i="20" s="1"/>
  <c r="AD207" i="20" s="1"/>
  <c r="AE207" i="20"/>
  <c r="AF207" i="20" s="1"/>
  <c r="AG207" i="20" s="1"/>
  <c r="AH207" i="20" s="1"/>
  <c r="AI207" i="20" s="1"/>
  <c r="AJ207" i="20" s="1"/>
  <c r="AK207" i="20" s="1"/>
  <c r="Y208" i="20"/>
  <c r="Z208" i="20" s="1"/>
  <c r="AA208" i="20" s="1"/>
  <c r="AB208" i="20" s="1"/>
  <c r="AC208" i="20" s="1"/>
  <c r="AD208" i="20" s="1"/>
  <c r="AE208" i="20" s="1"/>
  <c r="AF208" i="20" s="1"/>
  <c r="AG208" i="20" s="1"/>
  <c r="AH208" i="20" s="1"/>
  <c r="AI208" i="20" s="1"/>
  <c r="AJ208" i="20" s="1"/>
  <c r="AK208" i="20" s="1"/>
  <c r="Y209" i="20"/>
  <c r="Z209" i="20"/>
  <c r="AA209" i="20"/>
  <c r="AB209" i="20"/>
  <c r="AC209" i="20" s="1"/>
  <c r="AD209" i="20" s="1"/>
  <c r="AE209" i="20" s="1"/>
  <c r="AF209" i="20" s="1"/>
  <c r="AG209" i="20" s="1"/>
  <c r="AH209" i="20" s="1"/>
  <c r="AI209" i="20" s="1"/>
  <c r="AJ209" i="20" s="1"/>
  <c r="AK209" i="20" s="1"/>
  <c r="Y210" i="20"/>
  <c r="Z210" i="20" s="1"/>
  <c r="AA210" i="20" s="1"/>
  <c r="AB210" i="20" s="1"/>
  <c r="AC210" i="20" s="1"/>
  <c r="AD210" i="20" s="1"/>
  <c r="AE210" i="20" s="1"/>
  <c r="AF210" i="20" s="1"/>
  <c r="AG210" i="20"/>
  <c r="AH210" i="20" s="1"/>
  <c r="AI210" i="20" s="1"/>
  <c r="AJ210" i="20" s="1"/>
  <c r="AK210" i="20" s="1"/>
  <c r="Y211" i="20"/>
  <c r="Z211" i="20" s="1"/>
  <c r="AA211" i="20" s="1"/>
  <c r="AB211" i="20" s="1"/>
  <c r="AC211" i="20" s="1"/>
  <c r="AD211" i="20" s="1"/>
  <c r="AE211" i="20" s="1"/>
  <c r="AF211" i="20"/>
  <c r="AG211" i="20" s="1"/>
  <c r="AH211" i="20" s="1"/>
  <c r="AI211" i="20" s="1"/>
  <c r="AJ211" i="20" s="1"/>
  <c r="AK211" i="20" s="1"/>
  <c r="Y212" i="20"/>
  <c r="Z212" i="20" s="1"/>
  <c r="AA212" i="20"/>
  <c r="AB212" i="20"/>
  <c r="AC212" i="20" s="1"/>
  <c r="AD212" i="20" s="1"/>
  <c r="AE212" i="20" s="1"/>
  <c r="AF212" i="20" s="1"/>
  <c r="AG212" i="20" s="1"/>
  <c r="AH212" i="20" s="1"/>
  <c r="AI212" i="20" s="1"/>
  <c r="AJ212" i="20" s="1"/>
  <c r="AK212" i="20" s="1"/>
  <c r="Y213" i="20"/>
  <c r="Z213" i="20" s="1"/>
  <c r="AA213" i="20" s="1"/>
  <c r="AB213" i="20" s="1"/>
  <c r="AC213" i="20" s="1"/>
  <c r="AD213" i="20" s="1"/>
  <c r="AE213" i="20" s="1"/>
  <c r="AF213" i="20" s="1"/>
  <c r="AG213" i="20" s="1"/>
  <c r="AH213" i="20" s="1"/>
  <c r="AI213" i="20"/>
  <c r="AJ213" i="20" s="1"/>
  <c r="AK213" i="20" s="1"/>
  <c r="Y214" i="20"/>
  <c r="Z214" i="20"/>
  <c r="AA214" i="20" s="1"/>
  <c r="AB214" i="20" s="1"/>
  <c r="AC214" i="20" s="1"/>
  <c r="AD214" i="20" s="1"/>
  <c r="AE214" i="20" s="1"/>
  <c r="AF214" i="20" s="1"/>
  <c r="AG214" i="20" s="1"/>
  <c r="AH214" i="20"/>
  <c r="AI214" i="20" s="1"/>
  <c r="AJ214" i="20" s="1"/>
  <c r="AK214" i="20" s="1"/>
  <c r="Y215" i="20"/>
  <c r="Z215" i="20" s="1"/>
  <c r="AA215" i="20" s="1"/>
  <c r="AB215" i="20"/>
  <c r="AC215" i="20" s="1"/>
  <c r="AD215" i="20" s="1"/>
  <c r="AE215" i="20"/>
  <c r="AF215" i="20" s="1"/>
  <c r="AG215" i="20" s="1"/>
  <c r="AH215" i="20" s="1"/>
  <c r="AI215" i="20" s="1"/>
  <c r="AJ215" i="20" s="1"/>
  <c r="AK215" i="20" s="1"/>
  <c r="Y216" i="20"/>
  <c r="Z216" i="20" s="1"/>
  <c r="AA216" i="20" s="1"/>
  <c r="AB216" i="20"/>
  <c r="AC216" i="20" s="1"/>
  <c r="AD216" i="20" s="1"/>
  <c r="AE216" i="20" s="1"/>
  <c r="AF216" i="20" s="1"/>
  <c r="AG216" i="20" s="1"/>
  <c r="AH216" i="20" s="1"/>
  <c r="AI216" i="20" s="1"/>
  <c r="AJ216" i="20" s="1"/>
  <c r="AK216" i="20" s="1"/>
  <c r="Y217" i="20"/>
  <c r="Z217" i="20"/>
  <c r="AA217" i="20" s="1"/>
  <c r="AB217" i="20" s="1"/>
  <c r="AC217" i="20" s="1"/>
  <c r="AD217" i="20" s="1"/>
  <c r="AE217" i="20" s="1"/>
  <c r="AF217" i="20" s="1"/>
  <c r="AG217" i="20" s="1"/>
  <c r="AH217" i="20" s="1"/>
  <c r="AI217" i="20" s="1"/>
  <c r="AJ217" i="20" s="1"/>
  <c r="AK217" i="20" s="1"/>
  <c r="Y218" i="20"/>
  <c r="Z218" i="20" s="1"/>
  <c r="AA218" i="20" s="1"/>
  <c r="AB218" i="20" s="1"/>
  <c r="AC218" i="20" s="1"/>
  <c r="AD218" i="20" s="1"/>
  <c r="AE218" i="20" s="1"/>
  <c r="AF218" i="20" s="1"/>
  <c r="AG218" i="20" s="1"/>
  <c r="AH218" i="20" s="1"/>
  <c r="AI218" i="20" s="1"/>
  <c r="AJ218" i="20" s="1"/>
  <c r="AK218" i="20" s="1"/>
  <c r="Y219" i="20"/>
  <c r="Z219" i="20" s="1"/>
  <c r="AA219" i="20" s="1"/>
  <c r="AB219" i="20" s="1"/>
  <c r="AC219" i="20" s="1"/>
  <c r="AD219" i="20" s="1"/>
  <c r="AE219" i="20" s="1"/>
  <c r="AF219" i="20" s="1"/>
  <c r="AG219" i="20" s="1"/>
  <c r="AH219" i="20" s="1"/>
  <c r="AI219" i="20" s="1"/>
  <c r="AJ219" i="20" s="1"/>
  <c r="AK219" i="20" s="1"/>
  <c r="Y220" i="20"/>
  <c r="Z220" i="20" s="1"/>
  <c r="AA220" i="20"/>
  <c r="AB220" i="20"/>
  <c r="AC220" i="20" s="1"/>
  <c r="AD220" i="20" s="1"/>
  <c r="AE220" i="20" s="1"/>
  <c r="AF220" i="20" s="1"/>
  <c r="AG220" i="20" s="1"/>
  <c r="AH220" i="20" s="1"/>
  <c r="AI220" i="20" s="1"/>
  <c r="AJ220" i="20" s="1"/>
  <c r="AK220" i="20" s="1"/>
  <c r="Y221" i="20"/>
  <c r="Z221" i="20" s="1"/>
  <c r="AA221" i="20" s="1"/>
  <c r="AB221" i="20" s="1"/>
  <c r="AC221" i="20" s="1"/>
  <c r="AD221" i="20" s="1"/>
  <c r="AE221" i="20" s="1"/>
  <c r="AF221" i="20" s="1"/>
  <c r="AG221" i="20" s="1"/>
  <c r="AH221" i="20" s="1"/>
  <c r="AI221" i="20" s="1"/>
  <c r="AJ221" i="20" s="1"/>
  <c r="AK221" i="20" s="1"/>
  <c r="Y222" i="20"/>
  <c r="Z222" i="20"/>
  <c r="AA222" i="20" s="1"/>
  <c r="AB222" i="20" s="1"/>
  <c r="AC222" i="20" s="1"/>
  <c r="AD222" i="20" s="1"/>
  <c r="AE222" i="20" s="1"/>
  <c r="AF222" i="20" s="1"/>
  <c r="AG222" i="20" s="1"/>
  <c r="AH222" i="20" s="1"/>
  <c r="AI222" i="20" s="1"/>
  <c r="AJ222" i="20" s="1"/>
  <c r="AK222" i="20" s="1"/>
  <c r="Y223" i="20"/>
  <c r="Z223" i="20" s="1"/>
  <c r="AA223" i="20" s="1"/>
  <c r="AB223" i="20"/>
  <c r="AC223" i="20" s="1"/>
  <c r="AD223" i="20" s="1"/>
  <c r="AE223" i="20" s="1"/>
  <c r="AF223" i="20" s="1"/>
  <c r="AG223" i="20" s="1"/>
  <c r="AH223" i="20" s="1"/>
  <c r="AI223" i="20" s="1"/>
  <c r="AJ223" i="20" s="1"/>
  <c r="AK223" i="20" s="1"/>
  <c r="Y224" i="20"/>
  <c r="Z224" i="20" s="1"/>
  <c r="AA224" i="20" s="1"/>
  <c r="AB224" i="20" s="1"/>
  <c r="AC224" i="20" s="1"/>
  <c r="AD224" i="20" s="1"/>
  <c r="AE224" i="20" s="1"/>
  <c r="AF224" i="20" s="1"/>
  <c r="AG224" i="20" s="1"/>
  <c r="AH224" i="20" s="1"/>
  <c r="AI224" i="20" s="1"/>
  <c r="AJ224" i="20" s="1"/>
  <c r="AK224" i="20" s="1"/>
  <c r="Y225" i="20"/>
  <c r="Z225" i="20"/>
  <c r="AA225" i="20" s="1"/>
  <c r="AB225" i="20" s="1"/>
  <c r="AC225" i="20" s="1"/>
  <c r="AD225" i="20" s="1"/>
  <c r="AE225" i="20" s="1"/>
  <c r="AF225" i="20" s="1"/>
  <c r="AG225" i="20" s="1"/>
  <c r="AH225" i="20" s="1"/>
  <c r="AI225" i="20" s="1"/>
  <c r="AJ225" i="20" s="1"/>
  <c r="AK225" i="20" s="1"/>
  <c r="Y226" i="20"/>
  <c r="Z226" i="20" s="1"/>
  <c r="AA226" i="20" s="1"/>
  <c r="AB226" i="20" s="1"/>
  <c r="AC226" i="20" s="1"/>
  <c r="AD226" i="20" s="1"/>
  <c r="AE226" i="20" s="1"/>
  <c r="AF226" i="20" s="1"/>
  <c r="AG226" i="20"/>
  <c r="AH226" i="20" s="1"/>
  <c r="AI226" i="20" s="1"/>
  <c r="AJ226" i="20" s="1"/>
  <c r="AK226" i="20" s="1"/>
  <c r="Y227" i="20"/>
  <c r="Z227" i="20" s="1"/>
  <c r="AA227" i="20" s="1"/>
  <c r="AB227" i="20" s="1"/>
  <c r="AC227" i="20" s="1"/>
  <c r="AD227" i="20" s="1"/>
  <c r="AE227" i="20" s="1"/>
  <c r="AF227" i="20"/>
  <c r="AG227" i="20" s="1"/>
  <c r="AH227" i="20" s="1"/>
  <c r="AI227" i="20" s="1"/>
  <c r="AJ227" i="20" s="1"/>
  <c r="AK227" i="20" s="1"/>
  <c r="Y228" i="20"/>
  <c r="Z228" i="20" s="1"/>
  <c r="AA228" i="20"/>
  <c r="AB228" i="20"/>
  <c r="AC228" i="20" s="1"/>
  <c r="AD228" i="20" s="1"/>
  <c r="AE228" i="20" s="1"/>
  <c r="AF228" i="20" s="1"/>
  <c r="AG228" i="20" s="1"/>
  <c r="AH228" i="20" s="1"/>
  <c r="AI228" i="20" s="1"/>
  <c r="AJ228" i="20" s="1"/>
  <c r="AK228" i="20" s="1"/>
  <c r="Y229" i="20"/>
  <c r="Z229" i="20" s="1"/>
  <c r="AA229" i="20" s="1"/>
  <c r="AB229" i="20" s="1"/>
  <c r="AC229" i="20" s="1"/>
  <c r="AD229" i="20" s="1"/>
  <c r="AE229" i="20" s="1"/>
  <c r="AF229" i="20" s="1"/>
  <c r="AG229" i="20" s="1"/>
  <c r="AH229" i="20" s="1"/>
  <c r="AI229" i="20"/>
  <c r="AJ229" i="20" s="1"/>
  <c r="AK229" i="20" s="1"/>
  <c r="Y230" i="20"/>
  <c r="Z230" i="20"/>
  <c r="AA230" i="20" s="1"/>
  <c r="AB230" i="20" s="1"/>
  <c r="AC230" i="20" s="1"/>
  <c r="AD230" i="20" s="1"/>
  <c r="AE230" i="20" s="1"/>
  <c r="AF230" i="20" s="1"/>
  <c r="AG230" i="20" s="1"/>
  <c r="AH230" i="20"/>
  <c r="AI230" i="20" s="1"/>
  <c r="AJ230" i="20" s="1"/>
  <c r="AK230" i="20" s="1"/>
  <c r="Y231" i="20"/>
  <c r="Z231" i="20" s="1"/>
  <c r="AA231" i="20" s="1"/>
  <c r="AB231" i="20"/>
  <c r="AC231" i="20" s="1"/>
  <c r="AD231" i="20" s="1"/>
  <c r="AE231" i="20"/>
  <c r="AF231" i="20" s="1"/>
  <c r="AG231" i="20" s="1"/>
  <c r="AH231" i="20" s="1"/>
  <c r="AI231" i="20" s="1"/>
  <c r="AJ231" i="20" s="1"/>
  <c r="AK231" i="20" s="1"/>
  <c r="Y232" i="20"/>
  <c r="Z232" i="20" s="1"/>
  <c r="AA232" i="20" s="1"/>
  <c r="AB232" i="20"/>
  <c r="AC232" i="20" s="1"/>
  <c r="AD232" i="20" s="1"/>
  <c r="AE232" i="20" s="1"/>
  <c r="AF232" i="20" s="1"/>
  <c r="AG232" i="20" s="1"/>
  <c r="AH232" i="20" s="1"/>
  <c r="AI232" i="20" s="1"/>
  <c r="AJ232" i="20" s="1"/>
  <c r="AK232" i="20" s="1"/>
  <c r="Y233" i="20"/>
  <c r="Z233" i="20"/>
  <c r="AA233" i="20" s="1"/>
  <c r="AB233" i="20" s="1"/>
  <c r="AC233" i="20" s="1"/>
  <c r="AD233" i="20" s="1"/>
  <c r="AE233" i="20" s="1"/>
  <c r="AF233" i="20" s="1"/>
  <c r="AG233" i="20" s="1"/>
  <c r="AH233" i="20" s="1"/>
  <c r="AI233" i="20" s="1"/>
  <c r="AJ233" i="20" s="1"/>
  <c r="AK233" i="20" s="1"/>
  <c r="Y234" i="20"/>
  <c r="Z234" i="20"/>
  <c r="AA234" i="20" s="1"/>
  <c r="AB234" i="20" s="1"/>
  <c r="AC234" i="20"/>
  <c r="AD234" i="20" s="1"/>
  <c r="AE234" i="20" s="1"/>
  <c r="AF234" i="20" s="1"/>
  <c r="AG234" i="20" s="1"/>
  <c r="AH234" i="20" s="1"/>
  <c r="AI234" i="20" s="1"/>
  <c r="AJ234" i="20" s="1"/>
  <c r="AK234" i="20" s="1"/>
  <c r="Y235" i="20"/>
  <c r="Z235" i="20"/>
  <c r="AA235" i="20" s="1"/>
  <c r="AB235" i="20" s="1"/>
  <c r="AC235" i="20" s="1"/>
  <c r="AD235" i="20" s="1"/>
  <c r="AE235" i="20" s="1"/>
  <c r="AF235" i="20" s="1"/>
  <c r="AG235" i="20" s="1"/>
  <c r="AH235" i="20" s="1"/>
  <c r="AI235" i="20" s="1"/>
  <c r="AJ235" i="20" s="1"/>
  <c r="AK235" i="20" s="1"/>
  <c r="Y236" i="20"/>
  <c r="Z236" i="20"/>
  <c r="AA236" i="20"/>
  <c r="AB236" i="20" s="1"/>
  <c r="AC236" i="20" s="1"/>
  <c r="AD236" i="20" s="1"/>
  <c r="AE236" i="20" s="1"/>
  <c r="AF236" i="20" s="1"/>
  <c r="AG236" i="20" s="1"/>
  <c r="AH236" i="20" s="1"/>
  <c r="AI236" i="20"/>
  <c r="AJ236" i="20" s="1"/>
  <c r="AK236" i="20" s="1"/>
  <c r="Y237" i="20"/>
  <c r="Z237" i="20" s="1"/>
  <c r="AA237" i="20" s="1"/>
  <c r="AB237" i="20" s="1"/>
  <c r="AC237" i="20" s="1"/>
  <c r="AD237" i="20"/>
  <c r="AE237" i="20" s="1"/>
  <c r="AF237" i="20" s="1"/>
  <c r="AG237" i="20" s="1"/>
  <c r="AH237" i="20" s="1"/>
  <c r="AI237" i="20" s="1"/>
  <c r="AJ237" i="20" s="1"/>
  <c r="AK237" i="20" s="1"/>
  <c r="Y238" i="20"/>
  <c r="Z238" i="20" s="1"/>
  <c r="AA238" i="20" s="1"/>
  <c r="AB238" i="20" s="1"/>
  <c r="AC238" i="20" s="1"/>
  <c r="AD238" i="20" s="1"/>
  <c r="AE238" i="20" s="1"/>
  <c r="AF238" i="20" s="1"/>
  <c r="AG238" i="20" s="1"/>
  <c r="AH238" i="20" s="1"/>
  <c r="AI238" i="20" s="1"/>
  <c r="AJ238" i="20" s="1"/>
  <c r="AK238" i="20" s="1"/>
  <c r="Y239" i="20"/>
  <c r="Z239" i="20" s="1"/>
  <c r="AA239" i="20" s="1"/>
  <c r="AB239" i="20" s="1"/>
  <c r="AC239" i="20" s="1"/>
  <c r="AD239" i="20" s="1"/>
  <c r="AE239" i="20" s="1"/>
  <c r="AF239" i="20" s="1"/>
  <c r="AG239" i="20" s="1"/>
  <c r="AH239" i="20" s="1"/>
  <c r="AI239" i="20" s="1"/>
  <c r="AJ239" i="20" s="1"/>
  <c r="AK239" i="20" s="1"/>
  <c r="Y240" i="20"/>
  <c r="Z240" i="20" s="1"/>
  <c r="AA240" i="20" s="1"/>
  <c r="AB240" i="20" s="1"/>
  <c r="AC240" i="20" s="1"/>
  <c r="AD240" i="20" s="1"/>
  <c r="AE240" i="20" s="1"/>
  <c r="AF240" i="20" s="1"/>
  <c r="AG240" i="20" s="1"/>
  <c r="AH240" i="20" s="1"/>
  <c r="AI240" i="20" s="1"/>
  <c r="AJ240" i="20" s="1"/>
  <c r="AK240" i="20" s="1"/>
  <c r="Y241" i="20"/>
  <c r="Z241" i="20"/>
  <c r="AA241" i="20" s="1"/>
  <c r="AB241" i="20" s="1"/>
  <c r="AC241" i="20" s="1"/>
  <c r="AD241" i="20" s="1"/>
  <c r="AE241" i="20" s="1"/>
  <c r="AF241" i="20" s="1"/>
  <c r="AG241" i="20" s="1"/>
  <c r="AH241" i="20" s="1"/>
  <c r="AI241" i="20" s="1"/>
  <c r="AJ241" i="20" s="1"/>
  <c r="AK241" i="20" s="1"/>
  <c r="Y242" i="20"/>
  <c r="Z242" i="20"/>
  <c r="AA242" i="20" s="1"/>
  <c r="AB242" i="20" s="1"/>
  <c r="AC242" i="20" s="1"/>
  <c r="AD242" i="20" s="1"/>
  <c r="AE242" i="20" s="1"/>
  <c r="AF242" i="20" s="1"/>
  <c r="AG242" i="20" s="1"/>
  <c r="AH242" i="20" s="1"/>
  <c r="AI242" i="20" s="1"/>
  <c r="AJ242" i="20" s="1"/>
  <c r="AK242" i="20" s="1"/>
  <c r="Y243" i="20"/>
  <c r="Z243" i="20"/>
  <c r="AA243" i="20" s="1"/>
  <c r="AB243" i="20" s="1"/>
  <c r="AC243" i="20" s="1"/>
  <c r="AD243" i="20" s="1"/>
  <c r="AE243" i="20" s="1"/>
  <c r="AF243" i="20"/>
  <c r="AG243" i="20" s="1"/>
  <c r="AH243" i="20" s="1"/>
  <c r="AI243" i="20" s="1"/>
  <c r="AJ243" i="20" s="1"/>
  <c r="AK243" i="20" s="1"/>
  <c r="Y244" i="20"/>
  <c r="Z244" i="20"/>
  <c r="AA244" i="20"/>
  <c r="AB244" i="20" s="1"/>
  <c r="AC244" i="20" s="1"/>
  <c r="AD244" i="20" s="1"/>
  <c r="AE244" i="20" s="1"/>
  <c r="AF244" i="20" s="1"/>
  <c r="AG244" i="20" s="1"/>
  <c r="AH244" i="20" s="1"/>
  <c r="AI244" i="20" s="1"/>
  <c r="AJ244" i="20" s="1"/>
  <c r="AK244" i="20" s="1"/>
  <c r="Y245" i="20"/>
  <c r="Z245" i="20" s="1"/>
  <c r="AA245" i="20" s="1"/>
  <c r="AB245" i="20" s="1"/>
  <c r="AC245" i="20" s="1"/>
  <c r="AD245" i="20" s="1"/>
  <c r="AE245" i="20" s="1"/>
  <c r="AF245" i="20" s="1"/>
  <c r="AG245" i="20" s="1"/>
  <c r="AH245" i="20" s="1"/>
  <c r="AI245" i="20" s="1"/>
  <c r="AJ245" i="20" s="1"/>
  <c r="AK245" i="20" s="1"/>
  <c r="Y246" i="20"/>
  <c r="Z246" i="20" s="1"/>
  <c r="AA246" i="20" s="1"/>
  <c r="AB246" i="20" s="1"/>
  <c r="AC246" i="20" s="1"/>
  <c r="AD246" i="20" s="1"/>
  <c r="AE246" i="20" s="1"/>
  <c r="AF246" i="20" s="1"/>
  <c r="AG246" i="20"/>
  <c r="AH246" i="20" s="1"/>
  <c r="AI246" i="20" s="1"/>
  <c r="AJ246" i="20" s="1"/>
  <c r="AK246" i="20" s="1"/>
  <c r="Y247" i="20"/>
  <c r="Z247" i="20" s="1"/>
  <c r="AA247" i="20" s="1"/>
  <c r="AB247" i="20" s="1"/>
  <c r="AC247" i="20" s="1"/>
  <c r="AD247" i="20" s="1"/>
  <c r="AE247" i="20" s="1"/>
  <c r="AF247" i="20" s="1"/>
  <c r="AG247" i="20" s="1"/>
  <c r="AH247" i="20" s="1"/>
  <c r="AI247" i="20" s="1"/>
  <c r="AJ247" i="20" s="1"/>
  <c r="AK247" i="20" s="1"/>
  <c r="Y248" i="20"/>
  <c r="Z248" i="20" s="1"/>
  <c r="AA248" i="20" s="1"/>
  <c r="AB248" i="20" s="1"/>
  <c r="AC248" i="20" s="1"/>
  <c r="AD248" i="20" s="1"/>
  <c r="AE248" i="20"/>
  <c r="AF248" i="20" s="1"/>
  <c r="AG248" i="20" s="1"/>
  <c r="AH248" i="20" s="1"/>
  <c r="AI248" i="20" s="1"/>
  <c r="AJ248" i="20" s="1"/>
  <c r="AK248" i="20" s="1"/>
  <c r="Y249" i="20"/>
  <c r="Z249" i="20"/>
  <c r="AA249" i="20" s="1"/>
  <c r="AB249" i="20" s="1"/>
  <c r="AC249" i="20" s="1"/>
  <c r="AD249" i="20" s="1"/>
  <c r="AE249" i="20" s="1"/>
  <c r="AF249" i="20" s="1"/>
  <c r="AG249" i="20" s="1"/>
  <c r="AH249" i="20" s="1"/>
  <c r="AI249" i="20" s="1"/>
  <c r="AJ249" i="20" s="1"/>
  <c r="AK249" i="20" s="1"/>
  <c r="Y250" i="20"/>
  <c r="Z250" i="20"/>
  <c r="AA250" i="20" s="1"/>
  <c r="AB250" i="20" s="1"/>
  <c r="AC250" i="20" s="1"/>
  <c r="AD250" i="20" s="1"/>
  <c r="AE250" i="20" s="1"/>
  <c r="AF250" i="20" s="1"/>
  <c r="AG250" i="20" s="1"/>
  <c r="AH250" i="20" s="1"/>
  <c r="AI250" i="20" s="1"/>
  <c r="AJ250" i="20" s="1"/>
  <c r="AK250" i="20" s="1"/>
  <c r="Y251" i="20"/>
  <c r="Z251" i="20"/>
  <c r="AA251" i="20" s="1"/>
  <c r="AB251" i="20" s="1"/>
  <c r="AC251" i="20" s="1"/>
  <c r="AD251" i="20" s="1"/>
  <c r="AE251" i="20" s="1"/>
  <c r="AF251" i="20"/>
  <c r="AG251" i="20" s="1"/>
  <c r="AH251" i="20" s="1"/>
  <c r="AI251" i="20" s="1"/>
  <c r="AJ251" i="20" s="1"/>
  <c r="AK251" i="20" s="1"/>
  <c r="Y252" i="20"/>
  <c r="Z252" i="20"/>
  <c r="AA252" i="20"/>
  <c r="AB252" i="20" s="1"/>
  <c r="AC252" i="20" s="1"/>
  <c r="AD252" i="20" s="1"/>
  <c r="AE252" i="20" s="1"/>
  <c r="AF252" i="20" s="1"/>
  <c r="AG252" i="20" s="1"/>
  <c r="AH252" i="20" s="1"/>
  <c r="AI252" i="20" s="1"/>
  <c r="AJ252" i="20" s="1"/>
  <c r="AK252" i="20" s="1"/>
  <c r="Y253" i="20"/>
  <c r="Z253" i="20" s="1"/>
  <c r="AA253" i="20" s="1"/>
  <c r="AB253" i="20" s="1"/>
  <c r="AC253" i="20" s="1"/>
  <c r="AD253" i="20"/>
  <c r="AE253" i="20" s="1"/>
  <c r="AF253" i="20" s="1"/>
  <c r="AG253" i="20" s="1"/>
  <c r="AH253" i="20" s="1"/>
  <c r="AI253" i="20" s="1"/>
  <c r="AJ253" i="20" s="1"/>
  <c r="AK253" i="20" s="1"/>
  <c r="Y254" i="20"/>
  <c r="Z254" i="20" s="1"/>
  <c r="AA254" i="20" s="1"/>
  <c r="AB254" i="20" s="1"/>
  <c r="AC254" i="20" s="1"/>
  <c r="AD254" i="20" s="1"/>
  <c r="AE254" i="20" s="1"/>
  <c r="AF254" i="20" s="1"/>
  <c r="AG254" i="20"/>
  <c r="AH254" i="20" s="1"/>
  <c r="AI254" i="20" s="1"/>
  <c r="AJ254" i="20" s="1"/>
  <c r="AK254" i="20" s="1"/>
  <c r="Y255" i="20"/>
  <c r="Z255" i="20" s="1"/>
  <c r="AA255" i="20" s="1"/>
  <c r="AB255" i="20" s="1"/>
  <c r="AC255" i="20" s="1"/>
  <c r="AD255" i="20" s="1"/>
  <c r="AE255" i="20" s="1"/>
  <c r="AF255" i="20" s="1"/>
  <c r="AG255" i="20" s="1"/>
  <c r="AH255" i="20" s="1"/>
  <c r="AI255" i="20" s="1"/>
  <c r="AJ255" i="20" s="1"/>
  <c r="AK255" i="20" s="1"/>
  <c r="Y256" i="20"/>
  <c r="Z256" i="20" s="1"/>
  <c r="AA256" i="20" s="1"/>
  <c r="AB256" i="20" s="1"/>
  <c r="AC256" i="20" s="1"/>
  <c r="AD256" i="20" s="1"/>
  <c r="AE256" i="20" s="1"/>
  <c r="AF256" i="20" s="1"/>
  <c r="AG256" i="20" s="1"/>
  <c r="AH256" i="20" s="1"/>
  <c r="AI256" i="20" s="1"/>
  <c r="AJ256" i="20" s="1"/>
  <c r="AK256" i="20" s="1"/>
  <c r="Y257" i="20"/>
  <c r="Z257" i="20"/>
  <c r="AA257" i="20" s="1"/>
  <c r="AB257" i="20" s="1"/>
  <c r="AC257" i="20" s="1"/>
  <c r="AD257" i="20" s="1"/>
  <c r="AE257" i="20" s="1"/>
  <c r="AF257" i="20" s="1"/>
  <c r="AG257" i="20" s="1"/>
  <c r="AH257" i="20"/>
  <c r="AI257" i="20" s="1"/>
  <c r="AJ257" i="20" s="1"/>
  <c r="AK257" i="20" s="1"/>
  <c r="Y258" i="20"/>
  <c r="Z258" i="20"/>
  <c r="AA258" i="20" s="1"/>
  <c r="AB258" i="20"/>
  <c r="AC258" i="20" s="1"/>
  <c r="AD258" i="20" s="1"/>
  <c r="AE258" i="20" s="1"/>
  <c r="AF258" i="20" s="1"/>
  <c r="AG258" i="20" s="1"/>
  <c r="AH258" i="20" s="1"/>
  <c r="AI258" i="20" s="1"/>
  <c r="AJ258" i="20" s="1"/>
  <c r="AK258" i="20" s="1"/>
  <c r="Y259" i="20"/>
  <c r="Z259" i="20"/>
  <c r="AA259" i="20" s="1"/>
  <c r="AB259" i="20" s="1"/>
  <c r="AC259" i="20" s="1"/>
  <c r="AD259" i="20" s="1"/>
  <c r="AE259" i="20"/>
  <c r="AF259" i="20" s="1"/>
  <c r="AG259" i="20" s="1"/>
  <c r="AH259" i="20" s="1"/>
  <c r="AI259" i="20" s="1"/>
  <c r="AJ259" i="20" s="1"/>
  <c r="AK259" i="20" s="1"/>
  <c r="Y260" i="20"/>
  <c r="Z260" i="20"/>
  <c r="AA260" i="20" s="1"/>
  <c r="AB260" i="20" s="1"/>
  <c r="AC260" i="20" s="1"/>
  <c r="AD260" i="20" s="1"/>
  <c r="AE260" i="20" s="1"/>
  <c r="AF260" i="20" s="1"/>
  <c r="AG260" i="20" s="1"/>
  <c r="AH260" i="20" s="1"/>
  <c r="AI260" i="20" s="1"/>
  <c r="AJ260" i="20" s="1"/>
  <c r="AK260" i="20" s="1"/>
  <c r="Y261" i="20"/>
  <c r="Z261" i="20" s="1"/>
  <c r="AA261" i="20" s="1"/>
  <c r="AB261" i="20" s="1"/>
  <c r="AC261" i="20"/>
  <c r="AD261" i="20" s="1"/>
  <c r="AE261" i="20" s="1"/>
  <c r="AF261" i="20" s="1"/>
  <c r="AG261" i="20" s="1"/>
  <c r="AH261" i="20" s="1"/>
  <c r="AI261" i="20" s="1"/>
  <c r="AJ261" i="20" s="1"/>
  <c r="AK261" i="20" s="1"/>
  <c r="Y262" i="20"/>
  <c r="Z262" i="20" s="1"/>
  <c r="AA262" i="20" s="1"/>
  <c r="AB262" i="20" s="1"/>
  <c r="AC262" i="20" s="1"/>
  <c r="AD262" i="20" s="1"/>
  <c r="AE262" i="20" s="1"/>
  <c r="AF262" i="20" s="1"/>
  <c r="AG262" i="20" s="1"/>
  <c r="AH262" i="20" s="1"/>
  <c r="AI262" i="20" s="1"/>
  <c r="AJ262" i="20" s="1"/>
  <c r="AK262" i="20" s="1"/>
  <c r="Y263" i="20"/>
  <c r="Z263" i="20" s="1"/>
  <c r="AA263" i="20"/>
  <c r="AB263" i="20"/>
  <c r="AC263" i="20" s="1"/>
  <c r="AD263" i="20" s="1"/>
  <c r="AE263" i="20" s="1"/>
  <c r="AF263" i="20" s="1"/>
  <c r="AG263" i="20" s="1"/>
  <c r="AH263" i="20" s="1"/>
  <c r="AI263" i="20" s="1"/>
  <c r="AJ263" i="20" s="1"/>
  <c r="AK263" i="20" s="1"/>
  <c r="Y264" i="20"/>
  <c r="Z264" i="20" s="1"/>
  <c r="AA264" i="20" s="1"/>
  <c r="AB264" i="20" s="1"/>
  <c r="AC264" i="20" s="1"/>
  <c r="AD264" i="20" s="1"/>
  <c r="AE264" i="20" s="1"/>
  <c r="AF264" i="20" s="1"/>
  <c r="AG264" i="20" s="1"/>
  <c r="AH264" i="20" s="1"/>
  <c r="AI264" i="20" s="1"/>
  <c r="AJ264" i="20" s="1"/>
  <c r="AK264" i="20" s="1"/>
  <c r="Y265" i="20"/>
  <c r="Z265" i="20"/>
  <c r="AA265" i="20" s="1"/>
  <c r="AB265" i="20" s="1"/>
  <c r="AC265" i="20" s="1"/>
  <c r="AD265" i="20" s="1"/>
  <c r="AE265" i="20" s="1"/>
  <c r="AF265" i="20" s="1"/>
  <c r="AG265" i="20"/>
  <c r="AH265" i="20" s="1"/>
  <c r="AI265" i="20" s="1"/>
  <c r="AJ265" i="20" s="1"/>
  <c r="AK265" i="20" s="1"/>
  <c r="Y266" i="20"/>
  <c r="Z266" i="20"/>
  <c r="AA266" i="20" s="1"/>
  <c r="AB266" i="20" s="1"/>
  <c r="AC266" i="20" s="1"/>
  <c r="AD266" i="20" s="1"/>
  <c r="AE266" i="20" s="1"/>
  <c r="AF266" i="20" s="1"/>
  <c r="AG266" i="20" s="1"/>
  <c r="AH266" i="20" s="1"/>
  <c r="AI266" i="20" s="1"/>
  <c r="AJ266" i="20" s="1"/>
  <c r="AK266" i="20"/>
  <c r="Y267" i="20"/>
  <c r="Z267" i="20"/>
  <c r="AA267" i="20" s="1"/>
  <c r="AB267" i="20" s="1"/>
  <c r="AC267" i="20" s="1"/>
  <c r="AD267" i="20" s="1"/>
  <c r="AE267" i="20"/>
  <c r="AF267" i="20" s="1"/>
  <c r="AG267" i="20" s="1"/>
  <c r="AH267" i="20" s="1"/>
  <c r="AI267" i="20" s="1"/>
  <c r="AJ267" i="20" s="1"/>
  <c r="AK267" i="20" s="1"/>
  <c r="Y268" i="20"/>
  <c r="Z268" i="20"/>
  <c r="AA268" i="20" s="1"/>
  <c r="AB268" i="20" s="1"/>
  <c r="AC268" i="20" s="1"/>
  <c r="AD268" i="20" s="1"/>
  <c r="AE268" i="20" s="1"/>
  <c r="AF268" i="20" s="1"/>
  <c r="AG268" i="20" s="1"/>
  <c r="AH268" i="20"/>
  <c r="AI268" i="20" s="1"/>
  <c r="AJ268" i="20" s="1"/>
  <c r="AK268" i="20" s="1"/>
  <c r="Y269" i="20"/>
  <c r="Z269" i="20" s="1"/>
  <c r="AA269" i="20" s="1"/>
  <c r="AB269" i="20" s="1"/>
  <c r="AC269" i="20"/>
  <c r="AD269" i="20" s="1"/>
  <c r="AE269" i="20" s="1"/>
  <c r="AF269" i="20" s="1"/>
  <c r="AG269" i="20" s="1"/>
  <c r="AH269" i="20" s="1"/>
  <c r="AI269" i="20" s="1"/>
  <c r="AJ269" i="20" s="1"/>
  <c r="AK269" i="20" s="1"/>
  <c r="Y270" i="20"/>
  <c r="Z270" i="20" s="1"/>
  <c r="AA270" i="20"/>
  <c r="AB270" i="20" s="1"/>
  <c r="AC270" i="20" s="1"/>
  <c r="AD270" i="20" s="1"/>
  <c r="AE270" i="20" s="1"/>
  <c r="AF270" i="20"/>
  <c r="AG270" i="20" s="1"/>
  <c r="AH270" i="20" s="1"/>
  <c r="AI270" i="20" s="1"/>
  <c r="AJ270" i="20" s="1"/>
  <c r="AK270" i="20" s="1"/>
  <c r="Y271" i="20"/>
  <c r="Z271" i="20" s="1"/>
  <c r="AA271" i="20" s="1"/>
  <c r="AB271" i="20" s="1"/>
  <c r="AC271" i="20" s="1"/>
  <c r="AD271" i="20" s="1"/>
  <c r="AE271" i="20" s="1"/>
  <c r="AF271" i="20" s="1"/>
  <c r="AG271" i="20" s="1"/>
  <c r="AH271" i="20" s="1"/>
  <c r="AI271" i="20"/>
  <c r="AJ271" i="20" s="1"/>
  <c r="AK271" i="20" s="1"/>
  <c r="Y272" i="20"/>
  <c r="Z272" i="20" s="1"/>
  <c r="AA272" i="20" s="1"/>
  <c r="AB272" i="20" s="1"/>
  <c r="AC272" i="20" s="1"/>
  <c r="AD272" i="20"/>
  <c r="AE272" i="20" s="1"/>
  <c r="AF272" i="20" s="1"/>
  <c r="AG272" i="20" s="1"/>
  <c r="AH272" i="20" s="1"/>
  <c r="AI272" i="20" s="1"/>
  <c r="AJ272" i="20" s="1"/>
  <c r="AK272" i="20" s="1"/>
  <c r="Y273" i="20"/>
  <c r="Z273" i="20" s="1"/>
  <c r="AA273" i="20" s="1"/>
  <c r="AB273" i="20" s="1"/>
  <c r="AC273" i="20" s="1"/>
  <c r="AD273" i="20" s="1"/>
  <c r="AE273" i="20" s="1"/>
  <c r="AF273" i="20" s="1"/>
  <c r="AG273" i="20" s="1"/>
  <c r="AH273" i="20" s="1"/>
  <c r="AI273" i="20" s="1"/>
  <c r="AJ273" i="20" s="1"/>
  <c r="AK273" i="20" s="1"/>
  <c r="Y274" i="20"/>
  <c r="Z274" i="20"/>
  <c r="AA274" i="20" s="1"/>
  <c r="AB274" i="20"/>
  <c r="AC274" i="20" s="1"/>
  <c r="AD274" i="20" s="1"/>
  <c r="AE274" i="20"/>
  <c r="AF274" i="20" s="1"/>
  <c r="AG274" i="20" s="1"/>
  <c r="AH274" i="20" s="1"/>
  <c r="AI274" i="20" s="1"/>
  <c r="AJ274" i="20"/>
  <c r="AK274" i="20" s="1"/>
  <c r="Y275" i="20"/>
  <c r="Z275" i="20"/>
  <c r="AA275" i="20" s="1"/>
  <c r="AB275" i="20" s="1"/>
  <c r="AC275" i="20" s="1"/>
  <c r="AD275" i="20" s="1"/>
  <c r="AE275" i="20" s="1"/>
  <c r="AF275" i="20" s="1"/>
  <c r="AG275" i="20" s="1"/>
  <c r="AH275" i="20" s="1"/>
  <c r="AI275" i="20" s="1"/>
  <c r="AJ275" i="20" s="1"/>
  <c r="AK275" i="20" s="1"/>
  <c r="Y276" i="20"/>
  <c r="Z276" i="20"/>
  <c r="AA276" i="20" s="1"/>
  <c r="AB276" i="20" s="1"/>
  <c r="AC276" i="20" s="1"/>
  <c r="AD276" i="20" s="1"/>
  <c r="AE276" i="20" s="1"/>
  <c r="AF276" i="20" s="1"/>
  <c r="AG276" i="20" s="1"/>
  <c r="AH276" i="20" s="1"/>
  <c r="AI276" i="20" s="1"/>
  <c r="AJ276" i="20" s="1"/>
  <c r="AK276" i="20" s="1"/>
  <c r="Y277" i="20"/>
  <c r="Z277" i="20" s="1"/>
  <c r="AA277" i="20" s="1"/>
  <c r="AB277" i="20" s="1"/>
  <c r="AC277" i="20"/>
  <c r="AD277" i="20"/>
  <c r="AE277" i="20" s="1"/>
  <c r="AF277" i="20" s="1"/>
  <c r="AG277" i="20" s="1"/>
  <c r="AH277" i="20" s="1"/>
  <c r="AI277" i="20" s="1"/>
  <c r="AJ277" i="20" s="1"/>
  <c r="AK277" i="20" s="1"/>
  <c r="Y278" i="20"/>
  <c r="Z278" i="20" s="1"/>
  <c r="AA278" i="20" s="1"/>
  <c r="AB278" i="20" s="1"/>
  <c r="AC278" i="20" s="1"/>
  <c r="AD278" i="20" s="1"/>
  <c r="AE278" i="20" s="1"/>
  <c r="AF278" i="20" s="1"/>
  <c r="AG278" i="20" s="1"/>
  <c r="AH278" i="20" s="1"/>
  <c r="AI278" i="20" s="1"/>
  <c r="AJ278" i="20" s="1"/>
  <c r="AK278" i="20" s="1"/>
  <c r="Y279" i="20"/>
  <c r="Z279" i="20" s="1"/>
  <c r="AA279" i="20" s="1"/>
  <c r="AB279" i="20" s="1"/>
  <c r="AC279" i="20" s="1"/>
  <c r="AD279" i="20" s="1"/>
  <c r="AE279" i="20" s="1"/>
  <c r="AF279" i="20" s="1"/>
  <c r="AG279" i="20" s="1"/>
  <c r="AH279" i="20" s="1"/>
  <c r="AI279" i="20" s="1"/>
  <c r="AJ279" i="20" s="1"/>
  <c r="AK279" i="20" s="1"/>
  <c r="Y280" i="20"/>
  <c r="Z280" i="20" s="1"/>
  <c r="AA280" i="20" s="1"/>
  <c r="AB280" i="20" s="1"/>
  <c r="AC280" i="20" s="1"/>
  <c r="AD280" i="20"/>
  <c r="AE280" i="20"/>
  <c r="AF280" i="20" s="1"/>
  <c r="AG280" i="20" s="1"/>
  <c r="AH280" i="20" s="1"/>
  <c r="AI280" i="20" s="1"/>
  <c r="AJ280" i="20" s="1"/>
  <c r="AK280" i="20" s="1"/>
  <c r="Y281" i="20"/>
  <c r="Z281" i="20" s="1"/>
  <c r="AA281" i="20" s="1"/>
  <c r="AB281" i="20" s="1"/>
  <c r="AC281" i="20" s="1"/>
  <c r="AD281" i="20" s="1"/>
  <c r="AE281" i="20" s="1"/>
  <c r="AF281" i="20" s="1"/>
  <c r="AG281" i="20" s="1"/>
  <c r="AH281" i="20" s="1"/>
  <c r="AI281" i="20" s="1"/>
  <c r="AJ281" i="20"/>
  <c r="AK281" i="20" s="1"/>
  <c r="Y282" i="20"/>
  <c r="Z282" i="20"/>
  <c r="AA282" i="20" s="1"/>
  <c r="AB282" i="20"/>
  <c r="AC282" i="20" s="1"/>
  <c r="AD282" i="20" s="1"/>
  <c r="AE282" i="20" s="1"/>
  <c r="AF282" i="20" s="1"/>
  <c r="AG282" i="20" s="1"/>
  <c r="AH282" i="20" s="1"/>
  <c r="AI282" i="20" s="1"/>
  <c r="AJ282" i="20" s="1"/>
  <c r="AK282" i="20" s="1"/>
  <c r="Y283" i="20"/>
  <c r="Z283" i="20"/>
  <c r="AA283" i="20" s="1"/>
  <c r="AB283" i="20" s="1"/>
  <c r="AC283" i="20" s="1"/>
  <c r="AD283" i="20" s="1"/>
  <c r="AE283" i="20" s="1"/>
  <c r="AF283" i="20" s="1"/>
  <c r="AG283" i="20" s="1"/>
  <c r="AH283" i="20" s="1"/>
  <c r="AI283" i="20" s="1"/>
  <c r="AJ283" i="20" s="1"/>
  <c r="AK283" i="20" s="1"/>
  <c r="Y284" i="20"/>
  <c r="Z284" i="20"/>
  <c r="AA284" i="20" s="1"/>
  <c r="AB284" i="20" s="1"/>
  <c r="AC284" i="20"/>
  <c r="AD284" i="20" s="1"/>
  <c r="AE284" i="20" s="1"/>
  <c r="AF284" i="20" s="1"/>
  <c r="AG284" i="20" s="1"/>
  <c r="AH284" i="20"/>
  <c r="AI284" i="20" s="1"/>
  <c r="AJ284" i="20" s="1"/>
  <c r="AK284" i="20" s="1"/>
  <c r="Y285" i="20"/>
  <c r="Z285" i="20" s="1"/>
  <c r="AA285" i="20" s="1"/>
  <c r="AB285" i="20" s="1"/>
  <c r="AC285" i="20" s="1"/>
  <c r="AD285" i="20" s="1"/>
  <c r="AE285" i="20" s="1"/>
  <c r="AF285" i="20" s="1"/>
  <c r="AG285" i="20" s="1"/>
  <c r="AH285" i="20" s="1"/>
  <c r="AI285" i="20" s="1"/>
  <c r="AJ285" i="20" s="1"/>
  <c r="AK285" i="20" s="1"/>
  <c r="Y286" i="20"/>
  <c r="Z286" i="20" s="1"/>
  <c r="AA286" i="20" s="1"/>
  <c r="AB286" i="20" s="1"/>
  <c r="AC286" i="20" s="1"/>
  <c r="AD286" i="20" s="1"/>
  <c r="AE286" i="20" s="1"/>
  <c r="AF286" i="20" s="1"/>
  <c r="AG286" i="20" s="1"/>
  <c r="AH286" i="20" s="1"/>
  <c r="AI286" i="20" s="1"/>
  <c r="AJ286" i="20" s="1"/>
  <c r="AK286" i="20" s="1"/>
  <c r="Y287" i="20"/>
  <c r="Z287" i="20" s="1"/>
  <c r="AA287" i="20" s="1"/>
  <c r="AB287" i="20" s="1"/>
  <c r="AC287" i="20" s="1"/>
  <c r="AD287" i="20" s="1"/>
  <c r="AE287" i="20" s="1"/>
  <c r="AF287" i="20" s="1"/>
  <c r="AG287" i="20" s="1"/>
  <c r="AH287" i="20" s="1"/>
  <c r="AI287" i="20" s="1"/>
  <c r="AJ287" i="20" s="1"/>
  <c r="AK287" i="20" s="1"/>
  <c r="Y288" i="20"/>
  <c r="Z288" i="20" s="1"/>
  <c r="AA288" i="20" s="1"/>
  <c r="AB288" i="20" s="1"/>
  <c r="AC288" i="20" s="1"/>
  <c r="AD288" i="20" s="1"/>
  <c r="AE288" i="20" s="1"/>
  <c r="AF288" i="20" s="1"/>
  <c r="AG288" i="20" s="1"/>
  <c r="AH288" i="20" s="1"/>
  <c r="AI288" i="20" s="1"/>
  <c r="AJ288" i="20" s="1"/>
  <c r="AK288" i="20" s="1"/>
  <c r="Y289" i="20"/>
  <c r="Z289" i="20" s="1"/>
  <c r="AA289" i="20" s="1"/>
  <c r="AB289" i="20" s="1"/>
  <c r="AC289" i="20" s="1"/>
  <c r="AD289" i="20" s="1"/>
  <c r="AE289" i="20" s="1"/>
  <c r="AF289" i="20" s="1"/>
  <c r="AG289" i="20" s="1"/>
  <c r="AH289" i="20" s="1"/>
  <c r="AI289" i="20" s="1"/>
  <c r="AJ289" i="20" s="1"/>
  <c r="AK289" i="20" s="1"/>
  <c r="Y290" i="20"/>
  <c r="Z290" i="20"/>
  <c r="AA290" i="20" s="1"/>
  <c r="AB290" i="20"/>
  <c r="AC290" i="20"/>
  <c r="AD290" i="20" s="1"/>
  <c r="AE290" i="20" s="1"/>
  <c r="AF290" i="20" s="1"/>
  <c r="AG290" i="20" s="1"/>
  <c r="AH290" i="20" s="1"/>
  <c r="AI290" i="20" s="1"/>
  <c r="AJ290" i="20" s="1"/>
  <c r="AK290" i="20" s="1"/>
  <c r="Y291" i="20"/>
  <c r="Z291" i="20"/>
  <c r="AA291" i="20" s="1"/>
  <c r="AB291" i="20" s="1"/>
  <c r="AC291" i="20" s="1"/>
  <c r="AD291" i="20" s="1"/>
  <c r="AE291" i="20" s="1"/>
  <c r="AF291" i="20"/>
  <c r="AG291" i="20" s="1"/>
  <c r="AH291" i="20" s="1"/>
  <c r="AI291" i="20" s="1"/>
  <c r="AJ291" i="20" s="1"/>
  <c r="AK291" i="20" s="1"/>
  <c r="Y292" i="20"/>
  <c r="Z292" i="20"/>
  <c r="AA292" i="20" s="1"/>
  <c r="AB292" i="20" s="1"/>
  <c r="AC292" i="20" s="1"/>
  <c r="AD292" i="20" s="1"/>
  <c r="AE292" i="20" s="1"/>
  <c r="AF292" i="20" s="1"/>
  <c r="AG292" i="20" s="1"/>
  <c r="AH292" i="20" s="1"/>
  <c r="AI292" i="20"/>
  <c r="AJ292" i="20" s="1"/>
  <c r="AK292" i="20"/>
  <c r="Y293" i="20"/>
  <c r="Z293" i="20" s="1"/>
  <c r="AA293" i="20"/>
  <c r="AB293" i="20" s="1"/>
  <c r="AC293" i="20" s="1"/>
  <c r="AD293" i="20" s="1"/>
  <c r="AE293" i="20" s="1"/>
  <c r="AF293" i="20" s="1"/>
  <c r="AG293" i="20" s="1"/>
  <c r="AH293" i="20" s="1"/>
  <c r="AI293" i="20" s="1"/>
  <c r="AJ293" i="20" s="1"/>
  <c r="AK293" i="20"/>
  <c r="Y294" i="20"/>
  <c r="Z294" i="20" s="1"/>
  <c r="AA294" i="20" s="1"/>
  <c r="AB294" i="20" s="1"/>
  <c r="AC294" i="20" s="1"/>
  <c r="AD294" i="20" s="1"/>
  <c r="AE294" i="20" s="1"/>
  <c r="AF294" i="20" s="1"/>
  <c r="AG294" i="20" s="1"/>
  <c r="AH294" i="20" s="1"/>
  <c r="AI294" i="20" s="1"/>
  <c r="AJ294" i="20" s="1"/>
  <c r="AK294" i="20" s="1"/>
  <c r="Y295" i="20"/>
  <c r="Z295" i="20" s="1"/>
  <c r="AA295" i="20"/>
  <c r="AB295" i="20"/>
  <c r="AC295" i="20" s="1"/>
  <c r="AD295" i="20" s="1"/>
  <c r="AE295" i="20" s="1"/>
  <c r="AF295" i="20" s="1"/>
  <c r="AG295" i="20" s="1"/>
  <c r="AH295" i="20" s="1"/>
  <c r="AI295" i="20" s="1"/>
  <c r="AJ295" i="20" s="1"/>
  <c r="AK295" i="20" s="1"/>
  <c r="Y296" i="20"/>
  <c r="Z296" i="20" s="1"/>
  <c r="AA296" i="20" s="1"/>
  <c r="AB296" i="20" s="1"/>
  <c r="AC296" i="20" s="1"/>
  <c r="AD296" i="20" s="1"/>
  <c r="AE296" i="20" s="1"/>
  <c r="AF296" i="20" s="1"/>
  <c r="AG296" i="20" s="1"/>
  <c r="AH296" i="20" s="1"/>
  <c r="AI296" i="20" s="1"/>
  <c r="AJ296" i="20" s="1"/>
  <c r="AK296" i="20" s="1"/>
  <c r="Y297" i="20"/>
  <c r="Z297" i="20" s="1"/>
  <c r="AA297" i="20" s="1"/>
  <c r="AB297" i="20" s="1"/>
  <c r="AC297" i="20" s="1"/>
  <c r="AD297" i="20" s="1"/>
  <c r="AE297" i="20" s="1"/>
  <c r="AF297" i="20" s="1"/>
  <c r="AG297" i="20" s="1"/>
  <c r="AH297" i="20" s="1"/>
  <c r="AI297" i="20" s="1"/>
  <c r="AJ297" i="20" s="1"/>
  <c r="AK297" i="20" s="1"/>
  <c r="Y298" i="20"/>
  <c r="Z298" i="20"/>
  <c r="AA298" i="20" s="1"/>
  <c r="AB298" i="20" s="1"/>
  <c r="AC298" i="20" s="1"/>
  <c r="AD298" i="20" s="1"/>
  <c r="AE298" i="20" s="1"/>
  <c r="AF298" i="20" s="1"/>
  <c r="AG298" i="20" s="1"/>
  <c r="AH298" i="20"/>
  <c r="AI298" i="20" s="1"/>
  <c r="AJ298" i="20" s="1"/>
  <c r="AK298" i="20" s="1"/>
  <c r="Y299" i="20"/>
  <c r="Z299" i="20"/>
  <c r="AA299" i="20" s="1"/>
  <c r="AB299" i="20" s="1"/>
  <c r="AC299" i="20" s="1"/>
  <c r="AD299" i="20" s="1"/>
  <c r="AE299" i="20" s="1"/>
  <c r="AF299" i="20" s="1"/>
  <c r="AG299" i="20" s="1"/>
  <c r="AH299" i="20" s="1"/>
  <c r="AI299" i="20" s="1"/>
  <c r="AJ299" i="20" s="1"/>
  <c r="AK299" i="20" s="1"/>
  <c r="Y300" i="20"/>
  <c r="Z300" i="20"/>
  <c r="AA300" i="20" s="1"/>
  <c r="AB300" i="20" s="1"/>
  <c r="AC300" i="20" s="1"/>
  <c r="AD300" i="20" s="1"/>
  <c r="AE300" i="20" s="1"/>
  <c r="AF300" i="20" s="1"/>
  <c r="AG300" i="20" s="1"/>
  <c r="AH300" i="20" s="1"/>
  <c r="AI300" i="20"/>
  <c r="AJ300" i="20" s="1"/>
  <c r="AK300" i="20" s="1"/>
  <c r="Y301" i="20"/>
  <c r="Z301" i="20" s="1"/>
  <c r="AA301" i="20"/>
  <c r="AB301" i="20" s="1"/>
  <c r="AC301" i="20" s="1"/>
  <c r="AD301" i="20" s="1"/>
  <c r="AE301" i="20" s="1"/>
  <c r="AF301" i="20" s="1"/>
  <c r="AG301" i="20" s="1"/>
  <c r="AH301" i="20" s="1"/>
  <c r="AI301" i="20" s="1"/>
  <c r="AJ301" i="20" s="1"/>
  <c r="AK301" i="20" s="1"/>
  <c r="Y302" i="20"/>
  <c r="Z302" i="20" s="1"/>
  <c r="AA302" i="20" s="1"/>
  <c r="AB302" i="20" s="1"/>
  <c r="AC302" i="20" s="1"/>
  <c r="AD302" i="20" s="1"/>
  <c r="AE302" i="20" s="1"/>
  <c r="AF302" i="20" s="1"/>
  <c r="AG302" i="20" s="1"/>
  <c r="AH302" i="20" s="1"/>
  <c r="AI302" i="20" s="1"/>
  <c r="AJ302" i="20" s="1"/>
  <c r="AK302" i="20" s="1"/>
  <c r="Y303" i="20"/>
  <c r="Z303" i="20" s="1"/>
  <c r="AA303" i="20"/>
  <c r="AB303" i="20" s="1"/>
  <c r="AC303" i="20" s="1"/>
  <c r="AD303" i="20" s="1"/>
  <c r="AE303" i="20" s="1"/>
  <c r="AF303" i="20" s="1"/>
  <c r="AG303" i="20" s="1"/>
  <c r="AH303" i="20" s="1"/>
  <c r="AI303" i="20" s="1"/>
  <c r="AJ303" i="20" s="1"/>
  <c r="AK303" i="20" s="1"/>
  <c r="Y304" i="20"/>
  <c r="Z304" i="20" s="1"/>
  <c r="AA304" i="20" s="1"/>
  <c r="AB304" i="20" s="1"/>
  <c r="AC304" i="20" s="1"/>
  <c r="AD304" i="20"/>
  <c r="AE304" i="20"/>
  <c r="AF304" i="20" s="1"/>
  <c r="AG304" i="20" s="1"/>
  <c r="AH304" i="20" s="1"/>
  <c r="AI304" i="20" s="1"/>
  <c r="AJ304" i="20" s="1"/>
  <c r="AK304" i="20" s="1"/>
  <c r="Y305" i="20"/>
  <c r="Z305" i="20" s="1"/>
  <c r="AA305" i="20" s="1"/>
  <c r="AB305" i="20" s="1"/>
  <c r="AC305" i="20" s="1"/>
  <c r="AD305" i="20" s="1"/>
  <c r="AE305" i="20" s="1"/>
  <c r="AF305" i="20" s="1"/>
  <c r="AG305" i="20" s="1"/>
  <c r="AH305" i="20" s="1"/>
  <c r="AI305" i="20" s="1"/>
  <c r="AJ305" i="20" s="1"/>
  <c r="AK305" i="20" s="1"/>
  <c r="Y306" i="20"/>
  <c r="Z306" i="20"/>
  <c r="AA306" i="20"/>
  <c r="AB306" i="20"/>
  <c r="AC306" i="20" s="1"/>
  <c r="AD306" i="20" s="1"/>
  <c r="AE306" i="20" s="1"/>
  <c r="AF306" i="20" s="1"/>
  <c r="AG306" i="20" s="1"/>
  <c r="AH306" i="20" s="1"/>
  <c r="AI306" i="20" s="1"/>
  <c r="AJ306" i="20" s="1"/>
  <c r="AK306" i="20"/>
  <c r="Y307" i="20"/>
  <c r="Z307" i="20"/>
  <c r="AA307" i="20"/>
  <c r="AB307" i="20" s="1"/>
  <c r="AC307" i="20" s="1"/>
  <c r="AD307" i="20" s="1"/>
  <c r="AE307" i="20" s="1"/>
  <c r="AF307" i="20" s="1"/>
  <c r="AG307" i="20" s="1"/>
  <c r="AH307" i="20"/>
  <c r="AI307" i="20" s="1"/>
  <c r="AJ307" i="20" s="1"/>
  <c r="AK307" i="20" s="1"/>
  <c r="Y308" i="20"/>
  <c r="Z308" i="20" s="1"/>
  <c r="AA308" i="20" s="1"/>
  <c r="AB308" i="20" s="1"/>
  <c r="AC308" i="20" s="1"/>
  <c r="AD308" i="20" s="1"/>
  <c r="AE308" i="20" s="1"/>
  <c r="AF308" i="20"/>
  <c r="AG308" i="20"/>
  <c r="AH308" i="20" s="1"/>
  <c r="AI308" i="20" s="1"/>
  <c r="AJ308" i="20" s="1"/>
  <c r="AK308" i="20" s="1"/>
  <c r="Y309" i="20"/>
  <c r="Z309" i="20" s="1"/>
  <c r="AA309" i="20"/>
  <c r="AB309" i="20" s="1"/>
  <c r="AC309" i="20"/>
  <c r="AD309" i="20"/>
  <c r="AE309" i="20" s="1"/>
  <c r="AF309" i="20" s="1"/>
  <c r="AG309" i="20" s="1"/>
  <c r="AH309" i="20" s="1"/>
  <c r="AI309" i="20" s="1"/>
  <c r="AJ309" i="20" s="1"/>
  <c r="AK309" i="20" s="1"/>
  <c r="Y310" i="20"/>
  <c r="Z310" i="20" s="1"/>
  <c r="AA310" i="20"/>
  <c r="AB310" i="20"/>
  <c r="AC310" i="20" s="1"/>
  <c r="AD310" i="20" s="1"/>
  <c r="AE310" i="20" s="1"/>
  <c r="AF310" i="20" s="1"/>
  <c r="AG310" i="20" s="1"/>
  <c r="AH310" i="20" s="1"/>
  <c r="AI310" i="20" s="1"/>
  <c r="AJ310" i="20" s="1"/>
  <c r="AK310" i="20" s="1"/>
  <c r="Y311" i="20"/>
  <c r="Z311" i="20" s="1"/>
  <c r="AA311" i="20" s="1"/>
  <c r="AB311" i="20" s="1"/>
  <c r="AC311" i="20" s="1"/>
  <c r="AD311" i="20" s="1"/>
  <c r="AE311" i="20" s="1"/>
  <c r="AF311" i="20" s="1"/>
  <c r="AG311" i="20" s="1"/>
  <c r="AH311" i="20" s="1"/>
  <c r="AI311" i="20" s="1"/>
  <c r="AJ311" i="20" s="1"/>
  <c r="AK311" i="20" s="1"/>
  <c r="Y312" i="20"/>
  <c r="Z312" i="20"/>
  <c r="AA312" i="20" s="1"/>
  <c r="AB312" i="20" s="1"/>
  <c r="AC312" i="20" s="1"/>
  <c r="AD312" i="20" s="1"/>
  <c r="AE312" i="20" s="1"/>
  <c r="AF312" i="20" s="1"/>
  <c r="AG312" i="20" s="1"/>
  <c r="AH312" i="20" s="1"/>
  <c r="AI312" i="20" s="1"/>
  <c r="AJ312" i="20" s="1"/>
  <c r="AK312" i="20" s="1"/>
  <c r="Y313" i="20"/>
  <c r="Z313" i="20"/>
  <c r="AA313" i="20" s="1"/>
  <c r="AB313" i="20" s="1"/>
  <c r="AC313" i="20" s="1"/>
  <c r="AD313" i="20" s="1"/>
  <c r="AE313" i="20" s="1"/>
  <c r="AF313" i="20" s="1"/>
  <c r="AG313" i="20" s="1"/>
  <c r="AH313" i="20" s="1"/>
  <c r="AI313" i="20" s="1"/>
  <c r="AJ313" i="20" s="1"/>
  <c r="AK313" i="20" s="1"/>
  <c r="Y314" i="20"/>
  <c r="Z314" i="20"/>
  <c r="AA314" i="20" s="1"/>
  <c r="AB314" i="20" s="1"/>
  <c r="AC314" i="20" s="1"/>
  <c r="AD314" i="20" s="1"/>
  <c r="AE314" i="20"/>
  <c r="AF314" i="20" s="1"/>
  <c r="AG314" i="20" s="1"/>
  <c r="AH314" i="20" s="1"/>
  <c r="AI314" i="20" s="1"/>
  <c r="AJ314" i="20" s="1"/>
  <c r="AK314" i="20" s="1"/>
  <c r="Y315" i="20"/>
  <c r="Z315" i="20"/>
  <c r="AA315" i="20"/>
  <c r="AB315" i="20" s="1"/>
  <c r="AC315" i="20" s="1"/>
  <c r="AD315" i="20" s="1"/>
  <c r="AE315" i="20" s="1"/>
  <c r="AF315" i="20" s="1"/>
  <c r="AG315" i="20" s="1"/>
  <c r="AH315" i="20" s="1"/>
  <c r="AI315" i="20" s="1"/>
  <c r="AJ315" i="20" s="1"/>
  <c r="AK315" i="20" s="1"/>
  <c r="Y316" i="20"/>
  <c r="Z316" i="20" s="1"/>
  <c r="AA316" i="20" s="1"/>
  <c r="AB316" i="20" s="1"/>
  <c r="AC316" i="20"/>
  <c r="AD316" i="20" s="1"/>
  <c r="AE316" i="20" s="1"/>
  <c r="AF316" i="20" s="1"/>
  <c r="AG316" i="20" s="1"/>
  <c r="AH316" i="20" s="1"/>
  <c r="AI316" i="20" s="1"/>
  <c r="AJ316" i="20" s="1"/>
  <c r="AK316" i="20" s="1"/>
  <c r="Y317" i="20"/>
  <c r="Z317" i="20" s="1"/>
  <c r="AA317" i="20" s="1"/>
  <c r="AB317" i="20" s="1"/>
  <c r="AC317" i="20" s="1"/>
  <c r="AD317" i="20"/>
  <c r="AE317" i="20" s="1"/>
  <c r="AF317" i="20" s="1"/>
  <c r="AG317" i="20" s="1"/>
  <c r="AH317" i="20" s="1"/>
  <c r="AI317" i="20" s="1"/>
  <c r="AJ317" i="20" s="1"/>
  <c r="AK317" i="20" s="1"/>
  <c r="Y318" i="20"/>
  <c r="Z318" i="20" s="1"/>
  <c r="AA318" i="20"/>
  <c r="AB318" i="20" s="1"/>
  <c r="AC318" i="20" s="1"/>
  <c r="AD318" i="20" s="1"/>
  <c r="AE318" i="20" s="1"/>
  <c r="AF318" i="20" s="1"/>
  <c r="AG318" i="20" s="1"/>
  <c r="AH318" i="20" s="1"/>
  <c r="AI318" i="20" s="1"/>
  <c r="AJ318" i="20" s="1"/>
  <c r="AK318" i="20" s="1"/>
  <c r="Y319" i="20"/>
  <c r="Z319" i="20" s="1"/>
  <c r="AA319" i="20" s="1"/>
  <c r="AB319" i="20" s="1"/>
  <c r="AC319" i="20" s="1"/>
  <c r="AD319" i="20" s="1"/>
  <c r="AE319" i="20" s="1"/>
  <c r="AF319" i="20" s="1"/>
  <c r="AG319" i="20" s="1"/>
  <c r="AH319" i="20" s="1"/>
  <c r="AI319" i="20" s="1"/>
  <c r="AJ319" i="20" s="1"/>
  <c r="AK319" i="20" s="1"/>
  <c r="Y320" i="20"/>
  <c r="Z320" i="20"/>
  <c r="AA320" i="20" s="1"/>
  <c r="AB320" i="20" s="1"/>
  <c r="AC320" i="20" s="1"/>
  <c r="AD320" i="20" s="1"/>
  <c r="AE320" i="20"/>
  <c r="AF320" i="20" s="1"/>
  <c r="AG320" i="20" s="1"/>
  <c r="AH320" i="20" s="1"/>
  <c r="AI320" i="20" s="1"/>
  <c r="AJ320" i="20" s="1"/>
  <c r="AK320" i="20" s="1"/>
  <c r="Y321" i="20"/>
  <c r="Z321" i="20"/>
  <c r="AA321" i="20" s="1"/>
  <c r="AB321" i="20" s="1"/>
  <c r="AC321" i="20" s="1"/>
  <c r="AD321" i="20" s="1"/>
  <c r="AE321" i="20" s="1"/>
  <c r="AF321" i="20" s="1"/>
  <c r="AG321" i="20" s="1"/>
  <c r="AH321" i="20" s="1"/>
  <c r="AI321" i="20" s="1"/>
  <c r="AJ321" i="20" s="1"/>
  <c r="AK321" i="20" s="1"/>
  <c r="Y322" i="20"/>
  <c r="Z322" i="20"/>
  <c r="AA322" i="20" s="1"/>
  <c r="AB322" i="20" s="1"/>
  <c r="AC322" i="20"/>
  <c r="AD322" i="20" s="1"/>
  <c r="AE322" i="20" s="1"/>
  <c r="AF322" i="20" s="1"/>
  <c r="AG322" i="20" s="1"/>
  <c r="AH322" i="20" s="1"/>
  <c r="AI322" i="20" s="1"/>
  <c r="AJ322" i="20" s="1"/>
  <c r="AK322" i="20" s="1"/>
  <c r="Y323" i="20"/>
  <c r="Z323" i="20"/>
  <c r="AA323" i="20" s="1"/>
  <c r="AB323" i="20" s="1"/>
  <c r="AC323" i="20" s="1"/>
  <c r="AD323" i="20" s="1"/>
  <c r="AE323" i="20" s="1"/>
  <c r="AF323" i="20" s="1"/>
  <c r="AG323" i="20" s="1"/>
  <c r="AH323" i="20" s="1"/>
  <c r="AI323" i="20" s="1"/>
  <c r="AJ323" i="20" s="1"/>
  <c r="AK323" i="20" s="1"/>
  <c r="Y324" i="20"/>
  <c r="Z324" i="20" s="1"/>
  <c r="AA324" i="20"/>
  <c r="AB324" i="20" s="1"/>
  <c r="AC324" i="20"/>
  <c r="AD324" i="20" s="1"/>
  <c r="AE324" i="20" s="1"/>
  <c r="AF324" i="20" s="1"/>
  <c r="AG324" i="20" s="1"/>
  <c r="AH324" i="20" s="1"/>
  <c r="AI324" i="20" s="1"/>
  <c r="AJ324" i="20" s="1"/>
  <c r="AK324" i="20" s="1"/>
  <c r="Y325" i="20"/>
  <c r="Z325" i="20" s="1"/>
  <c r="AA325" i="20" s="1"/>
  <c r="AB325" i="20" s="1"/>
  <c r="AC325" i="20" s="1"/>
  <c r="AD325" i="20" s="1"/>
  <c r="AE325" i="20" s="1"/>
  <c r="AF325" i="20" s="1"/>
  <c r="AG325" i="20" s="1"/>
  <c r="AH325" i="20" s="1"/>
  <c r="AI325" i="20" s="1"/>
  <c r="AJ325" i="20" s="1"/>
  <c r="AK325" i="20" s="1"/>
  <c r="Y326" i="20"/>
  <c r="Z326" i="20" s="1"/>
  <c r="AA326" i="20" s="1"/>
  <c r="AB326" i="20" s="1"/>
  <c r="AC326" i="20" s="1"/>
  <c r="AD326" i="20" s="1"/>
  <c r="AE326" i="20" s="1"/>
  <c r="AF326" i="20" s="1"/>
  <c r="AG326" i="20" s="1"/>
  <c r="AH326" i="20" s="1"/>
  <c r="AI326" i="20" s="1"/>
  <c r="AJ326" i="20" s="1"/>
  <c r="AK326" i="20" s="1"/>
  <c r="Y327" i="20"/>
  <c r="Z327" i="20" s="1"/>
  <c r="AA327" i="20" s="1"/>
  <c r="AB327" i="20"/>
  <c r="AC327" i="20" s="1"/>
  <c r="AD327" i="20"/>
  <c r="AE327" i="20"/>
  <c r="AF327" i="20" s="1"/>
  <c r="AG327" i="20" s="1"/>
  <c r="AH327" i="20" s="1"/>
  <c r="AI327" i="20" s="1"/>
  <c r="AJ327" i="20" s="1"/>
  <c r="AK327" i="20" s="1"/>
  <c r="Y328" i="20"/>
  <c r="Z328" i="20"/>
  <c r="AA328" i="20" s="1"/>
  <c r="AB328" i="20" s="1"/>
  <c r="AC328" i="20" s="1"/>
  <c r="AD328" i="20" s="1"/>
  <c r="AE328" i="20" s="1"/>
  <c r="AF328" i="20" s="1"/>
  <c r="AG328" i="20" s="1"/>
  <c r="AH328" i="20" s="1"/>
  <c r="AI328" i="20" s="1"/>
  <c r="AJ328" i="20" s="1"/>
  <c r="AK328" i="20" s="1"/>
  <c r="Y329" i="20"/>
  <c r="Z329" i="20"/>
  <c r="AA329" i="20" s="1"/>
  <c r="AB329" i="20" s="1"/>
  <c r="AC329" i="20" s="1"/>
  <c r="AD329" i="20" s="1"/>
  <c r="AE329" i="20" s="1"/>
  <c r="AF329" i="20" s="1"/>
  <c r="AG329" i="20" s="1"/>
  <c r="AH329" i="20" s="1"/>
  <c r="AI329" i="20" s="1"/>
  <c r="AJ329" i="20" s="1"/>
  <c r="AK329" i="20" s="1"/>
  <c r="Y330" i="20"/>
  <c r="Z330" i="20"/>
  <c r="AA330" i="20" s="1"/>
  <c r="AB330" i="20" s="1"/>
  <c r="AC330" i="20" s="1"/>
  <c r="AD330" i="20" s="1"/>
  <c r="AE330" i="20" s="1"/>
  <c r="AF330" i="20" s="1"/>
  <c r="AG330" i="20" s="1"/>
  <c r="AH330" i="20" s="1"/>
  <c r="AI330" i="20" s="1"/>
  <c r="AJ330" i="20" s="1"/>
  <c r="AK330" i="20" s="1"/>
  <c r="Y331" i="20"/>
  <c r="Z331" i="20"/>
  <c r="AA331" i="20"/>
  <c r="AB331" i="20" s="1"/>
  <c r="AC331" i="20" s="1"/>
  <c r="AD331" i="20" s="1"/>
  <c r="AE331" i="20" s="1"/>
  <c r="AF331" i="20"/>
  <c r="AG331" i="20" s="1"/>
  <c r="AH331" i="20" s="1"/>
  <c r="AI331" i="20" s="1"/>
  <c r="AJ331" i="20" s="1"/>
  <c r="AK331" i="20" s="1"/>
  <c r="Y332" i="20"/>
  <c r="Z332" i="20" s="1"/>
  <c r="AA332" i="20"/>
  <c r="AB332" i="20" s="1"/>
  <c r="AC332" i="20" s="1"/>
  <c r="AD332" i="20" s="1"/>
  <c r="AE332" i="20" s="1"/>
  <c r="AF332" i="20" s="1"/>
  <c r="AG332" i="20" s="1"/>
  <c r="AH332" i="20" s="1"/>
  <c r="AI332" i="20" s="1"/>
  <c r="AJ332" i="20" s="1"/>
  <c r="AK332" i="20" s="1"/>
  <c r="Y333" i="20"/>
  <c r="Z333" i="20" s="1"/>
  <c r="AA333" i="20" s="1"/>
  <c r="AB333" i="20" s="1"/>
  <c r="AC333" i="20" s="1"/>
  <c r="AD333" i="20" s="1"/>
  <c r="AE333" i="20" s="1"/>
  <c r="AF333" i="20" s="1"/>
  <c r="AG333" i="20" s="1"/>
  <c r="AH333" i="20" s="1"/>
  <c r="AI333" i="20" s="1"/>
  <c r="AJ333" i="20" s="1"/>
  <c r="AK333" i="20" s="1"/>
  <c r="Y334" i="20"/>
  <c r="Z334" i="20" s="1"/>
  <c r="AA334" i="20" s="1"/>
  <c r="AB334" i="20" s="1"/>
  <c r="AC334" i="20" s="1"/>
  <c r="AD334" i="20" s="1"/>
  <c r="AE334" i="20" s="1"/>
  <c r="AF334" i="20" s="1"/>
  <c r="AG334" i="20"/>
  <c r="AH334" i="20" s="1"/>
  <c r="AI334" i="20"/>
  <c r="AJ334" i="20" s="1"/>
  <c r="AK334" i="20" s="1"/>
  <c r="Y335" i="20"/>
  <c r="Z335" i="20" s="1"/>
  <c r="AA335" i="20" s="1"/>
  <c r="AB335" i="20"/>
  <c r="AC335" i="20" s="1"/>
  <c r="AD335" i="20" s="1"/>
  <c r="AE335" i="20" s="1"/>
  <c r="AF335" i="20" s="1"/>
  <c r="AG335" i="20" s="1"/>
  <c r="AH335" i="20" s="1"/>
  <c r="AI335" i="20" s="1"/>
  <c r="AJ335" i="20" s="1"/>
  <c r="AK335" i="20" s="1"/>
  <c r="Y336" i="20"/>
  <c r="Z336" i="20" s="1"/>
  <c r="AA336" i="20" s="1"/>
  <c r="AB336" i="20" s="1"/>
  <c r="AC336" i="20" s="1"/>
  <c r="AD336" i="20" s="1"/>
  <c r="AE336" i="20" s="1"/>
  <c r="AF336" i="20" s="1"/>
  <c r="AG336" i="20" s="1"/>
  <c r="AH336" i="20" s="1"/>
  <c r="AI336" i="20" s="1"/>
  <c r="AJ336" i="20" s="1"/>
  <c r="AK336" i="20" s="1"/>
  <c r="Y337" i="20"/>
  <c r="Z337" i="20"/>
  <c r="AA337" i="20" s="1"/>
  <c r="AB337" i="20"/>
  <c r="AC337" i="20"/>
  <c r="AD337" i="20" s="1"/>
  <c r="AE337" i="20" s="1"/>
  <c r="AF337" i="20" s="1"/>
  <c r="AG337" i="20" s="1"/>
  <c r="AH337" i="20" s="1"/>
  <c r="AI337" i="20" s="1"/>
  <c r="AJ337" i="20" s="1"/>
  <c r="AK337" i="20" s="1"/>
  <c r="Y338" i="20"/>
  <c r="Z338" i="20"/>
  <c r="AA338" i="20" s="1"/>
  <c r="AB338" i="20" s="1"/>
  <c r="AC338" i="20" s="1"/>
  <c r="AD338" i="20" s="1"/>
  <c r="AE338" i="20" s="1"/>
  <c r="AF338" i="20" s="1"/>
  <c r="AG338" i="20" s="1"/>
  <c r="AH338" i="20" s="1"/>
  <c r="AI338" i="20" s="1"/>
  <c r="AJ338" i="20" s="1"/>
  <c r="AK338" i="20" s="1"/>
  <c r="Y339" i="20"/>
  <c r="Z339" i="20"/>
  <c r="AA339" i="20"/>
  <c r="AB339" i="20" s="1"/>
  <c r="AC339" i="20" s="1"/>
  <c r="AD339" i="20" s="1"/>
  <c r="AE339" i="20" s="1"/>
  <c r="AF339" i="20" s="1"/>
  <c r="AG339" i="20" s="1"/>
  <c r="AH339" i="20" s="1"/>
  <c r="AI339" i="20" s="1"/>
  <c r="AJ339" i="20" s="1"/>
  <c r="AK339" i="20" s="1"/>
  <c r="Y340" i="20"/>
  <c r="Z340" i="20" s="1"/>
  <c r="AA340" i="20" s="1"/>
  <c r="AB340" i="20" s="1"/>
  <c r="AC340" i="20" s="1"/>
  <c r="AD340" i="20" s="1"/>
  <c r="AE340" i="20" s="1"/>
  <c r="AF340" i="20" s="1"/>
  <c r="AG340" i="20" s="1"/>
  <c r="AH340" i="20" s="1"/>
  <c r="AI340" i="20" s="1"/>
  <c r="AJ340" i="20" s="1"/>
  <c r="AK340" i="20" s="1"/>
  <c r="Y341" i="20"/>
  <c r="Z341" i="20" s="1"/>
  <c r="AA341" i="20" s="1"/>
  <c r="AB341" i="20" s="1"/>
  <c r="AC341" i="20" s="1"/>
  <c r="AD341" i="20"/>
  <c r="AE341" i="20" s="1"/>
  <c r="AF341" i="20"/>
  <c r="AG341" i="20" s="1"/>
  <c r="AH341" i="20" s="1"/>
  <c r="AI341" i="20" s="1"/>
  <c r="AJ341" i="20" s="1"/>
  <c r="AK341" i="20" s="1"/>
  <c r="Y342" i="20"/>
  <c r="Z342" i="20" s="1"/>
  <c r="AA342" i="20"/>
  <c r="AB342" i="20"/>
  <c r="AC342" i="20" s="1"/>
  <c r="AD342" i="20" s="1"/>
  <c r="AE342" i="20" s="1"/>
  <c r="AF342" i="20" s="1"/>
  <c r="AG342" i="20" s="1"/>
  <c r="AH342" i="20" s="1"/>
  <c r="AI342" i="20" s="1"/>
  <c r="AJ342" i="20" s="1"/>
  <c r="AK342" i="20" s="1"/>
  <c r="Y343" i="20"/>
  <c r="Z343" i="20" s="1"/>
  <c r="AA343" i="20" s="1"/>
  <c r="AB343" i="20"/>
  <c r="AC343" i="20" s="1"/>
  <c r="AD343" i="20" s="1"/>
  <c r="AE343" i="20" s="1"/>
  <c r="AF343" i="20" s="1"/>
  <c r="AG343" i="20" s="1"/>
  <c r="AH343" i="20" s="1"/>
  <c r="AI343" i="20" s="1"/>
  <c r="AJ343" i="20" s="1"/>
  <c r="AK343" i="20" s="1"/>
  <c r="Y344" i="20"/>
  <c r="Z344" i="20" s="1"/>
  <c r="AA344" i="20" s="1"/>
  <c r="AB344" i="20" s="1"/>
  <c r="AC344" i="20" s="1"/>
  <c r="AD344" i="20" s="1"/>
  <c r="AE344" i="20" s="1"/>
  <c r="AF344" i="20" s="1"/>
  <c r="AG344" i="20"/>
  <c r="AH344" i="20" s="1"/>
  <c r="AI344" i="20" s="1"/>
  <c r="AJ344" i="20" s="1"/>
  <c r="AK344" i="20" s="1"/>
  <c r="Y345" i="20"/>
  <c r="Z345" i="20"/>
  <c r="AA345" i="20" s="1"/>
  <c r="AB345" i="20"/>
  <c r="AC345" i="20" s="1"/>
  <c r="AD345" i="20" s="1"/>
  <c r="AE345" i="20" s="1"/>
  <c r="AF345" i="20" s="1"/>
  <c r="AG345" i="20" s="1"/>
  <c r="AH345" i="20" s="1"/>
  <c r="AI345" i="20" s="1"/>
  <c r="AJ345" i="20" s="1"/>
  <c r="AK345" i="20" s="1"/>
  <c r="Y346" i="20"/>
  <c r="Z346" i="20"/>
  <c r="AA346" i="20" s="1"/>
  <c r="AB346" i="20" s="1"/>
  <c r="AC346" i="20"/>
  <c r="AD346" i="20" s="1"/>
  <c r="AE346" i="20"/>
  <c r="AF346" i="20" s="1"/>
  <c r="AG346" i="20" s="1"/>
  <c r="AH346" i="20" s="1"/>
  <c r="AI346" i="20" s="1"/>
  <c r="AJ346" i="20" s="1"/>
  <c r="AK346" i="20" s="1"/>
  <c r="Y347" i="20"/>
  <c r="Z347" i="20"/>
  <c r="AA347" i="20" s="1"/>
  <c r="AB347" i="20" s="1"/>
  <c r="AC347" i="20" s="1"/>
  <c r="AD347" i="20" s="1"/>
  <c r="AE347" i="20" s="1"/>
  <c r="AF347" i="20" s="1"/>
  <c r="AG347" i="20" s="1"/>
  <c r="AH347" i="20" s="1"/>
  <c r="AI347" i="20" s="1"/>
  <c r="AJ347" i="20" s="1"/>
  <c r="AK347" i="20" s="1"/>
  <c r="Y348" i="20"/>
  <c r="Z348" i="20" s="1"/>
  <c r="AA348" i="20" s="1"/>
  <c r="AB348" i="20" s="1"/>
  <c r="AC348" i="20" s="1"/>
  <c r="AD348" i="20"/>
  <c r="AE348" i="20" s="1"/>
  <c r="AF348" i="20" s="1"/>
  <c r="AG348" i="20" s="1"/>
  <c r="AH348" i="20" s="1"/>
  <c r="AI348" i="20" s="1"/>
  <c r="AJ348" i="20" s="1"/>
  <c r="AK348" i="20" s="1"/>
  <c r="Y349" i="20"/>
  <c r="Z349" i="20" s="1"/>
  <c r="AA349" i="20" s="1"/>
  <c r="AB349" i="20" s="1"/>
  <c r="AC349" i="20" s="1"/>
  <c r="AD349" i="20"/>
  <c r="AE349" i="20" s="1"/>
  <c r="AF349" i="20" s="1"/>
  <c r="AG349" i="20" s="1"/>
  <c r="AH349" i="20" s="1"/>
  <c r="AI349" i="20" s="1"/>
  <c r="AJ349" i="20" s="1"/>
  <c r="AK349" i="20" s="1"/>
  <c r="Y350" i="20"/>
  <c r="Z350" i="20" s="1"/>
  <c r="AA350" i="20"/>
  <c r="AB350" i="20" s="1"/>
  <c r="AC350" i="20" s="1"/>
  <c r="AD350" i="20" s="1"/>
  <c r="AE350" i="20" s="1"/>
  <c r="AF350" i="20" s="1"/>
  <c r="AG350" i="20" s="1"/>
  <c r="AH350" i="20" s="1"/>
  <c r="AI350" i="20" s="1"/>
  <c r="AJ350" i="20" s="1"/>
  <c r="AK350" i="20" s="1"/>
  <c r="Y351" i="20"/>
  <c r="Z351" i="20" s="1"/>
  <c r="AA351" i="20" s="1"/>
  <c r="AB351" i="20" s="1"/>
  <c r="AC351" i="20" s="1"/>
  <c r="AD351" i="20" s="1"/>
  <c r="AE351" i="20"/>
  <c r="AF351" i="20" s="1"/>
  <c r="AG351" i="20" s="1"/>
  <c r="AH351" i="20" s="1"/>
  <c r="AI351" i="20" s="1"/>
  <c r="AJ351" i="20" s="1"/>
  <c r="AK351" i="20" s="1"/>
  <c r="Y352" i="20"/>
  <c r="Z352" i="20"/>
  <c r="AA352" i="20" s="1"/>
  <c r="AB352" i="20" s="1"/>
  <c r="AC352" i="20" s="1"/>
  <c r="AD352" i="20" s="1"/>
  <c r="AE352" i="20"/>
  <c r="AF352" i="20" s="1"/>
  <c r="AG352" i="20" s="1"/>
  <c r="AH352" i="20" s="1"/>
  <c r="AI352" i="20" s="1"/>
  <c r="AJ352" i="20" s="1"/>
  <c r="AK352" i="20" s="1"/>
  <c r="Y353" i="20"/>
  <c r="Z353" i="20"/>
  <c r="AA353" i="20" s="1"/>
  <c r="AB353" i="20" s="1"/>
  <c r="AC353" i="20" s="1"/>
  <c r="AD353" i="20" s="1"/>
  <c r="AE353" i="20" s="1"/>
  <c r="AF353" i="20" s="1"/>
  <c r="AG353" i="20" s="1"/>
  <c r="AH353" i="20" s="1"/>
  <c r="AI353" i="20" s="1"/>
  <c r="AJ353" i="20" s="1"/>
  <c r="AK353" i="20" s="1"/>
  <c r="Y354" i="20"/>
  <c r="Z354" i="20"/>
  <c r="AA354" i="20" s="1"/>
  <c r="AB354" i="20" s="1"/>
  <c r="AC354" i="20"/>
  <c r="AD354" i="20" s="1"/>
  <c r="AE354" i="20" s="1"/>
  <c r="AF354" i="20" s="1"/>
  <c r="AG354" i="20" s="1"/>
  <c r="AH354" i="20" s="1"/>
  <c r="AI354" i="20" s="1"/>
  <c r="AJ354" i="20" s="1"/>
  <c r="AK354" i="20" s="1"/>
  <c r="Y355" i="20"/>
  <c r="Z355" i="20"/>
  <c r="AA355" i="20" s="1"/>
  <c r="AB355" i="20" s="1"/>
  <c r="AC355" i="20" s="1"/>
  <c r="AD355" i="20" s="1"/>
  <c r="AE355" i="20" s="1"/>
  <c r="AF355" i="20" s="1"/>
  <c r="AG355" i="20" s="1"/>
  <c r="AH355" i="20" s="1"/>
  <c r="AI355" i="20" s="1"/>
  <c r="AJ355" i="20" s="1"/>
  <c r="AK355" i="20" s="1"/>
  <c r="Y356" i="20"/>
  <c r="Z356" i="20" s="1"/>
  <c r="AA356" i="20"/>
  <c r="AB356" i="20" s="1"/>
  <c r="AC356" i="20"/>
  <c r="AD356" i="20" s="1"/>
  <c r="AE356" i="20" s="1"/>
  <c r="AF356" i="20" s="1"/>
  <c r="AG356" i="20" s="1"/>
  <c r="AH356" i="20" s="1"/>
  <c r="AI356" i="20" s="1"/>
  <c r="AJ356" i="20" s="1"/>
  <c r="AK356" i="20" s="1"/>
  <c r="Y357" i="20"/>
  <c r="Z357" i="20" s="1"/>
  <c r="AA357" i="20" s="1"/>
  <c r="AB357" i="20" s="1"/>
  <c r="AC357" i="20" s="1"/>
  <c r="AD357" i="20"/>
  <c r="AE357" i="20" s="1"/>
  <c r="AF357" i="20" s="1"/>
  <c r="AG357" i="20" s="1"/>
  <c r="AH357" i="20" s="1"/>
  <c r="AI357" i="20" s="1"/>
  <c r="AJ357" i="20" s="1"/>
  <c r="AK357" i="20" s="1"/>
  <c r="Y358" i="20"/>
  <c r="Z358" i="20" s="1"/>
  <c r="AA358" i="20" s="1"/>
  <c r="AB358" i="20" s="1"/>
  <c r="AC358" i="20" s="1"/>
  <c r="AD358" i="20" s="1"/>
  <c r="AE358" i="20" s="1"/>
  <c r="AF358" i="20" s="1"/>
  <c r="AG358" i="20" s="1"/>
  <c r="AH358" i="20" s="1"/>
  <c r="AI358" i="20" s="1"/>
  <c r="AJ358" i="20" s="1"/>
  <c r="AK358" i="20" s="1"/>
  <c r="Y359" i="20"/>
  <c r="Z359" i="20" s="1"/>
  <c r="AA359" i="20" s="1"/>
  <c r="AB359" i="20"/>
  <c r="AC359" i="20"/>
  <c r="AD359" i="20" s="1"/>
  <c r="AE359" i="20" s="1"/>
  <c r="AF359" i="20" s="1"/>
  <c r="AG359" i="20" s="1"/>
  <c r="AH359" i="20" s="1"/>
  <c r="AI359" i="20" s="1"/>
  <c r="AJ359" i="20" s="1"/>
  <c r="AK359" i="20" s="1"/>
  <c r="Y360" i="20"/>
  <c r="Z360" i="20" s="1"/>
  <c r="AA360" i="20" s="1"/>
  <c r="AB360" i="20" s="1"/>
  <c r="AC360" i="20" s="1"/>
  <c r="AD360" i="20" s="1"/>
  <c r="AE360" i="20" s="1"/>
  <c r="AF360" i="20" s="1"/>
  <c r="AG360" i="20" s="1"/>
  <c r="AH360" i="20" s="1"/>
  <c r="AI360" i="20" s="1"/>
  <c r="AJ360" i="20" s="1"/>
  <c r="AK360" i="20" s="1"/>
  <c r="Y361" i="20"/>
  <c r="Z361" i="20"/>
  <c r="AA361" i="20" s="1"/>
  <c r="AB361" i="20" s="1"/>
  <c r="AC361" i="20" s="1"/>
  <c r="AD361" i="20" s="1"/>
  <c r="AE361" i="20" s="1"/>
  <c r="AF361" i="20" s="1"/>
  <c r="AG361" i="20" s="1"/>
  <c r="AH361" i="20" s="1"/>
  <c r="AI361" i="20" s="1"/>
  <c r="AJ361" i="20" s="1"/>
  <c r="AK361" i="20" s="1"/>
  <c r="Y362" i="20"/>
  <c r="Z362" i="20"/>
  <c r="AA362" i="20" s="1"/>
  <c r="AB362" i="20" s="1"/>
  <c r="AC362" i="20" s="1"/>
  <c r="AD362" i="20" s="1"/>
  <c r="AE362" i="20" s="1"/>
  <c r="AF362" i="20" s="1"/>
  <c r="AG362" i="20" s="1"/>
  <c r="AH362" i="20" s="1"/>
  <c r="AI362" i="20" s="1"/>
  <c r="AJ362" i="20" s="1"/>
  <c r="AK362" i="20" s="1"/>
  <c r="Y363" i="20"/>
  <c r="Z363" i="20"/>
  <c r="AA363" i="20"/>
  <c r="AB363" i="20" s="1"/>
  <c r="AC363" i="20" s="1"/>
  <c r="AD363" i="20" s="1"/>
  <c r="AE363" i="20" s="1"/>
  <c r="AF363" i="20" s="1"/>
  <c r="AG363" i="20" s="1"/>
  <c r="AH363" i="20" s="1"/>
  <c r="AI363" i="20" s="1"/>
  <c r="AJ363" i="20" s="1"/>
  <c r="AK363" i="20" s="1"/>
  <c r="Y364" i="20"/>
  <c r="Z364" i="20" s="1"/>
  <c r="AA364" i="20" s="1"/>
  <c r="AB364" i="20" s="1"/>
  <c r="AC364" i="20" s="1"/>
  <c r="AD364" i="20" s="1"/>
  <c r="AE364" i="20" s="1"/>
  <c r="AF364" i="20" s="1"/>
  <c r="AG364" i="20" s="1"/>
  <c r="AH364" i="20" s="1"/>
  <c r="AI364" i="20" s="1"/>
  <c r="AJ364" i="20" s="1"/>
  <c r="AK364" i="20" s="1"/>
  <c r="Y365" i="20"/>
  <c r="Z365" i="20" s="1"/>
  <c r="AA365" i="20" s="1"/>
  <c r="AB365" i="20" s="1"/>
  <c r="AC365" i="20" s="1"/>
  <c r="AD365" i="20" s="1"/>
  <c r="AE365" i="20" s="1"/>
  <c r="AF365" i="20" s="1"/>
  <c r="AG365" i="20" s="1"/>
  <c r="AH365" i="20" s="1"/>
  <c r="AI365" i="20" s="1"/>
  <c r="AJ365" i="20" s="1"/>
  <c r="AK365" i="20" s="1"/>
  <c r="Y366" i="20"/>
  <c r="Z366" i="20"/>
  <c r="AA366" i="20" s="1"/>
  <c r="AB366" i="20" s="1"/>
  <c r="AC366" i="20" s="1"/>
  <c r="AD366" i="20" s="1"/>
  <c r="AE366" i="20" s="1"/>
  <c r="AF366" i="20" s="1"/>
  <c r="AG366" i="20" s="1"/>
  <c r="AH366" i="20" s="1"/>
  <c r="AI366" i="20" s="1"/>
  <c r="AJ366" i="20" s="1"/>
  <c r="AK366" i="20" s="1"/>
  <c r="Y367" i="20"/>
  <c r="Z367" i="20" s="1"/>
  <c r="AA367" i="20" s="1"/>
  <c r="AB367" i="20" s="1"/>
  <c r="AC367" i="20" s="1"/>
  <c r="AD367" i="20" s="1"/>
  <c r="AE367" i="20" s="1"/>
  <c r="AF367" i="20" s="1"/>
  <c r="AG367" i="20" s="1"/>
  <c r="AH367" i="20" s="1"/>
  <c r="AI367" i="20" s="1"/>
  <c r="AJ367" i="20" s="1"/>
  <c r="AK367" i="20"/>
  <c r="Y368" i="20"/>
  <c r="Z368" i="20" s="1"/>
  <c r="AA368" i="20" s="1"/>
  <c r="AB368" i="20" s="1"/>
  <c r="AC368" i="20" s="1"/>
  <c r="AD368" i="20" s="1"/>
  <c r="AE368" i="20" s="1"/>
  <c r="AF368" i="20" s="1"/>
  <c r="AG368" i="20" s="1"/>
  <c r="AH368" i="20" s="1"/>
  <c r="AI368" i="20" s="1"/>
  <c r="AJ368" i="20" s="1"/>
  <c r="AK368" i="20" s="1"/>
  <c r="Y369" i="20"/>
  <c r="Z369" i="20"/>
  <c r="AA369" i="20"/>
  <c r="AB369" i="20"/>
  <c r="AC369" i="20" s="1"/>
  <c r="AD369" i="20" s="1"/>
  <c r="AE369" i="20" s="1"/>
  <c r="AF369" i="20" s="1"/>
  <c r="AG369" i="20" s="1"/>
  <c r="AH369" i="20" s="1"/>
  <c r="AI369" i="20"/>
  <c r="AJ369" i="20"/>
  <c r="AK369" i="20" s="1"/>
  <c r="Y370" i="20"/>
  <c r="Z370" i="20"/>
  <c r="AA370" i="20" s="1"/>
  <c r="AB370" i="20" s="1"/>
  <c r="AC370" i="20" s="1"/>
  <c r="AD370" i="20" s="1"/>
  <c r="AE370" i="20" s="1"/>
  <c r="AF370" i="20"/>
  <c r="AG370" i="20" s="1"/>
  <c r="AH370" i="20" s="1"/>
  <c r="AI370" i="20" s="1"/>
  <c r="AJ370" i="20" s="1"/>
  <c r="AK370" i="20" s="1"/>
  <c r="Y371" i="20"/>
  <c r="Z371" i="20"/>
  <c r="AA371" i="20" s="1"/>
  <c r="AB371" i="20" s="1"/>
  <c r="AC371" i="20" s="1"/>
  <c r="AD371" i="20" s="1"/>
  <c r="AE371" i="20" s="1"/>
  <c r="AF371" i="20" s="1"/>
  <c r="AG371" i="20"/>
  <c r="AH371" i="20"/>
  <c r="AI371" i="20" s="1"/>
  <c r="AJ371" i="20" s="1"/>
  <c r="AK371" i="20" s="1"/>
  <c r="Y372" i="20"/>
  <c r="Z372" i="20" s="1"/>
  <c r="AA372" i="20" s="1"/>
  <c r="AB372" i="20" s="1"/>
  <c r="AC372" i="20" s="1"/>
  <c r="AD372" i="20" s="1"/>
  <c r="AE372" i="20" s="1"/>
  <c r="AF372" i="20" s="1"/>
  <c r="AG372" i="20" s="1"/>
  <c r="AH372" i="20" s="1"/>
  <c r="AI372" i="20" s="1"/>
  <c r="AJ372" i="20" s="1"/>
  <c r="AK372" i="20" s="1"/>
  <c r="Y373" i="20"/>
  <c r="Z373" i="20" s="1"/>
  <c r="AA373" i="20" s="1"/>
  <c r="AB373" i="20" s="1"/>
  <c r="AC373" i="20" s="1"/>
  <c r="AD373" i="20" s="1"/>
  <c r="AE373" i="20"/>
  <c r="AF373" i="20" s="1"/>
  <c r="AG373" i="20" s="1"/>
  <c r="AH373" i="20" s="1"/>
  <c r="AI373" i="20" s="1"/>
  <c r="AJ373" i="20" s="1"/>
  <c r="AK373" i="20" s="1"/>
  <c r="Y374" i="20"/>
  <c r="Z374" i="20" s="1"/>
  <c r="AA374" i="20" s="1"/>
  <c r="AB374" i="20" s="1"/>
  <c r="AC374" i="20" s="1"/>
  <c r="AD374" i="20"/>
  <c r="AE374" i="20" s="1"/>
  <c r="AF374" i="20" s="1"/>
  <c r="AG374" i="20" s="1"/>
  <c r="AH374" i="20" s="1"/>
  <c r="AI374" i="20" s="1"/>
  <c r="AJ374" i="20" s="1"/>
  <c r="AK374" i="20" s="1"/>
  <c r="Y375" i="20"/>
  <c r="Z375" i="20" s="1"/>
  <c r="AA375" i="20" s="1"/>
  <c r="AB375" i="20" s="1"/>
  <c r="AC375" i="20" s="1"/>
  <c r="AD375" i="20"/>
  <c r="AE375" i="20" s="1"/>
  <c r="AF375" i="20" s="1"/>
  <c r="AG375" i="20" s="1"/>
  <c r="AH375" i="20" s="1"/>
  <c r="AI375" i="20" s="1"/>
  <c r="AJ375" i="20" s="1"/>
  <c r="AK375" i="20" s="1"/>
  <c r="Y376" i="20"/>
  <c r="Z376" i="20" s="1"/>
  <c r="AA376" i="20" s="1"/>
  <c r="AB376" i="20" s="1"/>
  <c r="AC376" i="20" s="1"/>
  <c r="AD376" i="20" s="1"/>
  <c r="AE376" i="20" s="1"/>
  <c r="AF376" i="20" s="1"/>
  <c r="AG376" i="20" s="1"/>
  <c r="AH376" i="20" s="1"/>
  <c r="AI376" i="20" s="1"/>
  <c r="AJ376" i="20" s="1"/>
  <c r="AK376" i="20" s="1"/>
  <c r="Y377" i="20"/>
  <c r="Z377" i="20"/>
  <c r="AA377" i="20"/>
  <c r="AB377" i="20"/>
  <c r="AC377" i="20" s="1"/>
  <c r="AD377" i="20" s="1"/>
  <c r="AE377" i="20" s="1"/>
  <c r="AF377" i="20" s="1"/>
  <c r="AG377" i="20" s="1"/>
  <c r="AH377" i="20" s="1"/>
  <c r="AI377" i="20" s="1"/>
  <c r="AJ377" i="20" s="1"/>
  <c r="AK377" i="20" s="1"/>
  <c r="Y378" i="20"/>
  <c r="Z378" i="20" s="1"/>
  <c r="AA378" i="20" s="1"/>
  <c r="AB378" i="20" s="1"/>
  <c r="AC378" i="20" s="1"/>
  <c r="AD378" i="20" s="1"/>
  <c r="AE378" i="20" s="1"/>
  <c r="AF378" i="20" s="1"/>
  <c r="AG378" i="20" s="1"/>
  <c r="AH378" i="20" s="1"/>
  <c r="AI378" i="20" s="1"/>
  <c r="AJ378" i="20" s="1"/>
  <c r="AK378" i="20" s="1"/>
  <c r="Y379" i="20"/>
  <c r="Z379" i="20" s="1"/>
  <c r="AA379" i="20" s="1"/>
  <c r="AB379" i="20" s="1"/>
  <c r="AC379" i="20" s="1"/>
  <c r="AD379" i="20" s="1"/>
  <c r="AE379" i="20" s="1"/>
  <c r="AF379" i="20" s="1"/>
  <c r="AG379" i="20" s="1"/>
  <c r="AH379" i="20" s="1"/>
  <c r="AI379" i="20" s="1"/>
  <c r="AJ379" i="20" s="1"/>
  <c r="AK379" i="20" s="1"/>
  <c r="Y380" i="20"/>
  <c r="Z380" i="20" s="1"/>
  <c r="AA380" i="20" s="1"/>
  <c r="AB380" i="20" s="1"/>
  <c r="AC380" i="20" s="1"/>
  <c r="AD380" i="20" s="1"/>
  <c r="AE380" i="20" s="1"/>
  <c r="AF380" i="20" s="1"/>
  <c r="AG380" i="20" s="1"/>
  <c r="AH380" i="20" s="1"/>
  <c r="AI380" i="20" s="1"/>
  <c r="AJ380" i="20" s="1"/>
  <c r="AK380" i="20" s="1"/>
  <c r="Y381" i="20"/>
  <c r="Z381" i="20"/>
  <c r="AA381" i="20"/>
  <c r="AB381" i="20" s="1"/>
  <c r="AC381" i="20" s="1"/>
  <c r="AD381" i="20" s="1"/>
  <c r="AE381" i="20" s="1"/>
  <c r="AF381" i="20" s="1"/>
  <c r="AG381" i="20" s="1"/>
  <c r="AH381" i="20" s="1"/>
  <c r="AI381" i="20" s="1"/>
  <c r="AJ381" i="20" s="1"/>
  <c r="AK381" i="20" s="1"/>
  <c r="Y382" i="20"/>
  <c r="Z382" i="20"/>
  <c r="AA382" i="20" s="1"/>
  <c r="AB382" i="20" s="1"/>
  <c r="AC382" i="20" s="1"/>
  <c r="AD382" i="20" s="1"/>
  <c r="AE382" i="20" s="1"/>
  <c r="AF382" i="20" s="1"/>
  <c r="AG382" i="20" s="1"/>
  <c r="AH382" i="20" s="1"/>
  <c r="AI382" i="20" s="1"/>
  <c r="AJ382" i="20" s="1"/>
  <c r="AK382" i="20" s="1"/>
  <c r="Y383" i="20"/>
  <c r="Z383" i="20" s="1"/>
  <c r="AA383" i="20" s="1"/>
  <c r="AB383" i="20"/>
  <c r="AC383" i="20"/>
  <c r="AD383" i="20" s="1"/>
  <c r="AE383" i="20" s="1"/>
  <c r="AF383" i="20" s="1"/>
  <c r="AG383" i="20" s="1"/>
  <c r="AH383" i="20" s="1"/>
  <c r="AI383" i="20" s="1"/>
  <c r="AJ383" i="20" s="1"/>
  <c r="AK383" i="20" s="1"/>
  <c r="Y384" i="20"/>
  <c r="Z384" i="20"/>
  <c r="AA384" i="20" s="1"/>
  <c r="AB384" i="20" s="1"/>
  <c r="AC384" i="20" s="1"/>
  <c r="AD384" i="20" s="1"/>
  <c r="AE384" i="20" s="1"/>
  <c r="AF384" i="20" s="1"/>
  <c r="AG384" i="20" s="1"/>
  <c r="AH384" i="20" s="1"/>
  <c r="AI384" i="20" s="1"/>
  <c r="AJ384" i="20" s="1"/>
  <c r="AK384" i="20" s="1"/>
  <c r="Y385" i="20"/>
  <c r="Z385" i="20"/>
  <c r="AA385" i="20"/>
  <c r="AB385" i="20"/>
  <c r="AC385" i="20" s="1"/>
  <c r="AD385" i="20" s="1"/>
  <c r="AE385" i="20" s="1"/>
  <c r="AF385" i="20" s="1"/>
  <c r="AG385" i="20" s="1"/>
  <c r="AH385" i="20" s="1"/>
  <c r="AI385" i="20" s="1"/>
  <c r="AJ385" i="20" s="1"/>
  <c r="AK385" i="20" s="1"/>
  <c r="Y386" i="20"/>
  <c r="Z386" i="20" s="1"/>
  <c r="AA386" i="20" s="1"/>
  <c r="AB386" i="20" s="1"/>
  <c r="AC386" i="20" s="1"/>
  <c r="AD386" i="20" s="1"/>
  <c r="AE386" i="20" s="1"/>
  <c r="AF386" i="20" s="1"/>
  <c r="AG386" i="20" s="1"/>
  <c r="AH386" i="20" s="1"/>
  <c r="AI386" i="20" s="1"/>
  <c r="AJ386" i="20" s="1"/>
  <c r="AK386" i="20" s="1"/>
  <c r="Y387" i="20"/>
  <c r="Z387" i="20" s="1"/>
  <c r="AA387" i="20" s="1"/>
  <c r="AB387" i="20" s="1"/>
  <c r="AC387" i="20" s="1"/>
  <c r="AD387" i="20" s="1"/>
  <c r="AE387" i="20" s="1"/>
  <c r="AF387" i="20" s="1"/>
  <c r="AG387" i="20" s="1"/>
  <c r="AH387" i="20" s="1"/>
  <c r="AI387" i="20" s="1"/>
  <c r="AJ387" i="20" s="1"/>
  <c r="AK387" i="20" s="1"/>
  <c r="Y388" i="20"/>
  <c r="Z388" i="20" s="1"/>
  <c r="AA388" i="20" s="1"/>
  <c r="AB388" i="20" s="1"/>
  <c r="AC388" i="20" s="1"/>
  <c r="AD388" i="20" s="1"/>
  <c r="AE388" i="20" s="1"/>
  <c r="AF388" i="20" s="1"/>
  <c r="AG388" i="20" s="1"/>
  <c r="AH388" i="20" s="1"/>
  <c r="AI388" i="20" s="1"/>
  <c r="AJ388" i="20" s="1"/>
  <c r="AK388" i="20" s="1"/>
  <c r="Y389" i="20"/>
  <c r="Z389" i="20"/>
  <c r="AA389" i="20"/>
  <c r="AB389" i="20" s="1"/>
  <c r="AC389" i="20" s="1"/>
  <c r="AD389" i="20" s="1"/>
  <c r="AE389" i="20" s="1"/>
  <c r="AF389" i="20" s="1"/>
  <c r="AG389" i="20" s="1"/>
  <c r="AH389" i="20" s="1"/>
  <c r="AI389" i="20" s="1"/>
  <c r="AJ389" i="20" s="1"/>
  <c r="AK389" i="20" s="1"/>
  <c r="Y390" i="20"/>
  <c r="Z390" i="20"/>
  <c r="AA390" i="20"/>
  <c r="AB390" i="20" s="1"/>
  <c r="AC390" i="20" s="1"/>
  <c r="AD390" i="20" s="1"/>
  <c r="AE390" i="20" s="1"/>
  <c r="AF390" i="20" s="1"/>
  <c r="AG390" i="20" s="1"/>
  <c r="AH390" i="20" s="1"/>
  <c r="AI390" i="20" s="1"/>
  <c r="AJ390" i="20" s="1"/>
  <c r="AK390" i="20" s="1"/>
  <c r="Y391" i="20"/>
  <c r="Z391" i="20" s="1"/>
  <c r="AA391" i="20" s="1"/>
  <c r="AB391" i="20"/>
  <c r="AC391" i="20"/>
  <c r="AD391" i="20" s="1"/>
  <c r="AE391" i="20" s="1"/>
  <c r="AF391" i="20" s="1"/>
  <c r="AG391" i="20"/>
  <c r="AH391" i="20" s="1"/>
  <c r="AI391" i="20" s="1"/>
  <c r="AJ391" i="20"/>
  <c r="AK391" i="20" s="1"/>
  <c r="Y392" i="20"/>
  <c r="Z392" i="20"/>
  <c r="AA392" i="20" s="1"/>
  <c r="AB392" i="20" s="1"/>
  <c r="AC392" i="20" s="1"/>
  <c r="AD392" i="20" s="1"/>
  <c r="AE392" i="20" s="1"/>
  <c r="AF392" i="20"/>
  <c r="AG392" i="20" s="1"/>
  <c r="AH392" i="20" s="1"/>
  <c r="AI392" i="20" s="1"/>
  <c r="AJ392" i="20" s="1"/>
  <c r="AK392" i="20" s="1"/>
  <c r="Y393" i="20"/>
  <c r="Z393" i="20"/>
  <c r="AA393" i="20"/>
  <c r="AB393" i="20"/>
  <c r="AC393" i="20" s="1"/>
  <c r="AD393" i="20" s="1"/>
  <c r="AE393" i="20" s="1"/>
  <c r="AF393" i="20" s="1"/>
  <c r="AG393" i="20" s="1"/>
  <c r="AH393" i="20" s="1"/>
  <c r="AI393" i="20" s="1"/>
  <c r="AJ393" i="20" s="1"/>
  <c r="AK393" i="20" s="1"/>
  <c r="Y394" i="20"/>
  <c r="Z394" i="20"/>
  <c r="AA394" i="20" s="1"/>
  <c r="AB394" i="20" s="1"/>
  <c r="AC394" i="20" s="1"/>
  <c r="AD394" i="20" s="1"/>
  <c r="AE394" i="20" s="1"/>
  <c r="AF394" i="20" s="1"/>
  <c r="AG394" i="20" s="1"/>
  <c r="AH394" i="20" s="1"/>
  <c r="AI394" i="20" s="1"/>
  <c r="AJ394" i="20" s="1"/>
  <c r="AK394" i="20" s="1"/>
  <c r="Y395" i="20"/>
  <c r="Z395" i="20" s="1"/>
  <c r="AA395" i="20" s="1"/>
  <c r="AB395" i="20" s="1"/>
  <c r="AC395" i="20" s="1"/>
  <c r="AD395" i="20" s="1"/>
  <c r="AE395" i="20" s="1"/>
  <c r="AF395" i="20" s="1"/>
  <c r="AG395" i="20" s="1"/>
  <c r="AH395" i="20" s="1"/>
  <c r="AI395" i="20" s="1"/>
  <c r="AJ395" i="20" s="1"/>
  <c r="AK395" i="20" s="1"/>
  <c r="Y396" i="20"/>
  <c r="Z396" i="20" s="1"/>
  <c r="AA396" i="20" s="1"/>
  <c r="AB396" i="20" s="1"/>
  <c r="AC396" i="20" s="1"/>
  <c r="AD396" i="20"/>
  <c r="AE396" i="20" s="1"/>
  <c r="AF396" i="20" s="1"/>
  <c r="AG396" i="20" s="1"/>
  <c r="AH396" i="20" s="1"/>
  <c r="AI396" i="20" s="1"/>
  <c r="AJ396" i="20" s="1"/>
  <c r="AK396" i="20" s="1"/>
  <c r="Y397" i="20"/>
  <c r="Z397" i="20" s="1"/>
  <c r="AA397" i="20" s="1"/>
  <c r="AB397" i="20" s="1"/>
  <c r="AC397" i="20" s="1"/>
  <c r="AD397" i="20" s="1"/>
  <c r="AE397" i="20" s="1"/>
  <c r="AF397" i="20" s="1"/>
  <c r="AG397" i="20" s="1"/>
  <c r="AH397" i="20" s="1"/>
  <c r="AI397" i="20" s="1"/>
  <c r="AJ397" i="20" s="1"/>
  <c r="AK397" i="20" s="1"/>
  <c r="Y398" i="20"/>
  <c r="Z398" i="20" s="1"/>
  <c r="AA398" i="20" s="1"/>
  <c r="AB398" i="20"/>
  <c r="AC398" i="20"/>
  <c r="AD398" i="20" s="1"/>
  <c r="AE398" i="20" s="1"/>
  <c r="AF398" i="20" s="1"/>
  <c r="AG398" i="20" s="1"/>
  <c r="AH398" i="20" s="1"/>
  <c r="AI398" i="20" s="1"/>
  <c r="AJ398" i="20" s="1"/>
  <c r="AK398" i="20" s="1"/>
  <c r="Y399" i="20"/>
  <c r="Z399" i="20"/>
  <c r="AA399" i="20"/>
  <c r="AB399" i="20" s="1"/>
  <c r="AC399" i="20" s="1"/>
  <c r="AD399" i="20" s="1"/>
  <c r="AE399" i="20"/>
  <c r="AF399" i="20"/>
  <c r="AG399" i="20" s="1"/>
  <c r="AH399" i="20" s="1"/>
  <c r="AI399" i="20" s="1"/>
  <c r="AJ399" i="20" s="1"/>
  <c r="AK399" i="20" s="1"/>
  <c r="Y400" i="20"/>
  <c r="Z400" i="20"/>
  <c r="AA400" i="20" s="1"/>
  <c r="AB400" i="20" s="1"/>
  <c r="AC400" i="20" s="1"/>
  <c r="AD400" i="20" s="1"/>
  <c r="AE400" i="20" s="1"/>
  <c r="AF400" i="20" s="1"/>
  <c r="AG400" i="20" s="1"/>
  <c r="AH400" i="20" s="1"/>
  <c r="AI400" i="20" s="1"/>
  <c r="AJ400" i="20" s="1"/>
  <c r="AK400" i="20" s="1"/>
  <c r="Y401" i="20"/>
  <c r="Z401" i="20" s="1"/>
  <c r="AA401" i="20" s="1"/>
  <c r="AB401" i="20" s="1"/>
  <c r="AC401" i="20" s="1"/>
  <c r="AD401" i="20" s="1"/>
  <c r="AE401" i="20" s="1"/>
  <c r="AF401" i="20" s="1"/>
  <c r="AG401" i="20" s="1"/>
  <c r="AH401" i="20" s="1"/>
  <c r="AI401" i="20" s="1"/>
  <c r="AJ401" i="20" s="1"/>
  <c r="AK401" i="20" s="1"/>
  <c r="Y402" i="20"/>
  <c r="Z402" i="20" s="1"/>
  <c r="AA402" i="20" s="1"/>
  <c r="AB402" i="20" s="1"/>
  <c r="AC402" i="20" s="1"/>
  <c r="AD402" i="20" s="1"/>
  <c r="AE402" i="20" s="1"/>
  <c r="AF402" i="20" s="1"/>
  <c r="AG402" i="20" s="1"/>
  <c r="AH402" i="20" s="1"/>
  <c r="AI402" i="20" s="1"/>
  <c r="AJ402" i="20" s="1"/>
  <c r="AK402" i="20" s="1"/>
  <c r="Y403" i="20"/>
  <c r="Z403" i="20"/>
  <c r="AA403" i="20"/>
  <c r="AB403" i="20"/>
  <c r="AC403" i="20" s="1"/>
  <c r="AD403" i="20" s="1"/>
  <c r="AE403" i="20" s="1"/>
  <c r="AF403" i="20" s="1"/>
  <c r="AG403" i="20" s="1"/>
  <c r="AH403" i="20" s="1"/>
  <c r="AI403" i="20" s="1"/>
  <c r="AJ403" i="20" s="1"/>
  <c r="AK403" i="20" s="1"/>
  <c r="Y404" i="20"/>
  <c r="Z404" i="20"/>
  <c r="AA404" i="20" s="1"/>
  <c r="AB404" i="20" s="1"/>
  <c r="AC404" i="20"/>
  <c r="AD404" i="20" s="1"/>
  <c r="AE404" i="20" s="1"/>
  <c r="AF404" i="20" s="1"/>
  <c r="AG404" i="20" s="1"/>
  <c r="AH404" i="20" s="1"/>
  <c r="AI404" i="20" s="1"/>
  <c r="AJ404" i="20" s="1"/>
  <c r="AK404" i="20" s="1"/>
  <c r="Y405" i="20"/>
  <c r="Z405" i="20"/>
  <c r="AA405" i="20" s="1"/>
  <c r="AB405" i="20"/>
  <c r="AC405" i="20" s="1"/>
  <c r="AD405" i="20" s="1"/>
  <c r="AE405" i="20" s="1"/>
  <c r="AF405" i="20" s="1"/>
  <c r="AG405" i="20" s="1"/>
  <c r="AH405" i="20" s="1"/>
  <c r="AI405" i="20" s="1"/>
  <c r="AJ405" i="20" s="1"/>
  <c r="AK405" i="20" s="1"/>
  <c r="Y406" i="20"/>
  <c r="Z406" i="20" s="1"/>
  <c r="AA406" i="20"/>
  <c r="AB406" i="20" s="1"/>
  <c r="AC406" i="20" s="1"/>
  <c r="AD406" i="20" s="1"/>
  <c r="AE406" i="20" s="1"/>
  <c r="AF406" i="20" s="1"/>
  <c r="AG406" i="20" s="1"/>
  <c r="AH406" i="20" s="1"/>
  <c r="AI406" i="20" s="1"/>
  <c r="AJ406" i="20" s="1"/>
  <c r="AK406" i="20" s="1"/>
  <c r="Y407" i="20"/>
  <c r="Z407" i="20"/>
  <c r="AA407" i="20" s="1"/>
  <c r="AB407" i="20" s="1"/>
  <c r="AC407" i="20" s="1"/>
  <c r="AD407" i="20" s="1"/>
  <c r="AE407" i="20" s="1"/>
  <c r="AF407" i="20" s="1"/>
  <c r="AG407" i="20" s="1"/>
  <c r="AH407" i="20" s="1"/>
  <c r="AI407" i="20" s="1"/>
  <c r="AJ407" i="20" s="1"/>
  <c r="AK407" i="20" s="1"/>
  <c r="Y408" i="20"/>
  <c r="Z408" i="20" s="1"/>
  <c r="AA408" i="20" s="1"/>
  <c r="AB408" i="20" s="1"/>
  <c r="AC408" i="20" s="1"/>
  <c r="AD408" i="20" s="1"/>
  <c r="AE408" i="20" s="1"/>
  <c r="AF408" i="20" s="1"/>
  <c r="AG408" i="20" s="1"/>
  <c r="AH408" i="20" s="1"/>
  <c r="AI408" i="20" s="1"/>
  <c r="AJ408" i="20" s="1"/>
  <c r="AK408" i="20" s="1"/>
  <c r="Y409" i="20"/>
  <c r="Z409" i="20" s="1"/>
  <c r="AA409" i="20" s="1"/>
  <c r="AB409" i="20" s="1"/>
  <c r="AC409" i="20" s="1"/>
  <c r="AD409" i="20" s="1"/>
  <c r="AE409" i="20" s="1"/>
  <c r="AF409" i="20" s="1"/>
  <c r="AG409" i="20" s="1"/>
  <c r="AH409" i="20" s="1"/>
  <c r="AI409" i="20" s="1"/>
  <c r="AJ409" i="20" s="1"/>
  <c r="AK409" i="20"/>
  <c r="Y410" i="20"/>
  <c r="Z410" i="20" s="1"/>
  <c r="AA410" i="20" s="1"/>
  <c r="AB410" i="20" s="1"/>
  <c r="AC410" i="20" s="1"/>
  <c r="AD410" i="20" s="1"/>
  <c r="AE410" i="20" s="1"/>
  <c r="AF410" i="20" s="1"/>
  <c r="AG410" i="20" s="1"/>
  <c r="AH410" i="20" s="1"/>
  <c r="AI410" i="20" s="1"/>
  <c r="AJ410" i="20"/>
  <c r="AK410" i="20" s="1"/>
  <c r="Y411" i="20"/>
  <c r="Z411" i="20"/>
  <c r="AA411" i="20"/>
  <c r="AB411" i="20" s="1"/>
  <c r="AC411" i="20" s="1"/>
  <c r="AD411" i="20" s="1"/>
  <c r="AE411" i="20" s="1"/>
  <c r="AF411" i="20" s="1"/>
  <c r="AG411" i="20" s="1"/>
  <c r="AH411" i="20" s="1"/>
  <c r="AI411" i="20" s="1"/>
  <c r="AJ411" i="20" s="1"/>
  <c r="AK411" i="20" s="1"/>
  <c r="Y412" i="20"/>
  <c r="Z412" i="20"/>
  <c r="AA412" i="20" s="1"/>
  <c r="AB412" i="20" s="1"/>
  <c r="AC412" i="20" s="1"/>
  <c r="AD412" i="20" s="1"/>
  <c r="AE412" i="20" s="1"/>
  <c r="AF412" i="20" s="1"/>
  <c r="AG412" i="20" s="1"/>
  <c r="AH412" i="20" s="1"/>
  <c r="AI412" i="20" s="1"/>
  <c r="AJ412" i="20" s="1"/>
  <c r="AK412" i="20" s="1"/>
  <c r="Y413" i="20"/>
  <c r="Z413" i="20"/>
  <c r="AA413" i="20" s="1"/>
  <c r="AB413" i="20" s="1"/>
  <c r="AC413" i="20" s="1"/>
  <c r="AD413" i="20" s="1"/>
  <c r="AE413" i="20" s="1"/>
  <c r="AF413" i="20" s="1"/>
  <c r="AG413" i="20" s="1"/>
  <c r="AH413" i="20" s="1"/>
  <c r="AI413" i="20" s="1"/>
  <c r="AJ413" i="20" s="1"/>
  <c r="AK413" i="20" s="1"/>
  <c r="Y414" i="20"/>
  <c r="Z414" i="20" s="1"/>
  <c r="AA414" i="20" s="1"/>
  <c r="AB414" i="20" s="1"/>
  <c r="AC414" i="20" s="1"/>
  <c r="AD414" i="20" s="1"/>
  <c r="AE414" i="20" s="1"/>
  <c r="AF414" i="20" s="1"/>
  <c r="AG414" i="20" s="1"/>
  <c r="AH414" i="20" s="1"/>
  <c r="AI414" i="20" s="1"/>
  <c r="AJ414" i="20" s="1"/>
  <c r="AK414" i="20" s="1"/>
  <c r="Y415" i="20"/>
  <c r="Z415" i="20"/>
  <c r="AA415" i="20" s="1"/>
  <c r="AB415" i="20" s="1"/>
  <c r="AC415" i="20" s="1"/>
  <c r="AD415" i="20" s="1"/>
  <c r="AE415" i="20" s="1"/>
  <c r="AF415" i="20" s="1"/>
  <c r="AG415" i="20" s="1"/>
  <c r="AH415" i="20" s="1"/>
  <c r="AI415" i="20" s="1"/>
  <c r="AJ415" i="20" s="1"/>
  <c r="AK415" i="20" s="1"/>
  <c r="Y416" i="20"/>
  <c r="Z416" i="20"/>
  <c r="AA416" i="20" s="1"/>
  <c r="AB416" i="20" s="1"/>
  <c r="AC416" i="20" s="1"/>
  <c r="AD416" i="20" s="1"/>
  <c r="AE416" i="20" s="1"/>
  <c r="AF416" i="20" s="1"/>
  <c r="AG416" i="20" s="1"/>
  <c r="AH416" i="20" s="1"/>
  <c r="AI416" i="20" s="1"/>
  <c r="AJ416" i="20" s="1"/>
  <c r="AK416" i="20" s="1"/>
  <c r="Y417" i="20"/>
  <c r="Z417" i="20" s="1"/>
  <c r="AA417" i="20" s="1"/>
  <c r="AB417" i="20" s="1"/>
  <c r="AC417" i="20" s="1"/>
  <c r="AD417" i="20" s="1"/>
  <c r="AE417" i="20" s="1"/>
  <c r="AF417" i="20" s="1"/>
  <c r="AG417" i="20" s="1"/>
  <c r="AH417" i="20" s="1"/>
  <c r="AI417" i="20" s="1"/>
  <c r="AJ417" i="20" s="1"/>
  <c r="AK417" i="20" s="1"/>
  <c r="Y418" i="20"/>
  <c r="Z418" i="20" s="1"/>
  <c r="AA418" i="20" s="1"/>
  <c r="AB418" i="20" s="1"/>
  <c r="AC418" i="20" s="1"/>
  <c r="AD418" i="20" s="1"/>
  <c r="AE418" i="20"/>
  <c r="AF418" i="20" s="1"/>
  <c r="AG418" i="20" s="1"/>
  <c r="AH418" i="20" s="1"/>
  <c r="AI418" i="20" s="1"/>
  <c r="AJ418" i="20" s="1"/>
  <c r="AK418" i="20" s="1"/>
  <c r="Y419" i="20"/>
  <c r="Z419" i="20"/>
  <c r="AA419" i="20"/>
  <c r="AB419" i="20"/>
  <c r="AC419" i="20" s="1"/>
  <c r="AD419" i="20" s="1"/>
  <c r="AE419" i="20" s="1"/>
  <c r="AF419" i="20" s="1"/>
  <c r="AG419" i="20" s="1"/>
  <c r="AH419" i="20" s="1"/>
  <c r="AI419" i="20" s="1"/>
  <c r="AJ419" i="20" s="1"/>
  <c r="AK419" i="20" s="1"/>
  <c r="Y420" i="20"/>
  <c r="Z420" i="20"/>
  <c r="AA420" i="20" s="1"/>
  <c r="AB420" i="20" s="1"/>
  <c r="AC420" i="20"/>
  <c r="AD420" i="20" s="1"/>
  <c r="AE420" i="20" s="1"/>
  <c r="AF420" i="20" s="1"/>
  <c r="AG420" i="20" s="1"/>
  <c r="AH420" i="20" s="1"/>
  <c r="AI420" i="20" s="1"/>
  <c r="AJ420" i="20" s="1"/>
  <c r="AK420" i="20" s="1"/>
  <c r="Y421" i="20"/>
  <c r="Z421" i="20"/>
  <c r="AA421" i="20" s="1"/>
  <c r="AB421" i="20"/>
  <c r="AC421" i="20" s="1"/>
  <c r="AD421" i="20" s="1"/>
  <c r="AE421" i="20" s="1"/>
  <c r="AF421" i="20" s="1"/>
  <c r="AG421" i="20" s="1"/>
  <c r="AH421" i="20" s="1"/>
  <c r="AI421" i="20" s="1"/>
  <c r="AJ421" i="20" s="1"/>
  <c r="AK421" i="20" s="1"/>
  <c r="Y422" i="20"/>
  <c r="Z422" i="20" s="1"/>
  <c r="AA422" i="20"/>
  <c r="AB422" i="20" s="1"/>
  <c r="AC422" i="20" s="1"/>
  <c r="AD422" i="20" s="1"/>
  <c r="AE422" i="20" s="1"/>
  <c r="AF422" i="20" s="1"/>
  <c r="AG422" i="20" s="1"/>
  <c r="AH422" i="20" s="1"/>
  <c r="AI422" i="20" s="1"/>
  <c r="AJ422" i="20" s="1"/>
  <c r="AK422" i="20" s="1"/>
  <c r="Y423" i="20"/>
  <c r="Z423" i="20"/>
  <c r="AA423" i="20" s="1"/>
  <c r="AB423" i="20" s="1"/>
  <c r="AC423" i="20" s="1"/>
  <c r="AD423" i="20" s="1"/>
  <c r="AE423" i="20" s="1"/>
  <c r="AF423" i="20" s="1"/>
  <c r="AG423" i="20" s="1"/>
  <c r="AH423" i="20" s="1"/>
  <c r="AI423" i="20" s="1"/>
  <c r="AJ423" i="20" s="1"/>
  <c r="AK423" i="20" s="1"/>
  <c r="Y424" i="20"/>
  <c r="Z424" i="20" s="1"/>
  <c r="AA424" i="20" s="1"/>
  <c r="AB424" i="20" s="1"/>
  <c r="AC424" i="20" s="1"/>
  <c r="AD424" i="20" s="1"/>
  <c r="AE424" i="20" s="1"/>
  <c r="AF424" i="20" s="1"/>
  <c r="AG424" i="20" s="1"/>
  <c r="AH424" i="20" s="1"/>
  <c r="AI424" i="20"/>
  <c r="AJ424" i="20" s="1"/>
  <c r="AK424" i="20" s="1"/>
  <c r="Y425" i="20"/>
  <c r="Z425" i="20"/>
  <c r="AA425" i="20" s="1"/>
  <c r="AB425" i="20" s="1"/>
  <c r="AC425" i="20" s="1"/>
  <c r="AD425" i="20" s="1"/>
  <c r="AE425" i="20" s="1"/>
  <c r="AF425" i="20" s="1"/>
  <c r="AG425" i="20"/>
  <c r="AH425" i="20" s="1"/>
  <c r="AI425" i="20" s="1"/>
  <c r="AJ425" i="20" s="1"/>
  <c r="AK425" i="20" s="1"/>
  <c r="Y426" i="20"/>
  <c r="Z426" i="20" s="1"/>
  <c r="AA426" i="20"/>
  <c r="AB426" i="20" s="1"/>
  <c r="AC426" i="20" s="1"/>
  <c r="AD426" i="20" s="1"/>
  <c r="AE426" i="20" s="1"/>
  <c r="AF426" i="20" s="1"/>
  <c r="AG426" i="20" s="1"/>
  <c r="AH426" i="20" s="1"/>
  <c r="AI426" i="20" s="1"/>
  <c r="AJ426" i="20" s="1"/>
  <c r="AK426" i="20" s="1"/>
  <c r="Y427" i="20"/>
  <c r="Z427" i="20"/>
  <c r="AA427" i="20"/>
  <c r="AB427" i="20" s="1"/>
  <c r="AC427" i="20" s="1"/>
  <c r="AD427" i="20" s="1"/>
  <c r="AE427" i="20" s="1"/>
  <c r="AF427" i="20" s="1"/>
  <c r="AG427" i="20" s="1"/>
  <c r="AH427" i="20" s="1"/>
  <c r="AI427" i="20" s="1"/>
  <c r="AJ427" i="20" s="1"/>
  <c r="AK427" i="20" s="1"/>
  <c r="Y428" i="20"/>
  <c r="Z428" i="20" s="1"/>
  <c r="AA428" i="20" s="1"/>
  <c r="AB428" i="20" s="1"/>
  <c r="AC428" i="20" s="1"/>
  <c r="AD428" i="20" s="1"/>
  <c r="AE428" i="20" s="1"/>
  <c r="AF428" i="20" s="1"/>
  <c r="AG428" i="20" s="1"/>
  <c r="AH428" i="20" s="1"/>
  <c r="AI428" i="20" s="1"/>
  <c r="AJ428" i="20" s="1"/>
  <c r="AK428" i="20" s="1"/>
  <c r="Y429" i="20"/>
  <c r="Z429" i="20"/>
  <c r="AA429" i="20" s="1"/>
  <c r="AB429" i="20" s="1"/>
  <c r="AC429" i="20" s="1"/>
  <c r="AD429" i="20" s="1"/>
  <c r="AE429" i="20" s="1"/>
  <c r="AF429" i="20" s="1"/>
  <c r="AG429" i="20" s="1"/>
  <c r="AH429" i="20" s="1"/>
  <c r="AI429" i="20" s="1"/>
  <c r="AJ429" i="20" s="1"/>
  <c r="AK429" i="20" s="1"/>
  <c r="Y430" i="20"/>
  <c r="Z430" i="20" s="1"/>
  <c r="AA430" i="20"/>
  <c r="AB430" i="20" s="1"/>
  <c r="AC430" i="20" s="1"/>
  <c r="AD430" i="20" s="1"/>
  <c r="AE430" i="20" s="1"/>
  <c r="AF430" i="20" s="1"/>
  <c r="AG430" i="20" s="1"/>
  <c r="AH430" i="20" s="1"/>
  <c r="AI430" i="20" s="1"/>
  <c r="AJ430" i="20" s="1"/>
  <c r="AK430" i="20" s="1"/>
  <c r="Y431" i="20"/>
  <c r="Z431" i="20"/>
  <c r="AA431" i="20"/>
  <c r="AB431" i="20" s="1"/>
  <c r="AC431" i="20" s="1"/>
  <c r="AD431" i="20" s="1"/>
  <c r="AE431" i="20" s="1"/>
  <c r="AF431" i="20" s="1"/>
  <c r="AG431" i="20" s="1"/>
  <c r="AH431" i="20" s="1"/>
  <c r="AI431" i="20" s="1"/>
  <c r="AJ431" i="20" s="1"/>
  <c r="AK431" i="20" s="1"/>
  <c r="Y432" i="20"/>
  <c r="Z432" i="20" s="1"/>
  <c r="AA432" i="20" s="1"/>
  <c r="AB432" i="20" s="1"/>
  <c r="AC432" i="20" s="1"/>
  <c r="AD432" i="20" s="1"/>
  <c r="AE432" i="20" s="1"/>
  <c r="AF432" i="20" s="1"/>
  <c r="AG432" i="20" s="1"/>
  <c r="AH432" i="20" s="1"/>
  <c r="AI432" i="20" s="1"/>
  <c r="AJ432" i="20" s="1"/>
  <c r="AK432" i="20" s="1"/>
  <c r="Y433" i="20"/>
  <c r="Z433" i="20"/>
  <c r="AA433" i="20" s="1"/>
  <c r="AB433" i="20" s="1"/>
  <c r="AC433" i="20" s="1"/>
  <c r="AD433" i="20" s="1"/>
  <c r="AE433" i="20" s="1"/>
  <c r="AF433" i="20" s="1"/>
  <c r="AG433" i="20" s="1"/>
  <c r="AH433" i="20" s="1"/>
  <c r="AI433" i="20" s="1"/>
  <c r="AJ433" i="20" s="1"/>
  <c r="AK433" i="20" s="1"/>
  <c r="Y434" i="20"/>
  <c r="Z434" i="20" s="1"/>
  <c r="AA434" i="20"/>
  <c r="AB434" i="20" s="1"/>
  <c r="AC434" i="20" s="1"/>
  <c r="AD434" i="20" s="1"/>
  <c r="AE434" i="20" s="1"/>
  <c r="AF434" i="20" s="1"/>
  <c r="AG434" i="20" s="1"/>
  <c r="AH434" i="20" s="1"/>
  <c r="AI434" i="20" s="1"/>
  <c r="AJ434" i="20" s="1"/>
  <c r="AK434" i="20" s="1"/>
  <c r="Y435" i="20"/>
  <c r="Z435" i="20"/>
  <c r="AA435" i="20"/>
  <c r="AB435" i="20" s="1"/>
  <c r="AC435" i="20" s="1"/>
  <c r="AD435" i="20" s="1"/>
  <c r="AE435" i="20" s="1"/>
  <c r="AF435" i="20" s="1"/>
  <c r="AG435" i="20" s="1"/>
  <c r="AH435" i="20" s="1"/>
  <c r="AI435" i="20" s="1"/>
  <c r="AJ435" i="20" s="1"/>
  <c r="AK435" i="20" s="1"/>
  <c r="Y436" i="20"/>
  <c r="Z436" i="20" s="1"/>
  <c r="AA436" i="20" s="1"/>
  <c r="AB436" i="20" s="1"/>
  <c r="AC436" i="20" s="1"/>
  <c r="AD436" i="20" s="1"/>
  <c r="AE436" i="20" s="1"/>
  <c r="AF436" i="20" s="1"/>
  <c r="AG436" i="20" s="1"/>
  <c r="AH436" i="20" s="1"/>
  <c r="AI436" i="20" s="1"/>
  <c r="AJ436" i="20" s="1"/>
  <c r="AK436" i="20" s="1"/>
  <c r="Y437" i="20"/>
  <c r="Z437" i="20"/>
  <c r="AA437" i="20" s="1"/>
  <c r="AB437" i="20" s="1"/>
  <c r="AC437" i="20" s="1"/>
  <c r="AD437" i="20" s="1"/>
  <c r="AE437" i="20" s="1"/>
  <c r="AF437" i="20" s="1"/>
  <c r="AG437" i="20" s="1"/>
  <c r="AH437" i="20" s="1"/>
  <c r="AI437" i="20" s="1"/>
  <c r="AJ437" i="20" s="1"/>
  <c r="AK437" i="20" s="1"/>
  <c r="Y438" i="20"/>
  <c r="Z438" i="20" s="1"/>
  <c r="AA438" i="20"/>
  <c r="AB438" i="20" s="1"/>
  <c r="AC438" i="20" s="1"/>
  <c r="AD438" i="20" s="1"/>
  <c r="AE438" i="20"/>
  <c r="AF438" i="20" s="1"/>
  <c r="AG438" i="20" s="1"/>
  <c r="AH438" i="20" s="1"/>
  <c r="AI438" i="20" s="1"/>
  <c r="AJ438" i="20" s="1"/>
  <c r="AK438" i="20" s="1"/>
  <c r="Y439" i="20"/>
  <c r="Z439" i="20"/>
  <c r="AA439" i="20"/>
  <c r="AB439" i="20" s="1"/>
  <c r="AC439" i="20" s="1"/>
  <c r="AD439" i="20" s="1"/>
  <c r="AE439" i="20" s="1"/>
  <c r="AF439" i="20" s="1"/>
  <c r="AG439" i="20" s="1"/>
  <c r="AH439" i="20" s="1"/>
  <c r="AI439" i="20" s="1"/>
  <c r="AJ439" i="20" s="1"/>
  <c r="AK439" i="20" s="1"/>
  <c r="Y440" i="20"/>
  <c r="Z440" i="20" s="1"/>
  <c r="AA440" i="20" s="1"/>
  <c r="AB440" i="20" s="1"/>
  <c r="AC440" i="20" s="1"/>
  <c r="AD440" i="20" s="1"/>
  <c r="AE440" i="20" s="1"/>
  <c r="AF440" i="20" s="1"/>
  <c r="AG440" i="20" s="1"/>
  <c r="AH440" i="20" s="1"/>
  <c r="AI440" i="20" s="1"/>
  <c r="AJ440" i="20" s="1"/>
  <c r="AK440" i="20" s="1"/>
  <c r="Y441" i="20"/>
  <c r="Z441" i="20"/>
  <c r="AA441" i="20" s="1"/>
  <c r="AB441" i="20" s="1"/>
  <c r="AC441" i="20" s="1"/>
  <c r="AD441" i="20" s="1"/>
  <c r="AE441" i="20" s="1"/>
  <c r="AF441" i="20" s="1"/>
  <c r="AG441" i="20"/>
  <c r="AH441" i="20" s="1"/>
  <c r="AI441" i="20" s="1"/>
  <c r="AJ441" i="20" s="1"/>
  <c r="AK441" i="20" s="1"/>
  <c r="Y442" i="20"/>
  <c r="Z442" i="20" s="1"/>
  <c r="AA442" i="20"/>
  <c r="AB442" i="20" s="1"/>
  <c r="AC442" i="20" s="1"/>
  <c r="AD442" i="20" s="1"/>
  <c r="AE442" i="20"/>
  <c r="AF442" i="20" s="1"/>
  <c r="AG442" i="20" s="1"/>
  <c r="AH442" i="20" s="1"/>
  <c r="AI442" i="20" s="1"/>
  <c r="AJ442" i="20" s="1"/>
  <c r="AK442" i="20" s="1"/>
  <c r="Y443" i="20"/>
  <c r="Z443" i="20"/>
  <c r="AA443" i="20"/>
  <c r="AB443" i="20" s="1"/>
  <c r="AC443" i="20" s="1"/>
  <c r="AD443" i="20" s="1"/>
  <c r="AE443" i="20" s="1"/>
  <c r="AF443" i="20" s="1"/>
  <c r="AG443" i="20" s="1"/>
  <c r="AH443" i="20" s="1"/>
  <c r="AI443" i="20" s="1"/>
  <c r="AJ443" i="20" s="1"/>
  <c r="AK443" i="20" s="1"/>
  <c r="Y444" i="20"/>
  <c r="Z444" i="20" s="1"/>
  <c r="AA444" i="20" s="1"/>
  <c r="AB444" i="20" s="1"/>
  <c r="AC444" i="20" s="1"/>
  <c r="AD444" i="20" s="1"/>
  <c r="AE444" i="20" s="1"/>
  <c r="AF444" i="20" s="1"/>
  <c r="AG444" i="20" s="1"/>
  <c r="AH444" i="20" s="1"/>
  <c r="AI444" i="20"/>
  <c r="AJ444" i="20" s="1"/>
  <c r="AK444" i="20" s="1"/>
  <c r="Y445" i="20"/>
  <c r="Z445" i="20"/>
  <c r="AA445" i="20" s="1"/>
  <c r="AB445" i="20" s="1"/>
  <c r="AC445" i="20" s="1"/>
  <c r="AD445" i="20" s="1"/>
  <c r="AE445" i="20" s="1"/>
  <c r="AF445" i="20" s="1"/>
  <c r="AG445" i="20"/>
  <c r="AH445" i="20" s="1"/>
  <c r="AI445" i="20" s="1"/>
  <c r="AJ445" i="20" s="1"/>
  <c r="AK445" i="20" s="1"/>
  <c r="Y446" i="20"/>
  <c r="Z446" i="20" s="1"/>
  <c r="AA446" i="20"/>
  <c r="AB446" i="20" s="1"/>
  <c r="AC446" i="20" s="1"/>
  <c r="AD446" i="20" s="1"/>
  <c r="AE446" i="20" s="1"/>
  <c r="AF446" i="20" s="1"/>
  <c r="AG446" i="20" s="1"/>
  <c r="AH446" i="20" s="1"/>
  <c r="AI446" i="20" s="1"/>
  <c r="AJ446" i="20" s="1"/>
  <c r="AK446" i="20" s="1"/>
  <c r="Y447" i="20"/>
  <c r="Z447" i="20"/>
  <c r="AA447" i="20"/>
  <c r="AB447" i="20" s="1"/>
  <c r="AC447" i="20" s="1"/>
  <c r="AD447" i="20" s="1"/>
  <c r="AE447" i="20" s="1"/>
  <c r="AF447" i="20" s="1"/>
  <c r="AG447" i="20" s="1"/>
  <c r="AH447" i="20" s="1"/>
  <c r="AI447" i="20" s="1"/>
  <c r="AJ447" i="20" s="1"/>
  <c r="AK447" i="20" s="1"/>
  <c r="Y448" i="20"/>
  <c r="Z448" i="20" s="1"/>
  <c r="AA448" i="20" s="1"/>
  <c r="AB448" i="20" s="1"/>
  <c r="AC448" i="20" s="1"/>
  <c r="AD448" i="20" s="1"/>
  <c r="AE448" i="20" s="1"/>
  <c r="AF448" i="20" s="1"/>
  <c r="AG448" i="20" s="1"/>
  <c r="AH448" i="20" s="1"/>
  <c r="AI448" i="20"/>
  <c r="AJ448" i="20" s="1"/>
  <c r="AK448" i="20" s="1"/>
  <c r="Y449" i="20"/>
  <c r="Z449" i="20"/>
  <c r="AA449" i="20" s="1"/>
  <c r="AB449" i="20" s="1"/>
  <c r="AC449" i="20" s="1"/>
  <c r="AD449" i="20" s="1"/>
  <c r="AE449" i="20" s="1"/>
  <c r="AF449" i="20" s="1"/>
  <c r="AG449" i="20" s="1"/>
  <c r="AH449" i="20" s="1"/>
  <c r="AI449" i="20" s="1"/>
  <c r="AJ449" i="20" s="1"/>
  <c r="AK449" i="20" s="1"/>
  <c r="Y450" i="20"/>
  <c r="Z450" i="20" s="1"/>
  <c r="AA450" i="20"/>
  <c r="AB450" i="20" s="1"/>
  <c r="AC450" i="20" s="1"/>
  <c r="AD450" i="20" s="1"/>
  <c r="AE450" i="20"/>
  <c r="AF450" i="20" s="1"/>
  <c r="AG450" i="20" s="1"/>
  <c r="AH450" i="20" s="1"/>
  <c r="AI450" i="20" s="1"/>
  <c r="AJ450" i="20" s="1"/>
  <c r="AK450" i="20" s="1"/>
  <c r="Y451" i="20"/>
  <c r="Z451" i="20"/>
  <c r="AA451" i="20"/>
  <c r="AB451" i="20" s="1"/>
  <c r="AC451" i="20" s="1"/>
  <c r="AD451" i="20" s="1"/>
  <c r="AE451" i="20" s="1"/>
  <c r="AF451" i="20" s="1"/>
  <c r="AG451" i="20" s="1"/>
  <c r="AH451" i="20" s="1"/>
  <c r="AI451" i="20" s="1"/>
  <c r="AJ451" i="20" s="1"/>
  <c r="AK451" i="20" s="1"/>
  <c r="Y452" i="20"/>
  <c r="Z452" i="20" s="1"/>
  <c r="AA452" i="20" s="1"/>
  <c r="AB452" i="20" s="1"/>
  <c r="AC452" i="20" s="1"/>
  <c r="AD452" i="20" s="1"/>
  <c r="AE452" i="20" s="1"/>
  <c r="AF452" i="20" s="1"/>
  <c r="AG452" i="20" s="1"/>
  <c r="AH452" i="20" s="1"/>
  <c r="AI452" i="20" s="1"/>
  <c r="AJ452" i="20" s="1"/>
  <c r="AK452" i="20" s="1"/>
  <c r="Y453" i="20"/>
  <c r="Z453" i="20"/>
  <c r="AA453" i="20" s="1"/>
  <c r="AB453" i="20" s="1"/>
  <c r="AC453" i="20" s="1"/>
  <c r="AD453" i="20" s="1"/>
  <c r="AE453" i="20" s="1"/>
  <c r="AF453" i="20" s="1"/>
  <c r="AG453" i="20"/>
  <c r="AH453" i="20" s="1"/>
  <c r="AI453" i="20" s="1"/>
  <c r="AJ453" i="20" s="1"/>
  <c r="AK453" i="20" s="1"/>
  <c r="Y454" i="20"/>
  <c r="Z454" i="20" s="1"/>
  <c r="AA454" i="20"/>
  <c r="AB454" i="20" s="1"/>
  <c r="AC454" i="20" s="1"/>
  <c r="AD454" i="20" s="1"/>
  <c r="AE454" i="20" s="1"/>
  <c r="AF454" i="20" s="1"/>
  <c r="AG454" i="20" s="1"/>
  <c r="AH454" i="20" s="1"/>
  <c r="AI454" i="20" s="1"/>
  <c r="AJ454" i="20" s="1"/>
  <c r="AK454" i="20" s="1"/>
  <c r="Y455" i="20"/>
  <c r="Z455" i="20"/>
  <c r="AA455" i="20"/>
  <c r="AB455" i="20" s="1"/>
  <c r="AC455" i="20" s="1"/>
  <c r="AD455" i="20" s="1"/>
  <c r="AE455" i="20" s="1"/>
  <c r="AF455" i="20" s="1"/>
  <c r="AG455" i="20" s="1"/>
  <c r="AH455" i="20" s="1"/>
  <c r="AI455" i="20" s="1"/>
  <c r="AJ455" i="20" s="1"/>
  <c r="AK455" i="20" s="1"/>
  <c r="Y456" i="20"/>
  <c r="Z456" i="20" s="1"/>
  <c r="AA456" i="20" s="1"/>
  <c r="AB456" i="20" s="1"/>
  <c r="AC456" i="20" s="1"/>
  <c r="AD456" i="20" s="1"/>
  <c r="AE456" i="20" s="1"/>
  <c r="AF456" i="20" s="1"/>
  <c r="AG456" i="20" s="1"/>
  <c r="AH456" i="20" s="1"/>
  <c r="AI456" i="20"/>
  <c r="AJ456" i="20" s="1"/>
  <c r="AK456" i="20" s="1"/>
  <c r="Y457" i="20"/>
  <c r="Z457" i="20"/>
  <c r="AA457" i="20" s="1"/>
  <c r="AB457" i="20" s="1"/>
  <c r="AC457" i="20" s="1"/>
  <c r="AD457" i="20" s="1"/>
  <c r="AE457" i="20" s="1"/>
  <c r="AF457" i="20" s="1"/>
  <c r="AG457" i="20" s="1"/>
  <c r="AH457" i="20" s="1"/>
  <c r="AI457" i="20" s="1"/>
  <c r="AJ457" i="20" s="1"/>
  <c r="AK457" i="20" s="1"/>
  <c r="Y458" i="20"/>
  <c r="Z458" i="20" s="1"/>
  <c r="AA458" i="20"/>
  <c r="AB458" i="20" s="1"/>
  <c r="AC458" i="20" s="1"/>
  <c r="AD458" i="20" s="1"/>
  <c r="AE458" i="20" s="1"/>
  <c r="AF458" i="20" s="1"/>
  <c r="AG458" i="20" s="1"/>
  <c r="AH458" i="20" s="1"/>
  <c r="AI458" i="20" s="1"/>
  <c r="AJ458" i="20" s="1"/>
  <c r="AK458" i="20" s="1"/>
  <c r="Y459" i="20"/>
  <c r="Z459" i="20"/>
  <c r="AA459" i="20"/>
  <c r="AB459" i="20" s="1"/>
  <c r="AC459" i="20" s="1"/>
  <c r="AD459" i="20" s="1"/>
  <c r="AE459" i="20" s="1"/>
  <c r="AF459" i="20" s="1"/>
  <c r="AG459" i="20" s="1"/>
  <c r="AH459" i="20" s="1"/>
  <c r="AI459" i="20" s="1"/>
  <c r="AJ459" i="20" s="1"/>
  <c r="AK459" i="20" s="1"/>
  <c r="Y460" i="20"/>
  <c r="Z460" i="20" s="1"/>
  <c r="AA460" i="20" s="1"/>
  <c r="AB460" i="20" s="1"/>
  <c r="AC460" i="20" s="1"/>
  <c r="AD460" i="20" s="1"/>
  <c r="AE460" i="20" s="1"/>
  <c r="AF460" i="20" s="1"/>
  <c r="AG460" i="20" s="1"/>
  <c r="AH460" i="20" s="1"/>
  <c r="AI460" i="20"/>
  <c r="AJ460" i="20" s="1"/>
  <c r="AK460" i="20" s="1"/>
  <c r="Y461" i="20"/>
  <c r="Z461" i="20"/>
  <c r="AA461" i="20" s="1"/>
  <c r="AB461" i="20" s="1"/>
  <c r="AC461" i="20" s="1"/>
  <c r="AD461" i="20" s="1"/>
  <c r="AE461" i="20" s="1"/>
  <c r="AF461" i="20" s="1"/>
  <c r="AG461" i="20" s="1"/>
  <c r="AH461" i="20" s="1"/>
  <c r="AI461" i="20" s="1"/>
  <c r="AJ461" i="20" s="1"/>
  <c r="AK461" i="20" s="1"/>
  <c r="Y462" i="20"/>
  <c r="Z462" i="20" s="1"/>
  <c r="AA462" i="20"/>
  <c r="AB462" i="20" s="1"/>
  <c r="AC462" i="20" s="1"/>
  <c r="AD462" i="20" s="1"/>
  <c r="AE462" i="20" s="1"/>
  <c r="AF462" i="20" s="1"/>
  <c r="AG462" i="20" s="1"/>
  <c r="AH462" i="20" s="1"/>
  <c r="AI462" i="20" s="1"/>
  <c r="AJ462" i="20" s="1"/>
  <c r="AK462" i="20" s="1"/>
  <c r="Y463" i="20"/>
  <c r="Z463" i="20"/>
  <c r="AA463" i="20"/>
  <c r="AB463" i="20" s="1"/>
  <c r="AC463" i="20" s="1"/>
  <c r="AD463" i="20" s="1"/>
  <c r="AE463" i="20" s="1"/>
  <c r="AF463" i="20" s="1"/>
  <c r="AG463" i="20" s="1"/>
  <c r="AH463" i="20" s="1"/>
  <c r="AI463" i="20" s="1"/>
  <c r="AJ463" i="20" s="1"/>
  <c r="AK463" i="20" s="1"/>
  <c r="Y464" i="20"/>
  <c r="Z464" i="20" s="1"/>
  <c r="AA464" i="20" s="1"/>
  <c r="AB464" i="20" s="1"/>
  <c r="AC464" i="20" s="1"/>
  <c r="AD464" i="20" s="1"/>
  <c r="AE464" i="20" s="1"/>
  <c r="AF464" i="20" s="1"/>
  <c r="AG464" i="20" s="1"/>
  <c r="AH464" i="20" s="1"/>
  <c r="AI464" i="20" s="1"/>
  <c r="AJ464" i="20" s="1"/>
  <c r="AK464" i="20" s="1"/>
  <c r="Y465" i="20"/>
  <c r="Z465" i="20" s="1"/>
  <c r="AA465" i="20" s="1"/>
  <c r="AB465" i="20" s="1"/>
  <c r="AC465" i="20" s="1"/>
  <c r="AD465" i="20"/>
  <c r="AE465" i="20" s="1"/>
  <c r="AF465" i="20" s="1"/>
  <c r="AG465" i="20" s="1"/>
  <c r="AH465" i="20" s="1"/>
  <c r="AI465" i="20" s="1"/>
  <c r="AJ465" i="20" s="1"/>
  <c r="AK465" i="20" s="1"/>
  <c r="Y466" i="20"/>
  <c r="Z466" i="20" s="1"/>
  <c r="AA466" i="20" s="1"/>
  <c r="AB466" i="20" s="1"/>
  <c r="AC466" i="20" s="1"/>
  <c r="AD466" i="20" s="1"/>
  <c r="AE466" i="20" s="1"/>
  <c r="AF466" i="20" s="1"/>
  <c r="AG466" i="20"/>
  <c r="AH466" i="20"/>
  <c r="AI466" i="20" s="1"/>
  <c r="AJ466" i="20" s="1"/>
  <c r="AK466" i="20" s="1"/>
  <c r="Y467" i="20"/>
  <c r="Z467" i="20" s="1"/>
  <c r="AA467" i="20" s="1"/>
  <c r="AB467" i="20" s="1"/>
  <c r="AC467" i="20" s="1"/>
  <c r="AD467" i="20" s="1"/>
  <c r="AE467" i="20" s="1"/>
  <c r="AF467" i="20" s="1"/>
  <c r="AG467" i="20" s="1"/>
  <c r="AH467" i="20" s="1"/>
  <c r="AI467" i="20" s="1"/>
  <c r="AJ467" i="20" s="1"/>
  <c r="AK467" i="20" s="1"/>
  <c r="Y468" i="20"/>
  <c r="Z468" i="20"/>
  <c r="AA468" i="20" s="1"/>
  <c r="AB468" i="20" s="1"/>
  <c r="AC468" i="20" s="1"/>
  <c r="AD468" i="20" s="1"/>
  <c r="AE468" i="20"/>
  <c r="AF468" i="20" s="1"/>
  <c r="AG468" i="20" s="1"/>
  <c r="AH468" i="20" s="1"/>
  <c r="AI468" i="20" s="1"/>
  <c r="AJ468" i="20" s="1"/>
  <c r="AK468" i="20" s="1"/>
  <c r="Y469" i="20"/>
  <c r="Z469" i="20"/>
  <c r="AA469" i="20"/>
  <c r="AB469" i="20" s="1"/>
  <c r="AC469" i="20" s="1"/>
  <c r="AD469" i="20" s="1"/>
  <c r="AE469" i="20" s="1"/>
  <c r="AF469" i="20" s="1"/>
  <c r="AG469" i="20" s="1"/>
  <c r="AH469" i="20"/>
  <c r="AI469" i="20" s="1"/>
  <c r="AJ469" i="20" s="1"/>
  <c r="AK469" i="20" s="1"/>
  <c r="Y470" i="20"/>
  <c r="Z470" i="20"/>
  <c r="AA470" i="20" s="1"/>
  <c r="AB470" i="20" s="1"/>
  <c r="AC470" i="20" s="1"/>
  <c r="AD470" i="20" s="1"/>
  <c r="AE470" i="20" s="1"/>
  <c r="AF470" i="20" s="1"/>
  <c r="AG470" i="20" s="1"/>
  <c r="AH470" i="20" s="1"/>
  <c r="AI470" i="20" s="1"/>
  <c r="AJ470" i="20" s="1"/>
  <c r="AK470" i="20" s="1"/>
  <c r="Y471" i="20"/>
  <c r="Z471" i="20" s="1"/>
  <c r="AA471" i="20" s="1"/>
  <c r="AB471" i="20" s="1"/>
  <c r="AC471" i="20" s="1"/>
  <c r="AD471" i="20" s="1"/>
  <c r="AE471" i="20" s="1"/>
  <c r="AF471" i="20"/>
  <c r="AG471" i="20" s="1"/>
  <c r="AH471" i="20" s="1"/>
  <c r="AI471" i="20" s="1"/>
  <c r="AJ471" i="20" s="1"/>
  <c r="AK471" i="20" s="1"/>
  <c r="Y472" i="20"/>
  <c r="Z472" i="20"/>
  <c r="AA472" i="20"/>
  <c r="AB472" i="20" s="1"/>
  <c r="AC472" i="20" s="1"/>
  <c r="AD472" i="20" s="1"/>
  <c r="AE472" i="20" s="1"/>
  <c r="AF472" i="20" s="1"/>
  <c r="AG472" i="20" s="1"/>
  <c r="AH472" i="20" s="1"/>
  <c r="AI472" i="20" s="1"/>
  <c r="AJ472" i="20" s="1"/>
  <c r="AK472" i="20" s="1"/>
  <c r="Y473" i="20"/>
  <c r="Z473" i="20" s="1"/>
  <c r="AA473" i="20" s="1"/>
  <c r="AB473" i="20" s="1"/>
  <c r="AC473" i="20" s="1"/>
  <c r="AD473" i="20" s="1"/>
  <c r="AE473" i="20" s="1"/>
  <c r="AF473" i="20" s="1"/>
  <c r="AG473" i="20" s="1"/>
  <c r="AH473" i="20" s="1"/>
  <c r="AI473" i="20" s="1"/>
  <c r="AJ473" i="20" s="1"/>
  <c r="AK473" i="20" s="1"/>
  <c r="Y474" i="20"/>
  <c r="Z474" i="20" s="1"/>
  <c r="AA474" i="20" s="1"/>
  <c r="AB474" i="20" s="1"/>
  <c r="AC474" i="20" s="1"/>
  <c r="AD474" i="20" s="1"/>
  <c r="AE474" i="20" s="1"/>
  <c r="AF474" i="20" s="1"/>
  <c r="AG474" i="20" s="1"/>
  <c r="AH474" i="20" s="1"/>
  <c r="AI474" i="20" s="1"/>
  <c r="AJ474" i="20" s="1"/>
  <c r="AK474" i="20" s="1"/>
  <c r="Y475" i="20"/>
  <c r="Z475" i="20" s="1"/>
  <c r="AA475" i="20" s="1"/>
  <c r="AB475" i="20"/>
  <c r="AC475" i="20" s="1"/>
  <c r="AD475" i="20" s="1"/>
  <c r="AE475" i="20" s="1"/>
  <c r="AF475" i="20" s="1"/>
  <c r="AG475" i="20" s="1"/>
  <c r="AH475" i="20" s="1"/>
  <c r="AI475" i="20" s="1"/>
  <c r="AJ475" i="20" s="1"/>
  <c r="AK475" i="20" s="1"/>
  <c r="Y476" i="20"/>
  <c r="Z476" i="20"/>
  <c r="AA476" i="20" s="1"/>
  <c r="AB476" i="20" s="1"/>
  <c r="AC476" i="20" s="1"/>
  <c r="AD476" i="20" s="1"/>
  <c r="AE476" i="20" s="1"/>
  <c r="AF476" i="20" s="1"/>
  <c r="AG476" i="20" s="1"/>
  <c r="AH476" i="20" s="1"/>
  <c r="AI476" i="20" s="1"/>
  <c r="AJ476" i="20" s="1"/>
  <c r="AK476" i="20" s="1"/>
  <c r="Y477" i="20"/>
  <c r="Z477" i="20"/>
  <c r="AA477" i="20"/>
  <c r="AB477" i="20" s="1"/>
  <c r="AC477" i="20" s="1"/>
  <c r="AD477" i="20" s="1"/>
  <c r="AE477" i="20" s="1"/>
  <c r="AF477" i="20" s="1"/>
  <c r="AG477" i="20" s="1"/>
  <c r="AH477" i="20"/>
  <c r="AI477" i="20" s="1"/>
  <c r="AJ477" i="20" s="1"/>
  <c r="AK477" i="20" s="1"/>
  <c r="Y478" i="20"/>
  <c r="Z478" i="20"/>
  <c r="AA478" i="20" s="1"/>
  <c r="AB478" i="20" s="1"/>
  <c r="AC478" i="20"/>
  <c r="AD478" i="20"/>
  <c r="AE478" i="20" s="1"/>
  <c r="AF478" i="20" s="1"/>
  <c r="AG478" i="20" s="1"/>
  <c r="AH478" i="20" s="1"/>
  <c r="AI478" i="20" s="1"/>
  <c r="AJ478" i="20" s="1"/>
  <c r="AK478" i="20" s="1"/>
  <c r="Y479" i="20"/>
  <c r="Z479" i="20" s="1"/>
  <c r="AA479" i="20" s="1"/>
  <c r="AB479" i="20" s="1"/>
  <c r="AC479" i="20" s="1"/>
  <c r="AD479" i="20" s="1"/>
  <c r="AE479" i="20" s="1"/>
  <c r="AF479" i="20"/>
  <c r="AG479" i="20" s="1"/>
  <c r="AH479" i="20" s="1"/>
  <c r="AI479" i="20" s="1"/>
  <c r="AJ479" i="20" s="1"/>
  <c r="AK479" i="20" s="1"/>
  <c r="Y480" i="20"/>
  <c r="Z480" i="20"/>
  <c r="AA480" i="20"/>
  <c r="AB480" i="20"/>
  <c r="AC480" i="20" s="1"/>
  <c r="AD480" i="20" s="1"/>
  <c r="AE480" i="20" s="1"/>
  <c r="AF480" i="20" s="1"/>
  <c r="AG480" i="20" s="1"/>
  <c r="AH480" i="20" s="1"/>
  <c r="AI480" i="20" s="1"/>
  <c r="AJ480" i="20"/>
  <c r="AK480" i="20" s="1"/>
  <c r="Y481" i="20"/>
  <c r="Z481" i="20" s="1"/>
  <c r="AA481" i="20" s="1"/>
  <c r="AB481" i="20" s="1"/>
  <c r="AC481" i="20" s="1"/>
  <c r="AD481" i="20" s="1"/>
  <c r="AE481" i="20" s="1"/>
  <c r="AF481" i="20" s="1"/>
  <c r="AG481" i="20" s="1"/>
  <c r="AH481" i="20" s="1"/>
  <c r="AI481" i="20" s="1"/>
  <c r="AJ481" i="20" s="1"/>
  <c r="AK481" i="20" s="1"/>
  <c r="Y482" i="20"/>
  <c r="Z482" i="20"/>
  <c r="AA482" i="20" s="1"/>
  <c r="AB482" i="20" s="1"/>
  <c r="AC482" i="20" s="1"/>
  <c r="AD482" i="20" s="1"/>
  <c r="AE482" i="20" s="1"/>
  <c r="AF482" i="20" s="1"/>
  <c r="AG482" i="20"/>
  <c r="AH482" i="20" s="1"/>
  <c r="AI482" i="20" s="1"/>
  <c r="AJ482" i="20" s="1"/>
  <c r="AK482" i="20" s="1"/>
  <c r="Y483" i="20"/>
  <c r="Z483" i="20" s="1"/>
  <c r="AA483" i="20" s="1"/>
  <c r="AB483" i="20" s="1"/>
  <c r="AC483" i="20" s="1"/>
  <c r="AD483" i="20" s="1"/>
  <c r="AE483" i="20" s="1"/>
  <c r="AF483" i="20" s="1"/>
  <c r="AG483" i="20" s="1"/>
  <c r="AH483" i="20" s="1"/>
  <c r="AI483" i="20" s="1"/>
  <c r="AJ483" i="20" s="1"/>
  <c r="AK483" i="20" s="1"/>
  <c r="Y484" i="20"/>
  <c r="Z484" i="20"/>
  <c r="AA484" i="20" s="1"/>
  <c r="AB484" i="20" s="1"/>
  <c r="AC484" i="20" s="1"/>
  <c r="AD484" i="20" s="1"/>
  <c r="AE484" i="20" s="1"/>
  <c r="AF484" i="20" s="1"/>
  <c r="AG484" i="20" s="1"/>
  <c r="AH484" i="20" s="1"/>
  <c r="AI484" i="20" s="1"/>
  <c r="AJ484" i="20" s="1"/>
  <c r="AK484" i="20" s="1"/>
  <c r="Y485" i="20"/>
  <c r="Z485" i="20"/>
  <c r="AA485" i="20" s="1"/>
  <c r="AB485" i="20" s="1"/>
  <c r="AC485" i="20" s="1"/>
  <c r="AD485" i="20" s="1"/>
  <c r="AE485" i="20" s="1"/>
  <c r="AF485" i="20" s="1"/>
  <c r="AG485" i="20" s="1"/>
  <c r="AH485" i="20" s="1"/>
  <c r="AI485" i="20" s="1"/>
  <c r="AJ485" i="20" s="1"/>
  <c r="AK485" i="20" s="1"/>
  <c r="Y486" i="20"/>
  <c r="Z486" i="20"/>
  <c r="AA486" i="20" s="1"/>
  <c r="AB486" i="20" s="1"/>
  <c r="AC486" i="20"/>
  <c r="AD486" i="20" s="1"/>
  <c r="AE486" i="20" s="1"/>
  <c r="AF486" i="20" s="1"/>
  <c r="AG486" i="20" s="1"/>
  <c r="AH486" i="20" s="1"/>
  <c r="AI486" i="20" s="1"/>
  <c r="AJ486" i="20" s="1"/>
  <c r="AK486" i="20" s="1"/>
  <c r="Y487" i="20"/>
  <c r="Z487" i="20" s="1"/>
  <c r="AA487" i="20" s="1"/>
  <c r="AB487" i="20" s="1"/>
  <c r="AC487" i="20" s="1"/>
  <c r="AD487" i="20" s="1"/>
  <c r="AE487" i="20" s="1"/>
  <c r="AF487" i="20" s="1"/>
  <c r="AG487" i="20" s="1"/>
  <c r="AH487" i="20" s="1"/>
  <c r="AI487" i="20" s="1"/>
  <c r="AJ487" i="20" s="1"/>
  <c r="AK487" i="20" s="1"/>
  <c r="Y488" i="20"/>
  <c r="Z488" i="20"/>
  <c r="AA488" i="20"/>
  <c r="AB488" i="20" s="1"/>
  <c r="AC488" i="20" s="1"/>
  <c r="AD488" i="20" s="1"/>
  <c r="AE488" i="20" s="1"/>
  <c r="AF488" i="20" s="1"/>
  <c r="AG488" i="20" s="1"/>
  <c r="AH488" i="20" s="1"/>
  <c r="AI488" i="20" s="1"/>
  <c r="AJ488" i="20" s="1"/>
  <c r="AK488" i="20" s="1"/>
  <c r="Y489" i="20"/>
  <c r="Z489" i="20" s="1"/>
  <c r="AA489" i="20" s="1"/>
  <c r="AB489" i="20" s="1"/>
  <c r="AC489" i="20" s="1"/>
  <c r="AD489" i="20"/>
  <c r="AE489" i="20"/>
  <c r="AF489" i="20" s="1"/>
  <c r="AG489" i="20" s="1"/>
  <c r="AH489" i="20" s="1"/>
  <c r="AI489" i="20" s="1"/>
  <c r="AJ489" i="20" s="1"/>
  <c r="AK489" i="20" s="1"/>
  <c r="Y490" i="20"/>
  <c r="Z490" i="20"/>
  <c r="AA490" i="20" s="1"/>
  <c r="AB490" i="20" s="1"/>
  <c r="AC490" i="20" s="1"/>
  <c r="AD490" i="20" s="1"/>
  <c r="AE490" i="20" s="1"/>
  <c r="AF490" i="20" s="1"/>
  <c r="AG490" i="20" s="1"/>
  <c r="AH490" i="20" s="1"/>
  <c r="AI490" i="20" s="1"/>
  <c r="AJ490" i="20" s="1"/>
  <c r="AK490" i="20" s="1"/>
  <c r="Y491" i="20"/>
  <c r="Z491" i="20" s="1"/>
  <c r="AA491" i="20" s="1"/>
  <c r="AB491" i="20"/>
  <c r="AC491" i="20"/>
  <c r="AD491" i="20" s="1"/>
  <c r="AE491" i="20" s="1"/>
  <c r="AF491" i="20" s="1"/>
  <c r="AG491" i="20" s="1"/>
  <c r="AH491" i="20" s="1"/>
  <c r="AI491" i="20" s="1"/>
  <c r="AJ491" i="20" s="1"/>
  <c r="AK491" i="20" s="1"/>
  <c r="Y492" i="20"/>
  <c r="Z492" i="20"/>
  <c r="AA492" i="20" s="1"/>
  <c r="AB492" i="20" s="1"/>
  <c r="AC492" i="20" s="1"/>
  <c r="AD492" i="20"/>
  <c r="AE492" i="20"/>
  <c r="AF492" i="20" s="1"/>
  <c r="AG492" i="20" s="1"/>
  <c r="AH492" i="20" s="1"/>
  <c r="AI492" i="20" s="1"/>
  <c r="AJ492" i="20" s="1"/>
  <c r="AK492" i="20" s="1"/>
  <c r="Y493" i="20"/>
  <c r="Z493" i="20" s="1"/>
  <c r="AA493" i="20" s="1"/>
  <c r="AB493" i="20" s="1"/>
  <c r="AC493" i="20" s="1"/>
  <c r="AD493" i="20" s="1"/>
  <c r="AE493" i="20" s="1"/>
  <c r="AF493" i="20" s="1"/>
  <c r="AG493" i="20" s="1"/>
  <c r="AH493" i="20" s="1"/>
  <c r="AI493" i="20" s="1"/>
  <c r="AJ493" i="20" s="1"/>
  <c r="AK493" i="20" s="1"/>
  <c r="Y494" i="20"/>
  <c r="Z494" i="20"/>
  <c r="AA494" i="20" s="1"/>
  <c r="AB494" i="20" s="1"/>
  <c r="AC494" i="20" s="1"/>
  <c r="AD494" i="20" s="1"/>
  <c r="AE494" i="20" s="1"/>
  <c r="AF494" i="20" s="1"/>
  <c r="AG494" i="20" s="1"/>
  <c r="AH494" i="20" s="1"/>
  <c r="AI494" i="20" s="1"/>
  <c r="AJ494" i="20" s="1"/>
  <c r="AK494" i="20" s="1"/>
  <c r="Y495" i="20"/>
  <c r="Z495" i="20" s="1"/>
  <c r="AA495" i="20" s="1"/>
  <c r="AB495" i="20" s="1"/>
  <c r="AC495" i="20" s="1"/>
  <c r="AD495" i="20" s="1"/>
  <c r="AE495" i="20" s="1"/>
  <c r="AF495" i="20" s="1"/>
  <c r="AG495" i="20" s="1"/>
  <c r="AH495" i="20" s="1"/>
  <c r="AI495" i="20"/>
  <c r="AJ495" i="20" s="1"/>
  <c r="AK495" i="20" s="1"/>
  <c r="Y496" i="20"/>
  <c r="Z496" i="20"/>
  <c r="AA496" i="20"/>
  <c r="AB496" i="20" s="1"/>
  <c r="AC496" i="20" s="1"/>
  <c r="AD496" i="20" s="1"/>
  <c r="AE496" i="20" s="1"/>
  <c r="AF496" i="20" s="1"/>
  <c r="AG496" i="20" s="1"/>
  <c r="AH496" i="20" s="1"/>
  <c r="AI496" i="20" s="1"/>
  <c r="AJ496" i="20" s="1"/>
  <c r="AK496" i="20" s="1"/>
  <c r="Y497" i="20"/>
  <c r="Z497" i="20" s="1"/>
  <c r="AA497" i="20" s="1"/>
  <c r="AB497" i="20" s="1"/>
  <c r="AC497" i="20"/>
  <c r="AD497" i="20" s="1"/>
  <c r="AE497" i="20" s="1"/>
  <c r="AF497" i="20" s="1"/>
  <c r="AG497" i="20" s="1"/>
  <c r="AH497" i="20" s="1"/>
  <c r="AI497" i="20" s="1"/>
  <c r="AJ497" i="20" s="1"/>
  <c r="AK497" i="20" s="1"/>
  <c r="Y498" i="20"/>
  <c r="Z498" i="20"/>
  <c r="AA498" i="20" s="1"/>
  <c r="AB498" i="20" s="1"/>
  <c r="AC498" i="20" s="1"/>
  <c r="AD498" i="20" s="1"/>
  <c r="AE498" i="20" s="1"/>
  <c r="AF498" i="20" s="1"/>
  <c r="AG498" i="20" s="1"/>
  <c r="AH498" i="20" s="1"/>
  <c r="AI498" i="20" s="1"/>
  <c r="AJ498" i="20" s="1"/>
  <c r="AK498" i="20" s="1"/>
  <c r="Y499" i="20"/>
  <c r="Z499" i="20" s="1"/>
  <c r="AA499" i="20"/>
  <c r="AB499" i="20"/>
  <c r="AC499" i="20" s="1"/>
  <c r="AD499" i="20" s="1"/>
  <c r="AE499" i="20" s="1"/>
  <c r="AF499" i="20" s="1"/>
  <c r="AG499" i="20" s="1"/>
  <c r="AH499" i="20" s="1"/>
  <c r="AI499" i="20" s="1"/>
  <c r="AJ499" i="20" s="1"/>
  <c r="AK499" i="20" s="1"/>
  <c r="Y500" i="20"/>
  <c r="Z500" i="20"/>
  <c r="AA500" i="20" s="1"/>
  <c r="AB500" i="20" s="1"/>
  <c r="AC500" i="20" s="1"/>
  <c r="AD500" i="20"/>
  <c r="AE500" i="20" s="1"/>
  <c r="AF500" i="20" s="1"/>
  <c r="AG500" i="20" s="1"/>
  <c r="AH500" i="20" s="1"/>
  <c r="AI500" i="20" s="1"/>
  <c r="AJ500" i="20" s="1"/>
  <c r="AK500" i="20" s="1"/>
  <c r="Y501" i="20"/>
  <c r="Z501" i="20" s="1"/>
  <c r="AA501" i="20" s="1"/>
  <c r="AB501" i="20" s="1"/>
  <c r="AC501" i="20" s="1"/>
  <c r="AD501" i="20" s="1"/>
  <c r="AE501" i="20" s="1"/>
  <c r="AF501" i="20" s="1"/>
  <c r="AG501" i="20" s="1"/>
  <c r="AH501" i="20" s="1"/>
  <c r="AI501" i="20" s="1"/>
  <c r="AJ501" i="20" s="1"/>
  <c r="AK501" i="20" s="1"/>
  <c r="Y502" i="20"/>
  <c r="Z502" i="20"/>
  <c r="AA502" i="20" s="1"/>
  <c r="AB502" i="20" s="1"/>
  <c r="AC502" i="20" s="1"/>
  <c r="AD502" i="20" s="1"/>
  <c r="AE502" i="20" s="1"/>
  <c r="AF502" i="20" s="1"/>
  <c r="AG502" i="20" s="1"/>
  <c r="AH502" i="20" s="1"/>
  <c r="AI502" i="20" s="1"/>
  <c r="AJ502" i="20" s="1"/>
  <c r="AK502" i="20" s="1"/>
  <c r="Y503" i="20"/>
  <c r="Z503" i="20" s="1"/>
  <c r="AA503" i="20" s="1"/>
  <c r="AB503" i="20" s="1"/>
  <c r="AC503" i="20" s="1"/>
  <c r="AD503" i="20" s="1"/>
  <c r="AE503" i="20" s="1"/>
  <c r="AF503" i="20" s="1"/>
  <c r="AG503" i="20"/>
  <c r="AH503" i="20" s="1"/>
  <c r="AI503" i="20" s="1"/>
  <c r="AJ503" i="20" s="1"/>
  <c r="AK503" i="20" s="1"/>
  <c r="Y504" i="20"/>
  <c r="Z504" i="20"/>
  <c r="AA504" i="20" s="1"/>
  <c r="AB504" i="20" s="1"/>
  <c r="AC504" i="20" s="1"/>
  <c r="AD504" i="20" s="1"/>
  <c r="AE504" i="20" s="1"/>
  <c r="AF504" i="20" s="1"/>
  <c r="AG504" i="20" s="1"/>
  <c r="AH504" i="20" s="1"/>
  <c r="AI504" i="20"/>
  <c r="AJ504" i="20" s="1"/>
  <c r="AK504" i="20" s="1"/>
  <c r="Y505" i="20"/>
  <c r="Z505" i="20" s="1"/>
  <c r="AA505" i="20" s="1"/>
  <c r="AB505" i="20" s="1"/>
  <c r="AC505" i="20" s="1"/>
  <c r="AD505" i="20" s="1"/>
  <c r="AE505" i="20" s="1"/>
  <c r="AF505" i="20" s="1"/>
  <c r="AG505" i="20" s="1"/>
  <c r="AH505" i="20" s="1"/>
  <c r="AI505" i="20" s="1"/>
  <c r="AJ505" i="20" s="1"/>
  <c r="AK505" i="20" s="1"/>
  <c r="Y506" i="20"/>
  <c r="Z506" i="20" s="1"/>
  <c r="AA506" i="20" s="1"/>
  <c r="AB506" i="20" s="1"/>
  <c r="AC506" i="20" s="1"/>
  <c r="AD506" i="20" s="1"/>
  <c r="AE506" i="20" s="1"/>
  <c r="AF506" i="20" s="1"/>
  <c r="AG506" i="20" s="1"/>
  <c r="AH506" i="20" s="1"/>
  <c r="AI506" i="20" s="1"/>
  <c r="AJ506" i="20" s="1"/>
  <c r="AK506" i="20" s="1"/>
  <c r="Y507" i="20"/>
  <c r="Z507" i="20" s="1"/>
  <c r="AA507" i="20" s="1"/>
  <c r="AB507" i="20" s="1"/>
  <c r="AC507" i="20" s="1"/>
  <c r="AD507" i="20" s="1"/>
  <c r="AE507" i="20" s="1"/>
  <c r="AF507" i="20" s="1"/>
  <c r="AG507" i="20" s="1"/>
  <c r="AH507" i="20" s="1"/>
  <c r="AI507" i="20" s="1"/>
  <c r="AJ507" i="20" s="1"/>
  <c r="AK507" i="20" s="1"/>
  <c r="Y508" i="20"/>
  <c r="Z508" i="20"/>
  <c r="AA508" i="20" s="1"/>
  <c r="AB508" i="20" s="1"/>
  <c r="AC508" i="20" s="1"/>
  <c r="AD508" i="20" s="1"/>
  <c r="AE508" i="20" s="1"/>
  <c r="AF508" i="20" s="1"/>
  <c r="AG508" i="20" s="1"/>
  <c r="AH508" i="20" s="1"/>
  <c r="AI508" i="20" s="1"/>
  <c r="AJ508" i="20" s="1"/>
  <c r="AK508" i="20" s="1"/>
  <c r="Y509" i="20"/>
  <c r="Z509" i="20"/>
  <c r="AA509" i="20"/>
  <c r="AB509" i="20" s="1"/>
  <c r="AC509" i="20" s="1"/>
  <c r="AD509" i="20" s="1"/>
  <c r="AE509" i="20" s="1"/>
  <c r="AF509" i="20" s="1"/>
  <c r="AG509" i="20" s="1"/>
  <c r="AH509" i="20" s="1"/>
  <c r="AI509" i="20" s="1"/>
  <c r="AJ509" i="20" s="1"/>
  <c r="AK509" i="20" s="1"/>
  <c r="Y510" i="20"/>
  <c r="Z510" i="20"/>
  <c r="AA510" i="20" s="1"/>
  <c r="AB510" i="20" s="1"/>
  <c r="AC510" i="20" s="1"/>
  <c r="AD510" i="20" s="1"/>
  <c r="AE510" i="20" s="1"/>
  <c r="AF510" i="20" s="1"/>
  <c r="AG510" i="20" s="1"/>
  <c r="AH510" i="20" s="1"/>
  <c r="AI510" i="20" s="1"/>
  <c r="AJ510" i="20" s="1"/>
  <c r="AK510" i="20" s="1"/>
  <c r="Y511" i="20"/>
  <c r="Z511" i="20" s="1"/>
  <c r="AA511" i="20" s="1"/>
  <c r="AB511" i="20" s="1"/>
  <c r="AC511" i="20" s="1"/>
  <c r="AD511" i="20" s="1"/>
  <c r="AE511" i="20" s="1"/>
  <c r="AF511" i="20" s="1"/>
  <c r="AG511" i="20" s="1"/>
  <c r="AH511" i="20" s="1"/>
  <c r="AI511" i="20" s="1"/>
  <c r="AJ511" i="20" s="1"/>
  <c r="AK511" i="20" s="1"/>
  <c r="Y512" i="20"/>
  <c r="Z512" i="20"/>
  <c r="AA512" i="20" s="1"/>
  <c r="AB512" i="20" s="1"/>
  <c r="AC512" i="20" s="1"/>
  <c r="AD512" i="20" s="1"/>
  <c r="AE512" i="20" s="1"/>
  <c r="AF512" i="20"/>
  <c r="AG512" i="20" s="1"/>
  <c r="AH512" i="20" s="1"/>
  <c r="AI512" i="20" s="1"/>
  <c r="AJ512" i="20" s="1"/>
  <c r="AK512" i="20" s="1"/>
  <c r="Y513" i="20"/>
  <c r="Z513" i="20" s="1"/>
  <c r="AA513" i="20" s="1"/>
  <c r="AB513" i="20" s="1"/>
  <c r="AC513" i="20" s="1"/>
  <c r="AD513" i="20" s="1"/>
  <c r="AE513" i="20" s="1"/>
  <c r="AF513" i="20" s="1"/>
  <c r="AG513" i="20" s="1"/>
  <c r="AH513" i="20" s="1"/>
  <c r="AI513" i="20" s="1"/>
  <c r="AJ513" i="20" s="1"/>
  <c r="AK513" i="20" s="1"/>
  <c r="Y514" i="20"/>
  <c r="Z514" i="20" s="1"/>
  <c r="AA514" i="20" s="1"/>
  <c r="AB514" i="20" s="1"/>
  <c r="AC514" i="20" s="1"/>
  <c r="AD514" i="20" s="1"/>
  <c r="AE514" i="20" s="1"/>
  <c r="AF514" i="20"/>
  <c r="AG514" i="20" s="1"/>
  <c r="AH514" i="20" s="1"/>
  <c r="AI514" i="20" s="1"/>
  <c r="AJ514" i="20" s="1"/>
  <c r="AK514" i="20" s="1"/>
  <c r="Y515" i="20"/>
  <c r="Z515" i="20" s="1"/>
  <c r="AA515" i="20" s="1"/>
  <c r="AB515" i="20" s="1"/>
  <c r="AC515" i="20" s="1"/>
  <c r="AD515" i="20" s="1"/>
  <c r="AE515" i="20" s="1"/>
  <c r="AF515" i="20" s="1"/>
  <c r="AG515" i="20" s="1"/>
  <c r="AH515" i="20" s="1"/>
  <c r="AI515" i="20" s="1"/>
  <c r="AJ515" i="20" s="1"/>
  <c r="AK515" i="20" s="1"/>
  <c r="Y516" i="20"/>
  <c r="Z516" i="20"/>
  <c r="AA516" i="20" s="1"/>
  <c r="AB516" i="20"/>
  <c r="AC516" i="20" s="1"/>
  <c r="AD516" i="20"/>
  <c r="AE516" i="20" s="1"/>
  <c r="AF516" i="20" s="1"/>
  <c r="AG516" i="20" s="1"/>
  <c r="AH516" i="20" s="1"/>
  <c r="AI516" i="20" s="1"/>
  <c r="AJ516" i="20" s="1"/>
  <c r="AK516" i="20" s="1"/>
  <c r="Y517" i="20"/>
  <c r="Z517" i="20" s="1"/>
  <c r="AA517" i="20" s="1"/>
  <c r="AB517" i="20" s="1"/>
  <c r="AC517" i="20" s="1"/>
  <c r="AD517" i="20" s="1"/>
  <c r="AE517" i="20" s="1"/>
  <c r="AF517" i="20" s="1"/>
  <c r="AG517" i="20" s="1"/>
  <c r="AH517" i="20" s="1"/>
  <c r="AI517" i="20" s="1"/>
  <c r="AJ517" i="20" s="1"/>
  <c r="AK517" i="20" s="1"/>
  <c r="Y518" i="20"/>
  <c r="Z518" i="20"/>
  <c r="AA518" i="20" s="1"/>
  <c r="AB518" i="20"/>
  <c r="AC518" i="20" s="1"/>
  <c r="AD518" i="20" s="1"/>
  <c r="AE518" i="20" s="1"/>
  <c r="AF518" i="20" s="1"/>
  <c r="AG518" i="20" s="1"/>
  <c r="AH518" i="20" s="1"/>
  <c r="AI518" i="20" s="1"/>
  <c r="AJ518" i="20" s="1"/>
  <c r="AK518" i="20" s="1"/>
  <c r="Y519" i="20"/>
  <c r="Z519" i="20" s="1"/>
  <c r="AA519" i="20"/>
  <c r="AB519" i="20" s="1"/>
  <c r="AC519" i="20" s="1"/>
  <c r="AD519" i="20" s="1"/>
  <c r="AE519" i="20"/>
  <c r="AF519" i="20" s="1"/>
  <c r="AG519" i="20" s="1"/>
  <c r="AH519" i="20" s="1"/>
  <c r="AI519" i="20" s="1"/>
  <c r="AJ519" i="20" s="1"/>
  <c r="AK519" i="20" s="1"/>
  <c r="Y520" i="20"/>
  <c r="Z520" i="20"/>
  <c r="AA520" i="20" s="1"/>
  <c r="AB520" i="20" s="1"/>
  <c r="AC520" i="20" s="1"/>
  <c r="AD520" i="20" s="1"/>
  <c r="AE520" i="20" s="1"/>
  <c r="AF520" i="20" s="1"/>
  <c r="AG520" i="20" s="1"/>
  <c r="AH520" i="20" s="1"/>
  <c r="AI520" i="20" s="1"/>
  <c r="AJ520" i="20" s="1"/>
  <c r="AK520" i="20" s="1"/>
  <c r="Y521" i="20"/>
  <c r="Z521" i="20" s="1"/>
  <c r="AA521" i="20" s="1"/>
  <c r="AB521" i="20" s="1"/>
  <c r="AC521" i="20" s="1"/>
  <c r="AD521" i="20" s="1"/>
  <c r="AE521" i="20" s="1"/>
  <c r="AF521" i="20" s="1"/>
  <c r="AG521" i="20" s="1"/>
  <c r="AH521" i="20" s="1"/>
  <c r="AI521" i="20" s="1"/>
  <c r="AJ521" i="20" s="1"/>
  <c r="AK521" i="20" s="1"/>
  <c r="Y522" i="20"/>
  <c r="Z522" i="20"/>
  <c r="AA522" i="20" s="1"/>
  <c r="AB522" i="20" s="1"/>
  <c r="AC522" i="20" s="1"/>
  <c r="AD522" i="20" s="1"/>
  <c r="AE522" i="20" s="1"/>
  <c r="AF522" i="20" s="1"/>
  <c r="AG522" i="20" s="1"/>
  <c r="AH522" i="20" s="1"/>
  <c r="AI522" i="20" s="1"/>
  <c r="AJ522" i="20" s="1"/>
  <c r="AK522" i="20" s="1"/>
  <c r="Y523" i="20"/>
  <c r="Z523" i="20" s="1"/>
  <c r="AA523" i="20" s="1"/>
  <c r="AB523" i="20" s="1"/>
  <c r="AC523" i="20" s="1"/>
  <c r="AD523" i="20" s="1"/>
  <c r="AE523" i="20" s="1"/>
  <c r="AF523" i="20" s="1"/>
  <c r="AG523" i="20" s="1"/>
  <c r="AH523" i="20" s="1"/>
  <c r="AI523" i="20" s="1"/>
  <c r="AJ523" i="20" s="1"/>
  <c r="AK523" i="20" s="1"/>
  <c r="Y524" i="20"/>
  <c r="Z524" i="20"/>
  <c r="AA524" i="20"/>
  <c r="AB524" i="20" s="1"/>
  <c r="AC524" i="20" s="1"/>
  <c r="AD524" i="20" s="1"/>
  <c r="AE524" i="20" s="1"/>
  <c r="AF524" i="20" s="1"/>
  <c r="AG524" i="20" s="1"/>
  <c r="AH524" i="20" s="1"/>
  <c r="AI524" i="20" s="1"/>
  <c r="AJ524" i="20" s="1"/>
  <c r="AK524" i="20" s="1"/>
  <c r="Y525" i="20"/>
  <c r="Z525" i="20" s="1"/>
  <c r="AA525" i="20" s="1"/>
  <c r="AB525" i="20" s="1"/>
  <c r="AC525" i="20" s="1"/>
  <c r="AD525" i="20" s="1"/>
  <c r="AE525" i="20" s="1"/>
  <c r="AF525" i="20" s="1"/>
  <c r="AG525" i="20" s="1"/>
  <c r="AH525" i="20" s="1"/>
  <c r="AI525" i="20" s="1"/>
  <c r="AJ525" i="20" s="1"/>
  <c r="AK525" i="20" s="1"/>
  <c r="Y526" i="20"/>
  <c r="Z526" i="20"/>
  <c r="AA526" i="20" s="1"/>
  <c r="AB526" i="20" s="1"/>
  <c r="AC526" i="20" s="1"/>
  <c r="AD526" i="20" s="1"/>
  <c r="AE526" i="20" s="1"/>
  <c r="AF526" i="20" s="1"/>
  <c r="AG526" i="20" s="1"/>
  <c r="AH526" i="20" s="1"/>
  <c r="AI526" i="20" s="1"/>
  <c r="AJ526" i="20" s="1"/>
  <c r="AK526" i="20" s="1"/>
  <c r="Y527" i="20"/>
  <c r="Z527" i="20" s="1"/>
  <c r="AA527" i="20" s="1"/>
  <c r="AB527" i="20" s="1"/>
  <c r="AC527" i="20" s="1"/>
  <c r="AD527" i="20" s="1"/>
  <c r="AE527" i="20" s="1"/>
  <c r="AF527" i="20" s="1"/>
  <c r="AG527" i="20" s="1"/>
  <c r="AH527" i="20" s="1"/>
  <c r="AI527" i="20" s="1"/>
  <c r="AJ527" i="20" s="1"/>
  <c r="AK527" i="20" s="1"/>
  <c r="Y528" i="20"/>
  <c r="Z528" i="20"/>
  <c r="AA528" i="20"/>
  <c r="AB528" i="20" s="1"/>
  <c r="AC528" i="20" s="1"/>
  <c r="AD528" i="20" s="1"/>
  <c r="AE528" i="20" s="1"/>
  <c r="AF528" i="20" s="1"/>
  <c r="AG528" i="20" s="1"/>
  <c r="AH528" i="20" s="1"/>
  <c r="AI528" i="20" s="1"/>
  <c r="AJ528" i="20" s="1"/>
  <c r="AK528" i="20" s="1"/>
  <c r="Y529" i="20"/>
  <c r="Z529" i="20"/>
  <c r="AA529" i="20" s="1"/>
  <c r="AB529" i="20" s="1"/>
  <c r="AC529" i="20" s="1"/>
  <c r="AD529" i="20" s="1"/>
  <c r="AE529" i="20" s="1"/>
  <c r="AF529" i="20" s="1"/>
  <c r="AG529" i="20" s="1"/>
  <c r="AH529" i="20" s="1"/>
  <c r="AI529" i="20" s="1"/>
  <c r="AJ529" i="20" s="1"/>
  <c r="AK529" i="20" s="1"/>
  <c r="Y530" i="20"/>
  <c r="Z530" i="20"/>
  <c r="AA530" i="20" s="1"/>
  <c r="AB530" i="20" s="1"/>
  <c r="AC530" i="20" s="1"/>
  <c r="AD530" i="20" s="1"/>
  <c r="AE530" i="20" s="1"/>
  <c r="AF530" i="20" s="1"/>
  <c r="AG530" i="20" s="1"/>
  <c r="AH530" i="20" s="1"/>
  <c r="AI530" i="20" s="1"/>
  <c r="AJ530" i="20" s="1"/>
  <c r="AK530" i="20" s="1"/>
  <c r="Y531" i="20"/>
  <c r="Z531" i="20" s="1"/>
  <c r="AA531" i="20" s="1"/>
  <c r="AB531" i="20" s="1"/>
  <c r="AC531" i="20" s="1"/>
  <c r="AD531" i="20" s="1"/>
  <c r="AE531" i="20" s="1"/>
  <c r="AF531" i="20" s="1"/>
  <c r="AG531" i="20" s="1"/>
  <c r="AH531" i="20" s="1"/>
  <c r="AI531" i="20" s="1"/>
  <c r="AJ531" i="20" s="1"/>
  <c r="AK531" i="20" s="1"/>
  <c r="Y532" i="20"/>
  <c r="Z532" i="20"/>
  <c r="AA532" i="20"/>
  <c r="AB532" i="20" s="1"/>
  <c r="AC532" i="20" s="1"/>
  <c r="AD532" i="20" s="1"/>
  <c r="AE532" i="20" s="1"/>
  <c r="AF532" i="20" s="1"/>
  <c r="AG532" i="20" s="1"/>
  <c r="AH532" i="20" s="1"/>
  <c r="AI532" i="20" s="1"/>
  <c r="AJ532" i="20" s="1"/>
  <c r="AK532" i="20" s="1"/>
  <c r="Y533" i="20"/>
  <c r="Z533" i="20"/>
  <c r="AA533" i="20"/>
  <c r="AB533" i="20" s="1"/>
  <c r="AC533" i="20" s="1"/>
  <c r="AD533" i="20" s="1"/>
  <c r="AE533" i="20" s="1"/>
  <c r="AF533" i="20" s="1"/>
  <c r="AG533" i="20" s="1"/>
  <c r="AH533" i="20" s="1"/>
  <c r="AI533" i="20" s="1"/>
  <c r="AJ533" i="20" s="1"/>
  <c r="AK533" i="20" s="1"/>
  <c r="Y534" i="20"/>
  <c r="Z534" i="20" s="1"/>
  <c r="AA534" i="20" s="1"/>
  <c r="AB534" i="20" s="1"/>
  <c r="AC534" i="20" s="1"/>
  <c r="AD534" i="20" s="1"/>
  <c r="AE534" i="20" s="1"/>
  <c r="AF534" i="20" s="1"/>
  <c r="AG534" i="20" s="1"/>
  <c r="AH534" i="20" s="1"/>
  <c r="AI534" i="20" s="1"/>
  <c r="AJ534" i="20" s="1"/>
  <c r="AK534" i="20" s="1"/>
  <c r="Y535" i="20"/>
  <c r="Z535" i="20" s="1"/>
  <c r="AA535" i="20"/>
  <c r="AB535" i="20" s="1"/>
  <c r="AC535" i="20" s="1"/>
  <c r="AD535" i="20" s="1"/>
  <c r="AE535" i="20" s="1"/>
  <c r="AF535" i="20" s="1"/>
  <c r="AG535" i="20" s="1"/>
  <c r="AH535" i="20" s="1"/>
  <c r="AI535" i="20" s="1"/>
  <c r="AJ535" i="20" s="1"/>
  <c r="AK535" i="20" s="1"/>
  <c r="Y536" i="20"/>
  <c r="Z536" i="20" s="1"/>
  <c r="AA536" i="20" s="1"/>
  <c r="AB536" i="20"/>
  <c r="AC536" i="20" s="1"/>
  <c r="AD536" i="20" s="1"/>
  <c r="AE536" i="20" s="1"/>
  <c r="AF536" i="20" s="1"/>
  <c r="AG536" i="20" s="1"/>
  <c r="AH536" i="20" s="1"/>
  <c r="AI536" i="20" s="1"/>
  <c r="AJ536" i="20" s="1"/>
  <c r="AK536" i="20" s="1"/>
  <c r="Y537" i="20"/>
  <c r="Z537" i="20"/>
  <c r="AA537" i="20" s="1"/>
  <c r="AB537" i="20" s="1"/>
  <c r="AC537" i="20" s="1"/>
  <c r="AD537" i="20" s="1"/>
  <c r="AE537" i="20" s="1"/>
  <c r="AF537" i="20" s="1"/>
  <c r="AG537" i="20" s="1"/>
  <c r="AH537" i="20" s="1"/>
  <c r="AI537" i="20" s="1"/>
  <c r="AJ537" i="20" s="1"/>
  <c r="AK537" i="20" s="1"/>
  <c r="Y538" i="20"/>
  <c r="Z538" i="20"/>
  <c r="AA538" i="20" s="1"/>
  <c r="AB538" i="20" s="1"/>
  <c r="AC538" i="20" s="1"/>
  <c r="AD538" i="20" s="1"/>
  <c r="AE538" i="20" s="1"/>
  <c r="AF538" i="20" s="1"/>
  <c r="AG538" i="20" s="1"/>
  <c r="AH538" i="20" s="1"/>
  <c r="AI538" i="20" s="1"/>
  <c r="AJ538" i="20" s="1"/>
  <c r="AK538" i="20" s="1"/>
  <c r="Y539" i="20"/>
  <c r="Z539" i="20" s="1"/>
  <c r="AA539" i="20" s="1"/>
  <c r="AB539" i="20" s="1"/>
  <c r="AC539" i="20" s="1"/>
  <c r="AD539" i="20" s="1"/>
  <c r="AE539" i="20" s="1"/>
  <c r="AF539" i="20" s="1"/>
  <c r="AG539" i="20" s="1"/>
  <c r="AH539" i="20" s="1"/>
  <c r="AI539" i="20" s="1"/>
  <c r="AJ539" i="20" s="1"/>
  <c r="AK539" i="20" s="1"/>
  <c r="Y540" i="20"/>
  <c r="Z540" i="20"/>
  <c r="AA540" i="20" s="1"/>
  <c r="AB540" i="20" s="1"/>
  <c r="AC540" i="20" s="1"/>
  <c r="AD540" i="20" s="1"/>
  <c r="AE540" i="20" s="1"/>
  <c r="AF540" i="20" s="1"/>
  <c r="AG540" i="20" s="1"/>
  <c r="AH540" i="20" s="1"/>
  <c r="AI540" i="20" s="1"/>
  <c r="AJ540" i="20" s="1"/>
  <c r="AK540" i="20" s="1"/>
  <c r="Y541" i="20"/>
  <c r="Z541" i="20"/>
  <c r="AA541" i="20"/>
  <c r="AB541" i="20" s="1"/>
  <c r="AC541" i="20" s="1"/>
  <c r="AD541" i="20" s="1"/>
  <c r="AE541" i="20" s="1"/>
  <c r="AF541" i="20" s="1"/>
  <c r="AG541" i="20" s="1"/>
  <c r="AH541" i="20" s="1"/>
  <c r="AI541" i="20" s="1"/>
  <c r="AJ541" i="20" s="1"/>
  <c r="AK541" i="20" s="1"/>
  <c r="Y542" i="20"/>
  <c r="Z542" i="20" s="1"/>
  <c r="AA542" i="20" s="1"/>
  <c r="AB542" i="20" s="1"/>
  <c r="AC542" i="20" s="1"/>
  <c r="AD542" i="20" s="1"/>
  <c r="AE542" i="20" s="1"/>
  <c r="AF542" i="20" s="1"/>
  <c r="AG542" i="20" s="1"/>
  <c r="AH542" i="20" s="1"/>
  <c r="AI542" i="20" s="1"/>
  <c r="AJ542" i="20" s="1"/>
  <c r="AK542" i="20" s="1"/>
  <c r="Y543" i="20"/>
  <c r="Z543" i="20" s="1"/>
  <c r="AA543" i="20" s="1"/>
  <c r="AB543" i="20" s="1"/>
  <c r="AC543" i="20" s="1"/>
  <c r="AD543" i="20" s="1"/>
  <c r="AE543" i="20" s="1"/>
  <c r="AF543" i="20" s="1"/>
  <c r="AG543" i="20" s="1"/>
  <c r="AH543" i="20" s="1"/>
  <c r="AI543" i="20" s="1"/>
  <c r="AJ543" i="20" s="1"/>
  <c r="AK543" i="20" s="1"/>
  <c r="Y544" i="20"/>
  <c r="Z544" i="20" s="1"/>
  <c r="AA544" i="20" s="1"/>
  <c r="AB544" i="20"/>
  <c r="AC544" i="20" s="1"/>
  <c r="AD544" i="20" s="1"/>
  <c r="AE544" i="20" s="1"/>
  <c r="AF544" i="20" s="1"/>
  <c r="AG544" i="20" s="1"/>
  <c r="AH544" i="20" s="1"/>
  <c r="AI544" i="20" s="1"/>
  <c r="AJ544" i="20" s="1"/>
  <c r="AK544" i="20" s="1"/>
  <c r="Y545" i="20"/>
  <c r="Z545" i="20"/>
  <c r="AA545" i="20" s="1"/>
  <c r="AB545" i="20" s="1"/>
  <c r="AC545" i="20" s="1"/>
  <c r="AD545" i="20" s="1"/>
  <c r="AE545" i="20" s="1"/>
  <c r="AF545" i="20" s="1"/>
  <c r="AG545" i="20" s="1"/>
  <c r="AH545" i="20" s="1"/>
  <c r="AI545" i="20" s="1"/>
  <c r="AJ545" i="20" s="1"/>
  <c r="AK545" i="20" s="1"/>
  <c r="Y546" i="20"/>
  <c r="Z546" i="20"/>
  <c r="AA546" i="20" s="1"/>
  <c r="AB546" i="20"/>
  <c r="AC546" i="20" s="1"/>
  <c r="AD546" i="20" s="1"/>
  <c r="AE546" i="20" s="1"/>
  <c r="AF546" i="20" s="1"/>
  <c r="AG546" i="20" s="1"/>
  <c r="AH546" i="20" s="1"/>
  <c r="AI546" i="20" s="1"/>
  <c r="AJ546" i="20" s="1"/>
  <c r="AK546" i="20" s="1"/>
  <c r="Y547" i="20"/>
  <c r="Z547" i="20" s="1"/>
  <c r="AA547" i="20" s="1"/>
  <c r="AB547" i="20" s="1"/>
  <c r="AC547" i="20" s="1"/>
  <c r="AD547" i="20" s="1"/>
  <c r="AE547" i="20" s="1"/>
  <c r="AF547" i="20" s="1"/>
  <c r="AG547" i="20" s="1"/>
  <c r="AH547" i="20" s="1"/>
  <c r="AI547" i="20" s="1"/>
  <c r="AJ547" i="20" s="1"/>
  <c r="AK547" i="20" s="1"/>
  <c r="Y548" i="20"/>
  <c r="Z548" i="20"/>
  <c r="AA548" i="20" s="1"/>
  <c r="AB548" i="20" s="1"/>
  <c r="AC548" i="20" s="1"/>
  <c r="AD548" i="20" s="1"/>
  <c r="AE548" i="20" s="1"/>
  <c r="AF548" i="20" s="1"/>
  <c r="AG548" i="20" s="1"/>
  <c r="AH548" i="20" s="1"/>
  <c r="AI548" i="20" s="1"/>
  <c r="AJ548" i="20" s="1"/>
  <c r="AK548" i="20" s="1"/>
  <c r="Y549" i="20"/>
  <c r="Z549" i="20"/>
  <c r="AA549" i="20"/>
  <c r="AB549" i="20" s="1"/>
  <c r="AC549" i="20" s="1"/>
  <c r="AD549" i="20" s="1"/>
  <c r="AE549" i="20" s="1"/>
  <c r="AF549" i="20" s="1"/>
  <c r="AG549" i="20" s="1"/>
  <c r="AH549" i="20" s="1"/>
  <c r="AI549" i="20" s="1"/>
  <c r="AJ549" i="20" s="1"/>
  <c r="AK549" i="20" s="1"/>
  <c r="Y550" i="20"/>
  <c r="Z550" i="20" s="1"/>
  <c r="AA550" i="20" s="1"/>
  <c r="AB550" i="20" s="1"/>
  <c r="AC550" i="20" s="1"/>
  <c r="AD550" i="20"/>
  <c r="AE550" i="20" s="1"/>
  <c r="AF550" i="20" s="1"/>
  <c r="AG550" i="20" s="1"/>
  <c r="AH550" i="20" s="1"/>
  <c r="AI550" i="20" s="1"/>
  <c r="AJ550" i="20" s="1"/>
  <c r="AK550" i="20" s="1"/>
  <c r="Y551" i="20"/>
  <c r="Z551" i="20" s="1"/>
  <c r="AA551" i="20"/>
  <c r="AB551" i="20" s="1"/>
  <c r="AC551" i="20" s="1"/>
  <c r="AD551" i="20" s="1"/>
  <c r="AE551" i="20" s="1"/>
  <c r="AF551" i="20" s="1"/>
  <c r="AG551" i="20" s="1"/>
  <c r="AH551" i="20" s="1"/>
  <c r="AI551" i="20" s="1"/>
  <c r="AJ551" i="20" s="1"/>
  <c r="AK551" i="20" s="1"/>
  <c r="Y552" i="20"/>
  <c r="Z552" i="20" s="1"/>
  <c r="AA552" i="20" s="1"/>
  <c r="AB552" i="20" s="1"/>
  <c r="AC552" i="20" s="1"/>
  <c r="AD552" i="20" s="1"/>
  <c r="AE552" i="20" s="1"/>
  <c r="AF552" i="20" s="1"/>
  <c r="AG552" i="20" s="1"/>
  <c r="AH552" i="20" s="1"/>
  <c r="AI552" i="20" s="1"/>
  <c r="AJ552" i="20" s="1"/>
  <c r="AK552" i="20" s="1"/>
  <c r="Y553" i="20"/>
  <c r="Z553" i="20" s="1"/>
  <c r="AA553" i="20" s="1"/>
  <c r="AB553" i="20" s="1"/>
  <c r="AC553" i="20" s="1"/>
  <c r="AD553" i="20" s="1"/>
  <c r="AE553" i="20" s="1"/>
  <c r="AF553" i="20" s="1"/>
  <c r="AG553" i="20" s="1"/>
  <c r="AH553" i="20" s="1"/>
  <c r="AI553" i="20" s="1"/>
  <c r="AJ553" i="20" s="1"/>
  <c r="AK553" i="20" s="1"/>
  <c r="Y554" i="20"/>
  <c r="Z554" i="20"/>
  <c r="AA554" i="20" s="1"/>
  <c r="AB554" i="20" s="1"/>
  <c r="AC554" i="20" s="1"/>
  <c r="AD554" i="20" s="1"/>
  <c r="AE554" i="20" s="1"/>
  <c r="AF554" i="20" s="1"/>
  <c r="AG554" i="20" s="1"/>
  <c r="AH554" i="20" s="1"/>
  <c r="AI554" i="20" s="1"/>
  <c r="AJ554" i="20" s="1"/>
  <c r="AK554" i="20" s="1"/>
  <c r="Y555" i="20"/>
  <c r="Z555" i="20" s="1"/>
  <c r="AA555" i="20" s="1"/>
  <c r="AB555" i="20" s="1"/>
  <c r="AC555" i="20" s="1"/>
  <c r="AD555" i="20" s="1"/>
  <c r="AE555" i="20" s="1"/>
  <c r="AF555" i="20" s="1"/>
  <c r="AG555" i="20" s="1"/>
  <c r="AH555" i="20" s="1"/>
  <c r="AI555" i="20" s="1"/>
  <c r="AJ555" i="20" s="1"/>
  <c r="AK555" i="20" s="1"/>
  <c r="Y556" i="20"/>
  <c r="Z556" i="20"/>
  <c r="AA556" i="20" s="1"/>
  <c r="AB556" i="20" s="1"/>
  <c r="AC556" i="20" s="1"/>
  <c r="AD556" i="20" s="1"/>
  <c r="AE556" i="20" s="1"/>
  <c r="AF556" i="20" s="1"/>
  <c r="AG556" i="20" s="1"/>
  <c r="AH556" i="20" s="1"/>
  <c r="AI556" i="20" s="1"/>
  <c r="AJ556" i="20" s="1"/>
  <c r="AK556" i="20" s="1"/>
  <c r="Y557" i="20"/>
  <c r="Z557" i="20"/>
  <c r="AA557" i="20"/>
  <c r="AB557" i="20" s="1"/>
  <c r="AC557" i="20" s="1"/>
  <c r="AD557" i="20" s="1"/>
  <c r="AE557" i="20" s="1"/>
  <c r="AF557" i="20" s="1"/>
  <c r="AG557" i="20" s="1"/>
  <c r="AH557" i="20" s="1"/>
  <c r="AI557" i="20" s="1"/>
  <c r="AJ557" i="20" s="1"/>
  <c r="AK557" i="20" s="1"/>
  <c r="Y558" i="20"/>
  <c r="Z558" i="20"/>
  <c r="AA558" i="20" s="1"/>
  <c r="AB558" i="20" s="1"/>
  <c r="AC558" i="20" s="1"/>
  <c r="AD558" i="20" s="1"/>
  <c r="AE558" i="20" s="1"/>
  <c r="AF558" i="20" s="1"/>
  <c r="AG558" i="20" s="1"/>
  <c r="AH558" i="20" s="1"/>
  <c r="AI558" i="20" s="1"/>
  <c r="AJ558" i="20" s="1"/>
  <c r="AK558" i="20" s="1"/>
  <c r="Y559" i="20"/>
  <c r="Z559" i="20" s="1"/>
  <c r="AA559" i="20"/>
  <c r="AB559" i="20" s="1"/>
  <c r="AC559" i="20" s="1"/>
  <c r="AD559" i="20" s="1"/>
  <c r="AE559" i="20" s="1"/>
  <c r="AF559" i="20" s="1"/>
  <c r="AG559" i="20" s="1"/>
  <c r="AH559" i="20" s="1"/>
  <c r="AI559" i="20" s="1"/>
  <c r="AJ559" i="20" s="1"/>
  <c r="AK559" i="20" s="1"/>
  <c r="Y560" i="20"/>
  <c r="Z560" i="20" s="1"/>
  <c r="AA560" i="20" s="1"/>
  <c r="AB560" i="20" s="1"/>
  <c r="AC560" i="20" s="1"/>
  <c r="AD560" i="20" s="1"/>
  <c r="AE560" i="20" s="1"/>
  <c r="AF560" i="20" s="1"/>
  <c r="AG560" i="20" s="1"/>
  <c r="AH560" i="20" s="1"/>
  <c r="AI560" i="20" s="1"/>
  <c r="AJ560" i="20" s="1"/>
  <c r="AK560" i="20" s="1"/>
  <c r="Y561" i="20"/>
  <c r="Z561" i="20" s="1"/>
  <c r="AA561" i="20" s="1"/>
  <c r="AB561" i="20" s="1"/>
  <c r="AC561" i="20" s="1"/>
  <c r="AD561" i="20" s="1"/>
  <c r="AE561" i="20" s="1"/>
  <c r="AF561" i="20" s="1"/>
  <c r="AG561" i="20" s="1"/>
  <c r="AH561" i="20" s="1"/>
  <c r="AI561" i="20" s="1"/>
  <c r="AJ561" i="20" s="1"/>
  <c r="AK561" i="20" s="1"/>
  <c r="Y562" i="20"/>
  <c r="Z562" i="20" s="1"/>
  <c r="AA562" i="20" s="1"/>
  <c r="AB562" i="20" s="1"/>
  <c r="AC562" i="20" s="1"/>
  <c r="AD562" i="20" s="1"/>
  <c r="AE562" i="20" s="1"/>
  <c r="AF562" i="20" s="1"/>
  <c r="AG562" i="20" s="1"/>
  <c r="AH562" i="20" s="1"/>
  <c r="AI562" i="20" s="1"/>
  <c r="AJ562" i="20" s="1"/>
  <c r="AK562" i="20" s="1"/>
  <c r="Y563" i="20"/>
  <c r="Z563" i="20" s="1"/>
  <c r="AA563" i="20" s="1"/>
  <c r="AB563" i="20" s="1"/>
  <c r="AC563" i="20" s="1"/>
  <c r="AD563" i="20" s="1"/>
  <c r="AE563" i="20" s="1"/>
  <c r="AF563" i="20" s="1"/>
  <c r="AG563" i="20" s="1"/>
  <c r="AH563" i="20" s="1"/>
  <c r="AI563" i="20" s="1"/>
  <c r="AJ563" i="20" s="1"/>
  <c r="AK563" i="20" s="1"/>
  <c r="Y564" i="20"/>
  <c r="Z564" i="20"/>
  <c r="AA564" i="20"/>
  <c r="AB564" i="20" s="1"/>
  <c r="AC564" i="20" s="1"/>
  <c r="AD564" i="20" s="1"/>
  <c r="AE564" i="20" s="1"/>
  <c r="AF564" i="20" s="1"/>
  <c r="AG564" i="20" s="1"/>
  <c r="AH564" i="20" s="1"/>
  <c r="AI564" i="20" s="1"/>
  <c r="AJ564" i="20" s="1"/>
  <c r="AK564" i="20" s="1"/>
  <c r="Y565" i="20"/>
  <c r="Z565" i="20"/>
  <c r="AA565" i="20" s="1"/>
  <c r="AB565" i="20" s="1"/>
  <c r="AC565" i="20" s="1"/>
  <c r="AD565" i="20" s="1"/>
  <c r="AE565" i="20" s="1"/>
  <c r="AF565" i="20" s="1"/>
  <c r="AG565" i="20" s="1"/>
  <c r="AH565" i="20" s="1"/>
  <c r="AI565" i="20" s="1"/>
  <c r="AJ565" i="20" s="1"/>
  <c r="AK565" i="20" s="1"/>
  <c r="Y566" i="20"/>
  <c r="Z566" i="20" s="1"/>
  <c r="AA566" i="20" s="1"/>
  <c r="AB566" i="20" s="1"/>
  <c r="AC566" i="20" s="1"/>
  <c r="AD566" i="20" s="1"/>
  <c r="AE566" i="20" s="1"/>
  <c r="AF566" i="20" s="1"/>
  <c r="AG566" i="20" s="1"/>
  <c r="AH566" i="20" s="1"/>
  <c r="AI566" i="20" s="1"/>
  <c r="AJ566" i="20" s="1"/>
  <c r="AK566" i="20" s="1"/>
  <c r="Y567" i="20"/>
  <c r="Z567" i="20" s="1"/>
  <c r="AA567" i="20" s="1"/>
  <c r="AB567" i="20" s="1"/>
  <c r="AC567" i="20" s="1"/>
  <c r="AD567" i="20" s="1"/>
  <c r="AE567" i="20" s="1"/>
  <c r="AF567" i="20" s="1"/>
  <c r="AG567" i="20" s="1"/>
  <c r="AH567" i="20" s="1"/>
  <c r="AI567" i="20" s="1"/>
  <c r="AJ567" i="20" s="1"/>
  <c r="AK567" i="20" s="1"/>
  <c r="Y568" i="20"/>
  <c r="Z568" i="20" s="1"/>
  <c r="AA568" i="20"/>
  <c r="AB568" i="20" s="1"/>
  <c r="AC568" i="20" s="1"/>
  <c r="AD568" i="20" s="1"/>
  <c r="AE568" i="20" s="1"/>
  <c r="AF568" i="20" s="1"/>
  <c r="AG568" i="20" s="1"/>
  <c r="AH568" i="20" s="1"/>
  <c r="AI568" i="20" s="1"/>
  <c r="AJ568" i="20" s="1"/>
  <c r="AK568" i="20" s="1"/>
  <c r="Y569" i="20"/>
  <c r="Z569" i="20"/>
  <c r="AA569" i="20" s="1"/>
  <c r="AB569" i="20" s="1"/>
  <c r="AC569" i="20" s="1"/>
  <c r="AD569" i="20" s="1"/>
  <c r="AE569" i="20" s="1"/>
  <c r="AF569" i="20" s="1"/>
  <c r="AG569" i="20" s="1"/>
  <c r="AH569" i="20" s="1"/>
  <c r="AI569" i="20" s="1"/>
  <c r="AJ569" i="20" s="1"/>
  <c r="AK569" i="20" s="1"/>
  <c r="Y570" i="20"/>
  <c r="Z570" i="20"/>
  <c r="AA570" i="20" s="1"/>
  <c r="AB570" i="20" s="1"/>
  <c r="AC570" i="20" s="1"/>
  <c r="AD570" i="20" s="1"/>
  <c r="AE570" i="20" s="1"/>
  <c r="AF570" i="20" s="1"/>
  <c r="AG570" i="20" s="1"/>
  <c r="AH570" i="20" s="1"/>
  <c r="AI570" i="20" s="1"/>
  <c r="AJ570" i="20" s="1"/>
  <c r="AK570" i="20" s="1"/>
  <c r="Y571" i="20"/>
  <c r="Z571" i="20" s="1"/>
  <c r="AA571" i="20" s="1"/>
  <c r="AB571" i="20" s="1"/>
  <c r="AC571" i="20" s="1"/>
  <c r="AD571" i="20" s="1"/>
  <c r="AE571" i="20" s="1"/>
  <c r="AF571" i="20" s="1"/>
  <c r="AG571" i="20" s="1"/>
  <c r="AH571" i="20" s="1"/>
  <c r="AI571" i="20" s="1"/>
  <c r="AJ571" i="20" s="1"/>
  <c r="AK571" i="20" s="1"/>
  <c r="Y572" i="20"/>
  <c r="Z572" i="20"/>
  <c r="AA572" i="20" s="1"/>
  <c r="AB572" i="20" s="1"/>
  <c r="AC572" i="20" s="1"/>
  <c r="AD572" i="20" s="1"/>
  <c r="AE572" i="20" s="1"/>
  <c r="AF572" i="20" s="1"/>
  <c r="AG572" i="20" s="1"/>
  <c r="AH572" i="20" s="1"/>
  <c r="AI572" i="20" s="1"/>
  <c r="AJ572" i="20" s="1"/>
  <c r="AK572" i="20" s="1"/>
  <c r="Y573" i="20"/>
  <c r="Z573" i="20"/>
  <c r="AA573" i="20" s="1"/>
  <c r="AB573" i="20" s="1"/>
  <c r="AC573" i="20" s="1"/>
  <c r="AD573" i="20" s="1"/>
  <c r="AE573" i="20" s="1"/>
  <c r="AF573" i="20" s="1"/>
  <c r="AG573" i="20" s="1"/>
  <c r="AH573" i="20" s="1"/>
  <c r="AI573" i="20" s="1"/>
  <c r="AJ573" i="20" s="1"/>
  <c r="AK573" i="20" s="1"/>
  <c r="Y574" i="20"/>
  <c r="Z574" i="20" s="1"/>
  <c r="AA574" i="20" s="1"/>
  <c r="AB574" i="20" s="1"/>
  <c r="AC574" i="20" s="1"/>
  <c r="AD574" i="20" s="1"/>
  <c r="AE574" i="20" s="1"/>
  <c r="AF574" i="20" s="1"/>
  <c r="AG574" i="20" s="1"/>
  <c r="AH574" i="20" s="1"/>
  <c r="AI574" i="20" s="1"/>
  <c r="AJ574" i="20" s="1"/>
  <c r="AK574" i="20" s="1"/>
  <c r="Y575" i="20"/>
  <c r="Z575" i="20" s="1"/>
  <c r="AA575" i="20" s="1"/>
  <c r="AB575" i="20" s="1"/>
  <c r="AC575" i="20" s="1"/>
  <c r="AD575" i="20" s="1"/>
  <c r="AE575" i="20" s="1"/>
  <c r="AF575" i="20" s="1"/>
  <c r="AG575" i="20" s="1"/>
  <c r="AH575" i="20" s="1"/>
  <c r="AI575" i="20" s="1"/>
  <c r="AJ575" i="20" s="1"/>
  <c r="AK575" i="20" s="1"/>
  <c r="Y576" i="20"/>
  <c r="Z576" i="20" s="1"/>
  <c r="AA576" i="20" s="1"/>
  <c r="AB576" i="20" s="1"/>
  <c r="AC576" i="20" s="1"/>
  <c r="AD576" i="20" s="1"/>
  <c r="AE576" i="20" s="1"/>
  <c r="AF576" i="20" s="1"/>
  <c r="AG576" i="20" s="1"/>
  <c r="AH576" i="20" s="1"/>
  <c r="AI576" i="20" s="1"/>
  <c r="AJ576" i="20" s="1"/>
  <c r="AK576" i="20" s="1"/>
  <c r="Y577" i="20"/>
  <c r="Z577" i="20" s="1"/>
  <c r="AA577" i="20" s="1"/>
  <c r="AB577" i="20" s="1"/>
  <c r="AC577" i="20" s="1"/>
  <c r="AD577" i="20" s="1"/>
  <c r="AE577" i="20" s="1"/>
  <c r="AF577" i="20" s="1"/>
  <c r="AG577" i="20" s="1"/>
  <c r="AH577" i="20" s="1"/>
  <c r="AI577" i="20" s="1"/>
  <c r="AJ577" i="20" s="1"/>
  <c r="AK577" i="20" s="1"/>
  <c r="Y578" i="20"/>
  <c r="Z578" i="20" s="1"/>
  <c r="AA578" i="20" s="1"/>
  <c r="AB578" i="20" s="1"/>
  <c r="AC578" i="20" s="1"/>
  <c r="AD578" i="20" s="1"/>
  <c r="AE578" i="20" s="1"/>
  <c r="AF578" i="20" s="1"/>
  <c r="AG578" i="20" s="1"/>
  <c r="AH578" i="20" s="1"/>
  <c r="AI578" i="20" s="1"/>
  <c r="AJ578" i="20" s="1"/>
  <c r="AK578" i="20" s="1"/>
  <c r="Y579" i="20"/>
  <c r="Z579" i="20"/>
  <c r="AA579" i="20" s="1"/>
  <c r="AB579" i="20" s="1"/>
  <c r="AC579" i="20" s="1"/>
  <c r="AD579" i="20" s="1"/>
  <c r="AE579" i="20" s="1"/>
  <c r="AF579" i="20" s="1"/>
  <c r="AG579" i="20" s="1"/>
  <c r="AH579" i="20" s="1"/>
  <c r="AI579" i="20" s="1"/>
  <c r="AJ579" i="20" s="1"/>
  <c r="AK579" i="20" s="1"/>
  <c r="Y580" i="20"/>
  <c r="Z580" i="20"/>
  <c r="AA580" i="20" s="1"/>
  <c r="AB580" i="20" s="1"/>
  <c r="AC580" i="20" s="1"/>
  <c r="AD580" i="20" s="1"/>
  <c r="AE580" i="20" s="1"/>
  <c r="AF580" i="20" s="1"/>
  <c r="AG580" i="20" s="1"/>
  <c r="AH580" i="20" s="1"/>
  <c r="AI580" i="20" s="1"/>
  <c r="AJ580" i="20" s="1"/>
  <c r="AK580" i="20" s="1"/>
  <c r="Y581" i="20"/>
  <c r="Z581" i="20"/>
  <c r="AA581" i="20" s="1"/>
  <c r="AB581" i="20" s="1"/>
  <c r="AC581" i="20" s="1"/>
  <c r="AD581" i="20" s="1"/>
  <c r="AE581" i="20" s="1"/>
  <c r="AF581" i="20" s="1"/>
  <c r="AG581" i="20" s="1"/>
  <c r="AH581" i="20" s="1"/>
  <c r="AI581" i="20" s="1"/>
  <c r="AJ581" i="20" s="1"/>
  <c r="AK581" i="20" s="1"/>
  <c r="Y582" i="20"/>
  <c r="Z582" i="20" s="1"/>
  <c r="AA582" i="20" s="1"/>
  <c r="AB582" i="20" s="1"/>
  <c r="AC582" i="20" s="1"/>
  <c r="AD582" i="20" s="1"/>
  <c r="AE582" i="20" s="1"/>
  <c r="AF582" i="20" s="1"/>
  <c r="AG582" i="20" s="1"/>
  <c r="AH582" i="20" s="1"/>
  <c r="AI582" i="20" s="1"/>
  <c r="AJ582" i="20" s="1"/>
  <c r="AK582" i="20" s="1"/>
  <c r="Y583" i="20"/>
  <c r="Z583" i="20" s="1"/>
  <c r="AA583" i="20" s="1"/>
  <c r="AB583" i="20" s="1"/>
  <c r="AC583" i="20" s="1"/>
  <c r="AD583" i="20" s="1"/>
  <c r="AE583" i="20" s="1"/>
  <c r="AF583" i="20" s="1"/>
  <c r="AG583" i="20" s="1"/>
  <c r="AH583" i="20" s="1"/>
  <c r="AI583" i="20" s="1"/>
  <c r="AJ583" i="20" s="1"/>
  <c r="AK583" i="20" s="1"/>
  <c r="Y584" i="20"/>
  <c r="Z584" i="20" s="1"/>
  <c r="AA584" i="20" s="1"/>
  <c r="AB584" i="20" s="1"/>
  <c r="AC584" i="20" s="1"/>
  <c r="AD584" i="20" s="1"/>
  <c r="AE584" i="20" s="1"/>
  <c r="AF584" i="20" s="1"/>
  <c r="AG584" i="20" s="1"/>
  <c r="AH584" i="20" s="1"/>
  <c r="AI584" i="20" s="1"/>
  <c r="AJ584" i="20" s="1"/>
  <c r="AK584" i="20" s="1"/>
  <c r="Y585" i="20"/>
  <c r="Z585" i="20" s="1"/>
  <c r="AA585" i="20" s="1"/>
  <c r="AB585" i="20" s="1"/>
  <c r="AC585" i="20" s="1"/>
  <c r="AD585" i="20" s="1"/>
  <c r="AE585" i="20" s="1"/>
  <c r="AF585" i="20" s="1"/>
  <c r="AG585" i="20" s="1"/>
  <c r="AH585" i="20" s="1"/>
  <c r="AI585" i="20" s="1"/>
  <c r="AJ585" i="20" s="1"/>
  <c r="AK585" i="20" s="1"/>
  <c r="Y586" i="20"/>
  <c r="Z586" i="20" s="1"/>
  <c r="AA586" i="20" s="1"/>
  <c r="AB586" i="20" s="1"/>
  <c r="AC586" i="20" s="1"/>
  <c r="AD586" i="20" s="1"/>
  <c r="AE586" i="20" s="1"/>
  <c r="AF586" i="20" s="1"/>
  <c r="AG586" i="20" s="1"/>
  <c r="AH586" i="20" s="1"/>
  <c r="AI586" i="20" s="1"/>
  <c r="AJ586" i="20" s="1"/>
  <c r="AK586" i="20" s="1"/>
  <c r="Y587" i="20"/>
  <c r="Z587" i="20"/>
  <c r="AA587" i="20" s="1"/>
  <c r="AB587" i="20" s="1"/>
  <c r="AC587" i="20" s="1"/>
  <c r="AD587" i="20" s="1"/>
  <c r="AE587" i="20" s="1"/>
  <c r="AF587" i="20" s="1"/>
  <c r="AG587" i="20" s="1"/>
  <c r="AH587" i="20" s="1"/>
  <c r="AI587" i="20" s="1"/>
  <c r="AJ587" i="20" s="1"/>
  <c r="AK587" i="20" s="1"/>
  <c r="Y588" i="20"/>
  <c r="Z588" i="20"/>
  <c r="AA588" i="20" s="1"/>
  <c r="AB588" i="20" s="1"/>
  <c r="AC588" i="20" s="1"/>
  <c r="AD588" i="20" s="1"/>
  <c r="AE588" i="20" s="1"/>
  <c r="AF588" i="20" s="1"/>
  <c r="AG588" i="20" s="1"/>
  <c r="AH588" i="20" s="1"/>
  <c r="AI588" i="20" s="1"/>
  <c r="AJ588" i="20" s="1"/>
  <c r="AK588" i="20" s="1"/>
  <c r="Y589" i="20"/>
  <c r="Z589" i="20"/>
  <c r="AA589" i="20" s="1"/>
  <c r="AB589" i="20" s="1"/>
  <c r="AC589" i="20" s="1"/>
  <c r="AD589" i="20" s="1"/>
  <c r="AE589" i="20" s="1"/>
  <c r="AF589" i="20" s="1"/>
  <c r="AG589" i="20" s="1"/>
  <c r="AH589" i="20" s="1"/>
  <c r="AI589" i="20" s="1"/>
  <c r="AJ589" i="20" s="1"/>
  <c r="AK589" i="20" s="1"/>
  <c r="Y590" i="20"/>
  <c r="Z590" i="20" s="1"/>
  <c r="AA590" i="20" s="1"/>
  <c r="AB590" i="20" s="1"/>
  <c r="AC590" i="20" s="1"/>
  <c r="AD590" i="20" s="1"/>
  <c r="AE590" i="20" s="1"/>
  <c r="AF590" i="20" s="1"/>
  <c r="AG590" i="20" s="1"/>
  <c r="AH590" i="20" s="1"/>
  <c r="AI590" i="20" s="1"/>
  <c r="AJ590" i="20" s="1"/>
  <c r="AK590" i="20" s="1"/>
  <c r="Y591" i="20"/>
  <c r="Z591" i="20" s="1"/>
  <c r="AA591" i="20" s="1"/>
  <c r="AB591" i="20" s="1"/>
  <c r="AC591" i="20" s="1"/>
  <c r="AD591" i="20" s="1"/>
  <c r="AE591" i="20" s="1"/>
  <c r="AF591" i="20" s="1"/>
  <c r="AG591" i="20" s="1"/>
  <c r="AH591" i="20" s="1"/>
  <c r="AI591" i="20" s="1"/>
  <c r="AJ591" i="20" s="1"/>
  <c r="AK591" i="20" s="1"/>
  <c r="Y592" i="20"/>
  <c r="Z592" i="20" s="1"/>
  <c r="AA592" i="20" s="1"/>
  <c r="AB592" i="20" s="1"/>
  <c r="AC592" i="20" s="1"/>
  <c r="AD592" i="20" s="1"/>
  <c r="AE592" i="20" s="1"/>
  <c r="AF592" i="20" s="1"/>
  <c r="AG592" i="20" s="1"/>
  <c r="AH592" i="20" s="1"/>
  <c r="AI592" i="20" s="1"/>
  <c r="AJ592" i="20" s="1"/>
  <c r="AK592" i="20" s="1"/>
  <c r="Y593" i="20"/>
  <c r="Z593" i="20" s="1"/>
  <c r="AA593" i="20" s="1"/>
  <c r="AB593" i="20" s="1"/>
  <c r="AC593" i="20" s="1"/>
  <c r="AD593" i="20" s="1"/>
  <c r="AE593" i="20" s="1"/>
  <c r="AF593" i="20" s="1"/>
  <c r="AG593" i="20" s="1"/>
  <c r="AH593" i="20" s="1"/>
  <c r="AI593" i="20" s="1"/>
  <c r="AJ593" i="20" s="1"/>
  <c r="AK593" i="20" s="1"/>
  <c r="Y594" i="20"/>
  <c r="Z594" i="20" s="1"/>
  <c r="AA594" i="20" s="1"/>
  <c r="AB594" i="20" s="1"/>
  <c r="AC594" i="20" s="1"/>
  <c r="AD594" i="20" s="1"/>
  <c r="AE594" i="20" s="1"/>
  <c r="AF594" i="20" s="1"/>
  <c r="AG594" i="20" s="1"/>
  <c r="AH594" i="20" s="1"/>
  <c r="AI594" i="20" s="1"/>
  <c r="AJ594" i="20" s="1"/>
  <c r="AK594" i="20" s="1"/>
  <c r="Y595" i="20"/>
  <c r="Z595" i="20"/>
  <c r="AA595" i="20" s="1"/>
  <c r="AB595" i="20" s="1"/>
  <c r="AC595" i="20" s="1"/>
  <c r="AD595" i="20" s="1"/>
  <c r="AE595" i="20" s="1"/>
  <c r="AF595" i="20" s="1"/>
  <c r="AG595" i="20" s="1"/>
  <c r="AH595" i="20" s="1"/>
  <c r="AI595" i="20" s="1"/>
  <c r="AJ595" i="20" s="1"/>
  <c r="AK595" i="20" s="1"/>
  <c r="Y596" i="20"/>
  <c r="Z596" i="20"/>
  <c r="AA596" i="20" s="1"/>
  <c r="AB596" i="20" s="1"/>
  <c r="AC596" i="20" s="1"/>
  <c r="AD596" i="20" s="1"/>
  <c r="AE596" i="20" s="1"/>
  <c r="AF596" i="20" s="1"/>
  <c r="AG596" i="20" s="1"/>
  <c r="AH596" i="20" s="1"/>
  <c r="AI596" i="20" s="1"/>
  <c r="AJ596" i="20" s="1"/>
  <c r="AK596" i="20" s="1"/>
  <c r="Y597" i="20"/>
  <c r="Z597" i="20"/>
  <c r="AA597" i="20" s="1"/>
  <c r="AB597" i="20" s="1"/>
  <c r="AC597" i="20" s="1"/>
  <c r="AD597" i="20" s="1"/>
  <c r="AE597" i="20" s="1"/>
  <c r="AF597" i="20" s="1"/>
  <c r="AG597" i="20" s="1"/>
  <c r="AH597" i="20" s="1"/>
  <c r="AI597" i="20" s="1"/>
  <c r="AJ597" i="20" s="1"/>
  <c r="AK597" i="20" s="1"/>
  <c r="Y598" i="20"/>
  <c r="Z598" i="20" s="1"/>
  <c r="AA598" i="20" s="1"/>
  <c r="AB598" i="20" s="1"/>
  <c r="AC598" i="20" s="1"/>
  <c r="AD598" i="20" s="1"/>
  <c r="AE598" i="20" s="1"/>
  <c r="AF598" i="20" s="1"/>
  <c r="AG598" i="20" s="1"/>
  <c r="AH598" i="20" s="1"/>
  <c r="AI598" i="20" s="1"/>
  <c r="AJ598" i="20" s="1"/>
  <c r="AK598" i="20" s="1"/>
  <c r="Y599" i="20"/>
  <c r="Z599" i="20" s="1"/>
  <c r="AA599" i="20" s="1"/>
  <c r="AB599" i="20" s="1"/>
  <c r="AC599" i="20" s="1"/>
  <c r="AD599" i="20" s="1"/>
  <c r="AE599" i="20" s="1"/>
  <c r="AF599" i="20" s="1"/>
  <c r="AG599" i="20" s="1"/>
  <c r="AH599" i="20" s="1"/>
  <c r="AI599" i="20" s="1"/>
  <c r="AJ599" i="20" s="1"/>
  <c r="AK599" i="20" s="1"/>
  <c r="Y600" i="20"/>
  <c r="Z600" i="20" s="1"/>
  <c r="AA600" i="20" s="1"/>
  <c r="AB600" i="20" s="1"/>
  <c r="AC600" i="20" s="1"/>
  <c r="AD600" i="20" s="1"/>
  <c r="AE600" i="20" s="1"/>
  <c r="AF600" i="20" s="1"/>
  <c r="AG600" i="20" s="1"/>
  <c r="AH600" i="20" s="1"/>
  <c r="AI600" i="20" s="1"/>
  <c r="AJ600" i="20" s="1"/>
  <c r="AK600" i="20" s="1"/>
  <c r="Y601" i="20"/>
  <c r="Z601" i="20" s="1"/>
  <c r="AA601" i="20" s="1"/>
  <c r="AB601" i="20" s="1"/>
  <c r="AC601" i="20" s="1"/>
  <c r="AD601" i="20" s="1"/>
  <c r="AE601" i="20" s="1"/>
  <c r="AF601" i="20" s="1"/>
  <c r="AG601" i="20" s="1"/>
  <c r="AH601" i="20" s="1"/>
  <c r="AI601" i="20" s="1"/>
  <c r="AJ601" i="20" s="1"/>
  <c r="AK601" i="20" s="1"/>
  <c r="Y602" i="20"/>
  <c r="Z602" i="20" s="1"/>
  <c r="AA602" i="20" s="1"/>
  <c r="AB602" i="20" s="1"/>
  <c r="AC602" i="20" s="1"/>
  <c r="AD602" i="20" s="1"/>
  <c r="AE602" i="20" s="1"/>
  <c r="AF602" i="20" s="1"/>
  <c r="AG602" i="20" s="1"/>
  <c r="AH602" i="20" s="1"/>
  <c r="AI602" i="20" s="1"/>
  <c r="AJ602" i="20" s="1"/>
  <c r="AK602" i="20" s="1"/>
  <c r="Y603" i="20"/>
  <c r="Z603" i="20"/>
  <c r="AA603" i="20" s="1"/>
  <c r="AB603" i="20" s="1"/>
  <c r="AC603" i="20" s="1"/>
  <c r="AD603" i="20" s="1"/>
  <c r="AE603" i="20" s="1"/>
  <c r="AF603" i="20" s="1"/>
  <c r="AG603" i="20" s="1"/>
  <c r="AH603" i="20" s="1"/>
  <c r="AI603" i="20" s="1"/>
  <c r="AJ603" i="20" s="1"/>
  <c r="AK603" i="20" s="1"/>
  <c r="Y604" i="20"/>
  <c r="Z604" i="20"/>
  <c r="AA604" i="20" s="1"/>
  <c r="AB604" i="20" s="1"/>
  <c r="AC604" i="20" s="1"/>
  <c r="AD604" i="20" s="1"/>
  <c r="AE604" i="20" s="1"/>
  <c r="AF604" i="20" s="1"/>
  <c r="AG604" i="20" s="1"/>
  <c r="AH604" i="20" s="1"/>
  <c r="AI604" i="20" s="1"/>
  <c r="AJ604" i="20" s="1"/>
  <c r="AK604" i="20" s="1"/>
  <c r="Y605" i="20"/>
  <c r="Z605" i="20"/>
  <c r="AA605" i="20" s="1"/>
  <c r="AB605" i="20" s="1"/>
  <c r="AC605" i="20" s="1"/>
  <c r="AD605" i="20" s="1"/>
  <c r="AE605" i="20" s="1"/>
  <c r="AF605" i="20" s="1"/>
  <c r="AG605" i="20" s="1"/>
  <c r="AH605" i="20" s="1"/>
  <c r="AI605" i="20" s="1"/>
  <c r="AJ605" i="20" s="1"/>
  <c r="AK605" i="20" s="1"/>
  <c r="Y606" i="20"/>
  <c r="Z606" i="20" s="1"/>
  <c r="AA606" i="20" s="1"/>
  <c r="AB606" i="20" s="1"/>
  <c r="AC606" i="20" s="1"/>
  <c r="AD606" i="20" s="1"/>
  <c r="AE606" i="20" s="1"/>
  <c r="AF606" i="20" s="1"/>
  <c r="AG606" i="20" s="1"/>
  <c r="AH606" i="20" s="1"/>
  <c r="AI606" i="20" s="1"/>
  <c r="AJ606" i="20" s="1"/>
  <c r="AK606" i="20" s="1"/>
  <c r="Y607" i="20"/>
  <c r="Z607" i="20" s="1"/>
  <c r="AA607" i="20" s="1"/>
  <c r="AB607" i="20" s="1"/>
  <c r="AC607" i="20" s="1"/>
  <c r="AD607" i="20" s="1"/>
  <c r="AE607" i="20" s="1"/>
  <c r="AF607" i="20" s="1"/>
  <c r="AG607" i="20" s="1"/>
  <c r="AH607" i="20" s="1"/>
  <c r="AI607" i="20" s="1"/>
  <c r="AJ607" i="20" s="1"/>
  <c r="AK607" i="20" s="1"/>
  <c r="Y608" i="20"/>
  <c r="Z608" i="20" s="1"/>
  <c r="AA608" i="20" s="1"/>
  <c r="AB608" i="20" s="1"/>
  <c r="AC608" i="20" s="1"/>
  <c r="AD608" i="20" s="1"/>
  <c r="AE608" i="20" s="1"/>
  <c r="AF608" i="20" s="1"/>
  <c r="AG608" i="20" s="1"/>
  <c r="AH608" i="20" s="1"/>
  <c r="AI608" i="20" s="1"/>
  <c r="AJ608" i="20" s="1"/>
  <c r="AK608" i="20" s="1"/>
  <c r="Y609" i="20"/>
  <c r="Z609" i="20" s="1"/>
  <c r="AA609" i="20" s="1"/>
  <c r="AB609" i="20" s="1"/>
  <c r="AC609" i="20" s="1"/>
  <c r="AD609" i="20" s="1"/>
  <c r="AE609" i="20" s="1"/>
  <c r="AF609" i="20" s="1"/>
  <c r="AG609" i="20" s="1"/>
  <c r="AH609" i="20" s="1"/>
  <c r="AI609" i="20" s="1"/>
  <c r="AJ609" i="20" s="1"/>
  <c r="AK609" i="20" s="1"/>
  <c r="Y610" i="20"/>
  <c r="Z610" i="20"/>
  <c r="AA610" i="20" s="1"/>
  <c r="AB610" i="20" s="1"/>
  <c r="AC610" i="20" s="1"/>
  <c r="AD610" i="20" s="1"/>
  <c r="AE610" i="20" s="1"/>
  <c r="AF610" i="20" s="1"/>
  <c r="AG610" i="20" s="1"/>
  <c r="AH610" i="20" s="1"/>
  <c r="AI610" i="20" s="1"/>
  <c r="AJ610" i="20" s="1"/>
  <c r="AK610" i="20" s="1"/>
  <c r="Y611" i="20"/>
  <c r="Z611" i="20"/>
  <c r="AA611" i="20" s="1"/>
  <c r="AB611" i="20" s="1"/>
  <c r="AC611" i="20" s="1"/>
  <c r="AD611" i="20" s="1"/>
  <c r="AE611" i="20" s="1"/>
  <c r="AF611" i="20" s="1"/>
  <c r="AG611" i="20" s="1"/>
  <c r="AH611" i="20" s="1"/>
  <c r="AI611" i="20" s="1"/>
  <c r="AJ611" i="20" s="1"/>
  <c r="AK611" i="20" s="1"/>
  <c r="Y612" i="20"/>
  <c r="Z612" i="20"/>
  <c r="AA612" i="20" s="1"/>
  <c r="AB612" i="20" s="1"/>
  <c r="AC612" i="20" s="1"/>
  <c r="AD612" i="20" s="1"/>
  <c r="AE612" i="20" s="1"/>
  <c r="AF612" i="20" s="1"/>
  <c r="AG612" i="20" s="1"/>
  <c r="AH612" i="20" s="1"/>
  <c r="AI612" i="20" s="1"/>
  <c r="AJ612" i="20" s="1"/>
  <c r="AK612" i="20" s="1"/>
  <c r="Y613" i="20"/>
  <c r="Z613" i="20" s="1"/>
  <c r="AA613" i="20" s="1"/>
  <c r="AB613" i="20" s="1"/>
  <c r="AC613" i="20" s="1"/>
  <c r="AD613" i="20" s="1"/>
  <c r="AE613" i="20" s="1"/>
  <c r="AF613" i="20" s="1"/>
  <c r="AG613" i="20" s="1"/>
  <c r="AH613" i="20" s="1"/>
  <c r="AI613" i="20" s="1"/>
  <c r="AJ613" i="20" s="1"/>
  <c r="AK613" i="20" s="1"/>
  <c r="Y614" i="20"/>
  <c r="Z614" i="20" s="1"/>
  <c r="AA614" i="20" s="1"/>
  <c r="AB614" i="20" s="1"/>
  <c r="AC614" i="20" s="1"/>
  <c r="AD614" i="20" s="1"/>
  <c r="AE614" i="20" s="1"/>
  <c r="AF614" i="20" s="1"/>
  <c r="AG614" i="20" s="1"/>
  <c r="AH614" i="20" s="1"/>
  <c r="AI614" i="20" s="1"/>
  <c r="AJ614" i="20" s="1"/>
  <c r="AK614" i="20" s="1"/>
  <c r="AK5" i="20"/>
  <c r="AJ5" i="20"/>
  <c r="A615" i="20"/>
  <c r="A616" i="20"/>
  <c r="A617" i="20"/>
  <c r="A618" i="20"/>
  <c r="A619" i="20"/>
  <c r="A620" i="20"/>
  <c r="A621" i="20"/>
  <c r="A622" i="20"/>
  <c r="A623" i="20"/>
  <c r="A624" i="20"/>
  <c r="A625" i="20"/>
  <c r="A626" i="20"/>
  <c r="A627" i="20"/>
  <c r="A628" i="20"/>
  <c r="A629" i="20"/>
  <c r="A630" i="20"/>
  <c r="A631" i="20"/>
  <c r="A632" i="20"/>
  <c r="A633" i="20"/>
  <c r="A634" i="20"/>
  <c r="A635" i="20"/>
  <c r="A636" i="20"/>
  <c r="A637" i="20"/>
  <c r="A638" i="20"/>
  <c r="A639" i="20"/>
  <c r="A640" i="20"/>
  <c r="A641" i="20"/>
  <c r="A642" i="20"/>
  <c r="A643" i="20"/>
  <c r="A644" i="20"/>
  <c r="A645" i="20"/>
  <c r="A646" i="20"/>
  <c r="A647" i="20"/>
  <c r="A648" i="20"/>
  <c r="A649" i="20"/>
  <c r="A650" i="20"/>
  <c r="A651" i="20"/>
  <c r="A652" i="20"/>
  <c r="A653" i="20"/>
  <c r="A654" i="20"/>
  <c r="A655" i="20"/>
  <c r="A656" i="20"/>
  <c r="A657" i="20"/>
  <c r="A658" i="20"/>
  <c r="A659" i="20"/>
  <c r="A660" i="20"/>
  <c r="A661" i="20"/>
  <c r="A662" i="20"/>
  <c r="F216" i="2"/>
  <c r="F193" i="2"/>
  <c r="F225" i="2" l="1"/>
  <c r="G25" i="3"/>
  <c r="G24" i="3"/>
  <c r="G23" i="3"/>
  <c r="G22" i="3"/>
  <c r="G21" i="3"/>
  <c r="G20" i="3"/>
  <c r="G19" i="3"/>
  <c r="G18" i="3"/>
  <c r="G17" i="3"/>
  <c r="G16" i="3"/>
  <c r="G15" i="3"/>
  <c r="K10" i="23"/>
  <c r="G14" i="3"/>
  <c r="F206" i="2" l="1"/>
  <c r="F25" i="11"/>
  <c r="K15" i="11"/>
  <c r="K13" i="23"/>
  <c r="F212" i="2" l="1"/>
  <c r="F227" i="2" s="1"/>
  <c r="K14" i="11"/>
  <c r="K8" i="11"/>
  <c r="P17" i="11"/>
  <c r="P16" i="11"/>
  <c r="P15" i="11"/>
  <c r="O16" i="11"/>
  <c r="O15" i="11"/>
  <c r="O6" i="11"/>
  <c r="O5" i="11"/>
  <c r="O4" i="11"/>
  <c r="P17" i="23"/>
  <c r="P16" i="23"/>
  <c r="P15" i="23"/>
  <c r="O16" i="23"/>
  <c r="O15" i="23"/>
  <c r="O8" i="23"/>
  <c r="O6" i="23"/>
  <c r="O5" i="23"/>
  <c r="O4" i="23"/>
  <c r="F287" i="2" l="1"/>
  <c r="F314" i="2" s="1"/>
  <c r="A403" i="3"/>
  <c r="A402" i="3"/>
  <c r="A401" i="3"/>
  <c r="A400" i="3"/>
  <c r="A399" i="3"/>
  <c r="A398" i="3"/>
  <c r="J86" i="2"/>
  <c r="A86" i="2"/>
  <c r="J77" i="2"/>
  <c r="A77" i="2"/>
  <c r="A25" i="3"/>
  <c r="A24" i="3"/>
  <c r="A23" i="3"/>
  <c r="A22" i="3"/>
  <c r="A21" i="3"/>
  <c r="A20" i="3"/>
  <c r="J68" i="2"/>
  <c r="A68" i="2"/>
  <c r="A397" i="3"/>
  <c r="A396" i="3"/>
  <c r="A395" i="3"/>
  <c r="A394" i="3"/>
  <c r="A393" i="3"/>
  <c r="A392" i="3"/>
  <c r="A19" i="3"/>
  <c r="A18" i="3"/>
  <c r="A17" i="3"/>
  <c r="A16" i="3"/>
  <c r="A15" i="3"/>
  <c r="A14" i="3"/>
  <c r="F311" i="2"/>
  <c r="F169" i="2"/>
  <c r="F179" i="2" s="1"/>
  <c r="F170" i="2"/>
  <c r="F180" i="2" s="1"/>
  <c r="J180" i="2"/>
  <c r="A180" i="2"/>
  <c r="J179" i="2"/>
  <c r="A179" i="2"/>
  <c r="J178" i="2"/>
  <c r="A178" i="2"/>
  <c r="J177" i="2"/>
  <c r="A177" i="2"/>
  <c r="J176" i="2"/>
  <c r="A176" i="2"/>
  <c r="J175" i="2"/>
  <c r="A175" i="2"/>
  <c r="J174" i="2"/>
  <c r="A174" i="2"/>
  <c r="J173" i="2"/>
  <c r="A173" i="2"/>
  <c r="J172" i="2"/>
  <c r="A172" i="2"/>
  <c r="J171" i="2"/>
  <c r="A171" i="2"/>
  <c r="J170" i="2"/>
  <c r="A170" i="2"/>
  <c r="J169" i="2"/>
  <c r="A169" i="2"/>
  <c r="J168" i="2"/>
  <c r="A168" i="2"/>
  <c r="F164" i="2"/>
  <c r="A380" i="3"/>
  <c r="A381" i="3"/>
  <c r="A382" i="3"/>
  <c r="A383" i="3"/>
  <c r="A384" i="3"/>
  <c r="A385" i="3"/>
  <c r="A386" i="3"/>
  <c r="A387" i="3"/>
  <c r="A388" i="3"/>
  <c r="A389" i="3"/>
  <c r="A390" i="3"/>
  <c r="A391" i="3"/>
  <c r="J192" i="2"/>
  <c r="A192" i="2"/>
  <c r="J191" i="2"/>
  <c r="A191" i="2"/>
  <c r="J190" i="2"/>
  <c r="A190" i="2"/>
  <c r="J189" i="2"/>
  <c r="A189" i="2"/>
  <c r="J188" i="2"/>
  <c r="A188" i="2"/>
  <c r="J187" i="2"/>
  <c r="A187" i="2"/>
  <c r="J186" i="2"/>
  <c r="A186" i="2"/>
  <c r="J185" i="2"/>
  <c r="A185" i="2"/>
  <c r="J184" i="2"/>
  <c r="A184" i="2"/>
  <c r="J183" i="2"/>
  <c r="A183" i="2"/>
  <c r="J182" i="2"/>
  <c r="A182" i="2"/>
  <c r="J181" i="2"/>
  <c r="A181" i="2"/>
  <c r="J167" i="2"/>
  <c r="A167" i="2"/>
  <c r="J166" i="2"/>
  <c r="A166" i="2"/>
  <c r="J165" i="2"/>
  <c r="A165" i="2"/>
  <c r="J164" i="2"/>
  <c r="A164" i="2"/>
  <c r="J163" i="2"/>
  <c r="A163" i="2"/>
  <c r="J162" i="2"/>
  <c r="A162" i="2"/>
  <c r="J161" i="2"/>
  <c r="A161" i="2"/>
  <c r="J160" i="2"/>
  <c r="A160" i="2"/>
  <c r="J159" i="2"/>
  <c r="A159" i="2"/>
  <c r="J158" i="2"/>
  <c r="A158" i="2"/>
  <c r="J157" i="2"/>
  <c r="A157" i="2"/>
  <c r="J156" i="2"/>
  <c r="A156" i="2"/>
  <c r="J155" i="2"/>
  <c r="F155" i="2"/>
  <c r="A155" i="2"/>
  <c r="J154" i="2"/>
  <c r="F154" i="2"/>
  <c r="A154" i="2"/>
  <c r="J153" i="2"/>
  <c r="A153" i="2"/>
  <c r="J152" i="2"/>
  <c r="A152" i="2"/>
  <c r="J151" i="2"/>
  <c r="A151" i="2"/>
  <c r="J150" i="2"/>
  <c r="A150" i="2"/>
  <c r="J149" i="2"/>
  <c r="A149" i="2"/>
  <c r="J148" i="2"/>
  <c r="A148" i="2"/>
  <c r="J147" i="2"/>
  <c r="A147" i="2"/>
  <c r="J146" i="2"/>
  <c r="A146" i="2"/>
  <c r="J145" i="2"/>
  <c r="A145" i="2"/>
  <c r="J144" i="2"/>
  <c r="A144" i="2"/>
  <c r="J143" i="2"/>
  <c r="A143" i="2"/>
  <c r="J142" i="2"/>
  <c r="A142" i="2"/>
  <c r="J141" i="2"/>
  <c r="A141" i="2"/>
  <c r="J140" i="2"/>
  <c r="A140" i="2"/>
  <c r="J139" i="2"/>
  <c r="A139" i="2"/>
  <c r="J138" i="2"/>
  <c r="F138" i="2"/>
  <c r="A138" i="2"/>
  <c r="J137" i="2"/>
  <c r="A137" i="2"/>
  <c r="J136" i="2"/>
  <c r="A136" i="2"/>
  <c r="J135" i="2"/>
  <c r="A135" i="2"/>
  <c r="J134" i="2"/>
  <c r="A134" i="2"/>
  <c r="J133" i="2"/>
  <c r="A133" i="2"/>
  <c r="J132" i="2"/>
  <c r="A132" i="2"/>
  <c r="J131" i="2"/>
  <c r="F131" i="2"/>
  <c r="A131" i="2"/>
  <c r="J130" i="2"/>
  <c r="A130" i="2"/>
  <c r="J129" i="2"/>
  <c r="A129" i="2"/>
  <c r="J128" i="2"/>
  <c r="A128" i="2"/>
  <c r="F313" i="2" l="1"/>
  <c r="J309" i="2"/>
  <c r="J308" i="2"/>
  <c r="A309" i="2"/>
  <c r="A308" i="2"/>
  <c r="J307" i="2"/>
  <c r="A307" i="2"/>
  <c r="J306" i="2"/>
  <c r="A306" i="2"/>
  <c r="J305" i="2"/>
  <c r="A305" i="2"/>
  <c r="J304" i="2"/>
  <c r="A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A283" i="2"/>
  <c r="A282" i="2"/>
  <c r="A281" i="2"/>
  <c r="A280" i="2"/>
  <c r="A279" i="2"/>
  <c r="A278" i="2"/>
  <c r="A277" i="2"/>
  <c r="A276" i="2"/>
  <c r="A275" i="2"/>
  <c r="A274" i="2"/>
  <c r="F272" i="2"/>
  <c r="F274" i="2" s="1"/>
  <c r="F312" i="2" s="1"/>
  <c r="J271" i="2"/>
  <c r="A271" i="2"/>
  <c r="J270" i="2"/>
  <c r="A270" i="2"/>
  <c r="F277" i="2"/>
  <c r="F280" i="2" s="1"/>
  <c r="F283" i="2"/>
  <c r="F310" i="2" s="1"/>
  <c r="A291" i="2"/>
  <c r="A292" i="2"/>
  <c r="A293" i="2"/>
  <c r="A294" i="2"/>
  <c r="A295" i="2"/>
  <c r="A296" i="2"/>
  <c r="A297" i="2"/>
  <c r="A298" i="2"/>
  <c r="A299" i="2"/>
  <c r="A300" i="2"/>
  <c r="A301" i="2"/>
  <c r="A302" i="2"/>
  <c r="A303" i="2"/>
  <c r="A284" i="2"/>
  <c r="A285" i="2"/>
  <c r="A286" i="2"/>
  <c r="A287" i="2"/>
  <c r="J272" i="2"/>
  <c r="J273" i="2"/>
  <c r="A272" i="2"/>
  <c r="A273" i="2"/>
  <c r="A288" i="2"/>
  <c r="A289" i="2"/>
  <c r="A290" i="2"/>
  <c r="J104" i="2"/>
  <c r="A104" i="2"/>
  <c r="J100" i="2"/>
  <c r="A100" i="2"/>
  <c r="J102" i="2"/>
  <c r="A102" i="2"/>
  <c r="A90" i="2"/>
  <c r="A91" i="2"/>
  <c r="A92" i="2"/>
  <c r="A93" i="2"/>
  <c r="A94" i="2"/>
  <c r="A95" i="2"/>
  <c r="A96" i="2"/>
  <c r="A97" i="2"/>
  <c r="A98" i="2"/>
  <c r="A99" i="2"/>
  <c r="A101" i="2"/>
  <c r="A103" i="2"/>
  <c r="A105" i="2"/>
  <c r="A106" i="2"/>
  <c r="A107" i="2"/>
  <c r="A108" i="2"/>
  <c r="A109" i="2"/>
  <c r="A110" i="2"/>
  <c r="A111" i="2"/>
  <c r="A112" i="2"/>
  <c r="A113" i="2"/>
  <c r="A114" i="2"/>
  <c r="A115" i="2"/>
  <c r="A116" i="2"/>
  <c r="A117" i="2"/>
  <c r="A118" i="2"/>
  <c r="A119" i="2"/>
  <c r="A120" i="2"/>
  <c r="A121" i="2"/>
  <c r="A122" i="2"/>
  <c r="A123" i="2"/>
  <c r="A124" i="2"/>
  <c r="A125" i="2"/>
  <c r="A126" i="2"/>
  <c r="A127"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J92" i="2"/>
  <c r="J91" i="2"/>
  <c r="F288" i="2" l="1"/>
  <c r="F53" i="2"/>
  <c r="F55" i="2" s="1"/>
  <c r="J35" i="2"/>
  <c r="A35" i="2"/>
  <c r="J15" i="2"/>
  <c r="A15" i="2"/>
  <c r="J6" i="2"/>
  <c r="A6" i="2"/>
  <c r="J22" i="2"/>
  <c r="A22" i="2"/>
  <c r="J13" i="2"/>
  <c r="A13" i="2"/>
  <c r="J4" i="2"/>
  <c r="A4" i="2"/>
  <c r="A379" i="3"/>
  <c r="A378" i="3"/>
  <c r="A377" i="3"/>
  <c r="A376" i="3"/>
  <c r="A375" i="3"/>
  <c r="A374" i="3"/>
  <c r="A373" i="3"/>
  <c r="A372" i="3"/>
  <c r="A371" i="3"/>
  <c r="A370" i="3"/>
  <c r="A369" i="3"/>
  <c r="A368" i="3"/>
  <c r="A367" i="3"/>
  <c r="A366" i="3"/>
  <c r="A365" i="3"/>
  <c r="A349" i="3"/>
  <c r="A348" i="3"/>
  <c r="A347" i="3"/>
  <c r="A346" i="3"/>
  <c r="A345" i="3"/>
  <c r="A344" i="3"/>
  <c r="A343" i="3"/>
  <c r="A342" i="3"/>
  <c r="A341" i="3"/>
  <c r="A340" i="3"/>
  <c r="A339" i="3"/>
  <c r="A338" i="3"/>
  <c r="A337" i="3"/>
  <c r="A336" i="3"/>
  <c r="A335" i="3"/>
  <c r="A319" i="3"/>
  <c r="A318" i="3"/>
  <c r="A317" i="3"/>
  <c r="A316" i="3"/>
  <c r="A315" i="3"/>
  <c r="A314" i="3"/>
  <c r="A313" i="3"/>
  <c r="A312" i="3"/>
  <c r="A311" i="3"/>
  <c r="A310" i="3"/>
  <c r="A309" i="3"/>
  <c r="A308" i="3"/>
  <c r="A307" i="3"/>
  <c r="A306" i="3"/>
  <c r="A305" i="3"/>
  <c r="F370" i="2"/>
  <c r="F352" i="2"/>
  <c r="F332" i="2"/>
  <c r="F53" i="24"/>
  <c r="F35" i="24"/>
  <c r="F15" i="24"/>
  <c r="A289" i="3"/>
  <c r="A288" i="3"/>
  <c r="A287" i="3"/>
  <c r="A286" i="3"/>
  <c r="A285" i="3"/>
  <c r="A284" i="3"/>
  <c r="A283" i="3"/>
  <c r="A282" i="3"/>
  <c r="A281" i="3"/>
  <c r="A280" i="3"/>
  <c r="A279" i="3"/>
  <c r="A278" i="3"/>
  <c r="A277" i="3"/>
  <c r="A276" i="3"/>
  <c r="A275" i="3"/>
  <c r="A364" i="3"/>
  <c r="A363" i="3"/>
  <c r="A362" i="3"/>
  <c r="A361" i="3"/>
  <c r="A360" i="3"/>
  <c r="A359" i="3"/>
  <c r="A358" i="3"/>
  <c r="A357" i="3"/>
  <c r="A356" i="3"/>
  <c r="A355" i="3"/>
  <c r="A354" i="3"/>
  <c r="A353" i="3"/>
  <c r="A352" i="3"/>
  <c r="A351" i="3"/>
  <c r="A350" i="3"/>
  <c r="A334" i="3"/>
  <c r="A333" i="3"/>
  <c r="A332" i="3"/>
  <c r="A331" i="3"/>
  <c r="A330" i="3"/>
  <c r="A329" i="3"/>
  <c r="A328" i="3"/>
  <c r="A327" i="3"/>
  <c r="A326" i="3"/>
  <c r="A325" i="3"/>
  <c r="A324" i="3"/>
  <c r="A323" i="3"/>
  <c r="A322" i="3"/>
  <c r="A321" i="3"/>
  <c r="A320" i="3"/>
  <c r="A304" i="3"/>
  <c r="A303" i="3"/>
  <c r="A302" i="3"/>
  <c r="A301" i="3"/>
  <c r="A300" i="3"/>
  <c r="A299" i="3"/>
  <c r="A298" i="3"/>
  <c r="A297" i="3"/>
  <c r="A296" i="3"/>
  <c r="A295" i="3"/>
  <c r="A294" i="3"/>
  <c r="A293" i="3"/>
  <c r="A292" i="3"/>
  <c r="A291" i="3"/>
  <c r="A290" i="3"/>
  <c r="A274" i="3"/>
  <c r="A273" i="3"/>
  <c r="A272" i="3"/>
  <c r="A271" i="3"/>
  <c r="A270" i="3"/>
  <c r="A269" i="3"/>
  <c r="A268" i="3"/>
  <c r="A267" i="3"/>
  <c r="A266" i="3"/>
  <c r="A265" i="3"/>
  <c r="A264" i="3"/>
  <c r="A263" i="3"/>
  <c r="A262" i="3"/>
  <c r="A261" i="3"/>
  <c r="A260" i="3"/>
  <c r="F208" i="2"/>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F164" i="24"/>
  <c r="F505" i="2"/>
  <c r="F488" i="2"/>
  <c r="F468" i="2"/>
  <c r="A223" i="3"/>
  <c r="A222" i="3"/>
  <c r="A221" i="3"/>
  <c r="A220" i="3"/>
  <c r="A219" i="3"/>
  <c r="A218" i="3"/>
  <c r="A217" i="3"/>
  <c r="A216" i="3"/>
  <c r="A215" i="3"/>
  <c r="A214" i="3"/>
  <c r="A213" i="3"/>
  <c r="A212" i="3"/>
  <c r="A211" i="3"/>
  <c r="A210" i="3"/>
  <c r="A209" i="3"/>
  <c r="A208" i="3"/>
  <c r="A207" i="3"/>
  <c r="A206" i="3"/>
  <c r="F437" i="2"/>
  <c r="F420" i="2"/>
  <c r="F400" i="2"/>
  <c r="A205" i="3"/>
  <c r="A204" i="3"/>
  <c r="A203" i="3"/>
  <c r="A202" i="3"/>
  <c r="A201" i="3"/>
  <c r="A200" i="3"/>
  <c r="A199" i="3"/>
  <c r="A198" i="3"/>
  <c r="A197" i="3"/>
  <c r="A196" i="3"/>
  <c r="A195" i="3"/>
  <c r="A194" i="3"/>
  <c r="A193" i="3"/>
  <c r="A192" i="3"/>
  <c r="A191" i="3"/>
  <c r="A190" i="3"/>
  <c r="A189" i="3"/>
  <c r="A188" i="3"/>
  <c r="F303" i="2" l="1"/>
  <c r="F315" i="2" s="1"/>
  <c r="F298" i="2"/>
  <c r="F316" i="2" s="1"/>
  <c r="F215" i="2"/>
  <c r="F262" i="2"/>
  <c r="F251" i="2"/>
  <c r="F265" i="2" s="1"/>
  <c r="J251" i="2"/>
  <c r="F245" i="2"/>
  <c r="F264" i="2" l="1"/>
  <c r="F257" i="2"/>
  <c r="F263" i="2" s="1"/>
  <c r="F575" i="24"/>
  <c r="F581" i="24" s="1"/>
  <c r="J575" i="24"/>
  <c r="A575" i="24"/>
  <c r="F585" i="24"/>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F181" i="24"/>
  <c r="F144" i="24"/>
  <c r="A151" i="3"/>
  <c r="A150" i="3"/>
  <c r="A149" i="3"/>
  <c r="A148" i="3"/>
  <c r="A147" i="3"/>
  <c r="A146" i="3"/>
  <c r="A145" i="3"/>
  <c r="A144" i="3"/>
  <c r="A143" i="3"/>
  <c r="A142" i="3"/>
  <c r="A141" i="3"/>
  <c r="A140" i="3"/>
  <c r="A139" i="3"/>
  <c r="A138" i="3"/>
  <c r="A137" i="3"/>
  <c r="A136" i="3"/>
  <c r="A135" i="3"/>
  <c r="A134" i="3"/>
  <c r="F116" i="24"/>
  <c r="A133" i="3"/>
  <c r="A132" i="3"/>
  <c r="A131" i="3"/>
  <c r="A130" i="3"/>
  <c r="A129" i="3"/>
  <c r="A128" i="3"/>
  <c r="A127" i="3"/>
  <c r="A126" i="3"/>
  <c r="A125" i="3"/>
  <c r="A124" i="3"/>
  <c r="A123" i="3"/>
  <c r="A122" i="3"/>
  <c r="F80" i="24"/>
  <c r="A121" i="3"/>
  <c r="A120" i="3"/>
  <c r="A119" i="3"/>
  <c r="A118" i="3"/>
  <c r="A117" i="3"/>
  <c r="A73" i="24"/>
  <c r="A116" i="3"/>
  <c r="M5" i="20"/>
  <c r="F226" i="2" l="1"/>
  <c r="F567" i="24"/>
  <c r="F568" i="24" s="1"/>
  <c r="F232" i="2" l="1"/>
  <c r="F229" i="2"/>
  <c r="K8" i="23" l="1"/>
  <c r="K7" i="23" s="1"/>
  <c r="K6" i="23"/>
  <c r="F332" i="24"/>
  <c r="B53" i="28"/>
  <c r="K7" i="11"/>
  <c r="F206" i="24" l="1"/>
  <c r="F77" i="24"/>
  <c r="F241" i="24"/>
  <c r="F112" i="24"/>
  <c r="F25" i="23"/>
  <c r="F29" i="11"/>
  <c r="F28" i="11"/>
  <c r="F27" i="11"/>
  <c r="G31" i="11"/>
  <c r="F38" i="11"/>
  <c r="F37" i="11"/>
  <c r="F36" i="11"/>
  <c r="F34" i="11"/>
  <c r="F33" i="11"/>
  <c r="F32" i="11"/>
  <c r="K14" i="23"/>
  <c r="F272" i="24" s="1"/>
  <c r="K17" i="11"/>
  <c r="F289" i="2" s="1"/>
  <c r="F293" i="2" s="1"/>
  <c r="G15" i="23"/>
  <c r="G16" i="11"/>
  <c r="G14" i="23"/>
  <c r="G15" i="11"/>
  <c r="P21" i="23"/>
  <c r="P20" i="23"/>
  <c r="P19" i="23"/>
  <c r="O9" i="23"/>
  <c r="O10" i="23"/>
  <c r="P21" i="11"/>
  <c r="P20" i="11"/>
  <c r="P19" i="11"/>
  <c r="O10" i="11"/>
  <c r="O9" i="11"/>
  <c r="O8" i="11"/>
  <c r="N19" i="28"/>
  <c r="O3" i="11" s="1"/>
  <c r="K6" i="11"/>
  <c r="F145" i="2" s="1"/>
  <c r="K16" i="11"/>
  <c r="K9" i="11"/>
  <c r="K9" i="23"/>
  <c r="K3" i="23"/>
  <c r="K3" i="11"/>
  <c r="G27" i="11"/>
  <c r="G38" i="11"/>
  <c r="G37" i="11"/>
  <c r="G36" i="11"/>
  <c r="G34" i="11"/>
  <c r="G33" i="11"/>
  <c r="G32" i="11"/>
  <c r="G29" i="11"/>
  <c r="G28" i="11"/>
  <c r="G25" i="11"/>
  <c r="F22" i="2" l="1"/>
  <c r="F91" i="2"/>
  <c r="F68" i="2"/>
  <c r="F86" i="2"/>
  <c r="F77" i="2"/>
  <c r="F13" i="2"/>
  <c r="F4" i="2"/>
  <c r="F97" i="2"/>
  <c r="F84" i="2"/>
  <c r="F90" i="2"/>
  <c r="F120" i="2"/>
  <c r="F119" i="2"/>
  <c r="F136" i="2"/>
  <c r="F143" i="2"/>
  <c r="F152" i="2"/>
  <c r="F162" i="2"/>
  <c r="F167" i="2" s="1"/>
  <c r="F182" i="2" s="1"/>
  <c r="F317" i="2"/>
  <c r="F309" i="2"/>
  <c r="F31" i="11"/>
  <c r="O3" i="23"/>
  <c r="K10" i="11"/>
  <c r="F129" i="2" s="1"/>
  <c r="F185" i="2" s="1"/>
  <c r="F300" i="24" l="1"/>
  <c r="F299" i="24"/>
  <c r="F298" i="24"/>
  <c r="F277" i="24"/>
  <c r="F276" i="24"/>
  <c r="F275" i="24"/>
  <c r="F263" i="24"/>
  <c r="F262" i="24"/>
  <c r="F261" i="24"/>
  <c r="J260" i="24"/>
  <c r="A260" i="24"/>
  <c r="J259" i="24"/>
  <c r="A259" i="24"/>
  <c r="J258" i="24"/>
  <c r="A258" i="24"/>
  <c r="J257" i="24"/>
  <c r="A257" i="24"/>
  <c r="J256" i="24"/>
  <c r="A256" i="24"/>
  <c r="J255" i="24"/>
  <c r="A255" i="24"/>
  <c r="J254" i="24"/>
  <c r="A254" i="24"/>
  <c r="J253" i="24"/>
  <c r="A253" i="24"/>
  <c r="J252" i="24"/>
  <c r="A252" i="24"/>
  <c r="J251" i="24"/>
  <c r="A251" i="24"/>
  <c r="J250" i="24"/>
  <c r="A250" i="24"/>
  <c r="J249" i="24"/>
  <c r="A249" i="24"/>
  <c r="J248" i="24"/>
  <c r="A248" i="24"/>
  <c r="J247" i="24"/>
  <c r="A247" i="24"/>
  <c r="J246" i="24"/>
  <c r="A246" i="24"/>
  <c r="J245" i="24"/>
  <c r="A245" i="24"/>
  <c r="J244" i="24"/>
  <c r="A244" i="24"/>
  <c r="J243" i="24"/>
  <c r="A243" i="24"/>
  <c r="J242" i="24"/>
  <c r="F242" i="24"/>
  <c r="A242" i="24"/>
  <c r="J241" i="24"/>
  <c r="A241" i="24"/>
  <c r="J240" i="24"/>
  <c r="A240" i="24"/>
  <c r="J239" i="24"/>
  <c r="A239" i="24"/>
  <c r="J238" i="24"/>
  <c r="A238" i="24"/>
  <c r="J237" i="24"/>
  <c r="F237" i="24"/>
  <c r="A237" i="24"/>
  <c r="J236" i="24"/>
  <c r="F236" i="24"/>
  <c r="A236" i="24"/>
  <c r="J235" i="24"/>
  <c r="F235" i="24"/>
  <c r="A235" i="24"/>
  <c r="J234" i="24"/>
  <c r="A234" i="24"/>
  <c r="J233" i="24"/>
  <c r="A233" i="24"/>
  <c r="J232" i="24"/>
  <c r="A232" i="24"/>
  <c r="J231" i="24"/>
  <c r="A231" i="24"/>
  <c r="J230" i="24"/>
  <c r="A230" i="24"/>
  <c r="J229" i="24"/>
  <c r="A229" i="24"/>
  <c r="J228" i="24"/>
  <c r="A228" i="24"/>
  <c r="J227" i="24"/>
  <c r="A227" i="24"/>
  <c r="J226" i="24"/>
  <c r="A226" i="24"/>
  <c r="J225" i="24"/>
  <c r="A225" i="24"/>
  <c r="J224" i="24"/>
  <c r="A224" i="24"/>
  <c r="J223" i="24"/>
  <c r="A223" i="24"/>
  <c r="J222" i="24"/>
  <c r="A222" i="24"/>
  <c r="J221" i="24"/>
  <c r="A221" i="24"/>
  <c r="J220" i="24"/>
  <c r="A220" i="24"/>
  <c r="J219" i="24"/>
  <c r="F219" i="24"/>
  <c r="A219" i="24"/>
  <c r="J218" i="24"/>
  <c r="F218" i="24"/>
  <c r="A218" i="24"/>
  <c r="J217" i="24"/>
  <c r="A217" i="24"/>
  <c r="J216" i="24"/>
  <c r="A216" i="24"/>
  <c r="J215" i="24"/>
  <c r="A215" i="24"/>
  <c r="J214" i="24"/>
  <c r="F214" i="24"/>
  <c r="A214" i="24"/>
  <c r="J213" i="24"/>
  <c r="F213" i="24"/>
  <c r="A213" i="24"/>
  <c r="J212" i="24"/>
  <c r="F212" i="24"/>
  <c r="A212" i="24"/>
  <c r="J211" i="24"/>
  <c r="A211" i="24"/>
  <c r="J210" i="24"/>
  <c r="A210" i="24"/>
  <c r="J209" i="24"/>
  <c r="F209" i="24"/>
  <c r="A209" i="24"/>
  <c r="J208" i="24"/>
  <c r="A208" i="24"/>
  <c r="J207" i="24"/>
  <c r="F207" i="24"/>
  <c r="A207" i="24"/>
  <c r="J206" i="24"/>
  <c r="A206" i="24"/>
  <c r="J205" i="24"/>
  <c r="A205" i="24"/>
  <c r="J204" i="24"/>
  <c r="A204" i="24"/>
  <c r="J203" i="24"/>
  <c r="A203" i="24"/>
  <c r="J202" i="24"/>
  <c r="A202" i="24"/>
  <c r="J201" i="24"/>
  <c r="A201" i="24"/>
  <c r="J200" i="24"/>
  <c r="F200" i="24"/>
  <c r="F256" i="24" s="1"/>
  <c r="A200" i="24"/>
  <c r="J199" i="24"/>
  <c r="F199" i="24"/>
  <c r="A199" i="24"/>
  <c r="J198" i="24"/>
  <c r="F198" i="24"/>
  <c r="A198" i="24"/>
  <c r="F630" i="2"/>
  <c r="F629" i="2"/>
  <c r="F628" i="2"/>
  <c r="F607" i="2"/>
  <c r="F606" i="2"/>
  <c r="F605" i="2"/>
  <c r="F593" i="2"/>
  <c r="F592" i="2"/>
  <c r="F591" i="2"/>
  <c r="J590" i="2"/>
  <c r="J589" i="2"/>
  <c r="J588" i="2"/>
  <c r="J587" i="2"/>
  <c r="J586" i="2"/>
  <c r="J585" i="2"/>
  <c r="J584" i="2"/>
  <c r="J583" i="2"/>
  <c r="J582" i="2"/>
  <c r="J581" i="2"/>
  <c r="J580" i="2"/>
  <c r="J579" i="2"/>
  <c r="J578" i="2"/>
  <c r="J577" i="2"/>
  <c r="J576" i="2"/>
  <c r="J575" i="2"/>
  <c r="J574" i="2"/>
  <c r="J573" i="2"/>
  <c r="J572" i="2"/>
  <c r="J571" i="2"/>
  <c r="J570" i="2"/>
  <c r="J569" i="2"/>
  <c r="F569" i="2"/>
  <c r="J568" i="2"/>
  <c r="F568" i="2"/>
  <c r="J567" i="2"/>
  <c r="J566" i="2"/>
  <c r="J565" i="2"/>
  <c r="J564" i="2"/>
  <c r="F564" i="2"/>
  <c r="J563" i="2"/>
  <c r="F563" i="2"/>
  <c r="J562" i="2"/>
  <c r="F562" i="2"/>
  <c r="J561" i="2"/>
  <c r="J560" i="2"/>
  <c r="J559" i="2"/>
  <c r="J558" i="2"/>
  <c r="J557" i="2"/>
  <c r="J556" i="2"/>
  <c r="J555" i="2"/>
  <c r="J554" i="2"/>
  <c r="J553" i="2"/>
  <c r="J552" i="2"/>
  <c r="J551" i="2"/>
  <c r="J550" i="2"/>
  <c r="J549" i="2"/>
  <c r="J548" i="2"/>
  <c r="J547" i="2"/>
  <c r="J546" i="2"/>
  <c r="F546" i="2"/>
  <c r="J545" i="2"/>
  <c r="F545" i="2"/>
  <c r="J544" i="2"/>
  <c r="J543" i="2"/>
  <c r="J542" i="2"/>
  <c r="J541" i="2"/>
  <c r="F541" i="2"/>
  <c r="J540" i="2"/>
  <c r="F540" i="2"/>
  <c r="J539" i="2"/>
  <c r="F539" i="2"/>
  <c r="J538" i="2"/>
  <c r="J537" i="2"/>
  <c r="J536" i="2"/>
  <c r="J535" i="2"/>
  <c r="J534" i="2"/>
  <c r="F534" i="2"/>
  <c r="J533" i="2"/>
  <c r="F533" i="2"/>
  <c r="J532" i="2"/>
  <c r="J531" i="2"/>
  <c r="J530" i="2"/>
  <c r="J529" i="2"/>
  <c r="J528" i="2"/>
  <c r="J527" i="2"/>
  <c r="F527" i="2"/>
  <c r="F583" i="2" s="1"/>
  <c r="J526" i="2"/>
  <c r="F526" i="2"/>
  <c r="J525" i="2"/>
  <c r="F525" i="2"/>
  <c r="A33" i="23"/>
  <c r="A34" i="11"/>
  <c r="F173" i="24"/>
  <c r="F172" i="24"/>
  <c r="F171" i="24"/>
  <c r="F150" i="24"/>
  <c r="F149" i="24"/>
  <c r="F148" i="24"/>
  <c r="F135" i="24"/>
  <c r="F193" i="24" s="1"/>
  <c r="F134" i="24"/>
  <c r="F133" i="24"/>
  <c r="J197" i="24"/>
  <c r="A197" i="24"/>
  <c r="J196" i="24"/>
  <c r="A196" i="24"/>
  <c r="J195" i="24"/>
  <c r="A195" i="24"/>
  <c r="J194" i="24"/>
  <c r="A194" i="24"/>
  <c r="J193" i="24"/>
  <c r="A193" i="24"/>
  <c r="J192" i="24"/>
  <c r="A192" i="24"/>
  <c r="J191" i="24"/>
  <c r="A191" i="24"/>
  <c r="J190" i="24"/>
  <c r="A190" i="24"/>
  <c r="J189" i="24"/>
  <c r="A189" i="24"/>
  <c r="J188" i="24"/>
  <c r="A188" i="24"/>
  <c r="J187" i="24"/>
  <c r="A187" i="24"/>
  <c r="J186" i="24"/>
  <c r="A186" i="24"/>
  <c r="J185" i="24"/>
  <c r="A185" i="24"/>
  <c r="J184" i="24"/>
  <c r="A184" i="24"/>
  <c r="J183" i="24"/>
  <c r="A183" i="24"/>
  <c r="J182" i="24"/>
  <c r="A182" i="24"/>
  <c r="J181" i="24"/>
  <c r="A181" i="24"/>
  <c r="J180" i="24"/>
  <c r="A180" i="24"/>
  <c r="J179" i="24"/>
  <c r="A179" i="24"/>
  <c r="J178" i="24"/>
  <c r="F178" i="24"/>
  <c r="A178" i="24"/>
  <c r="J177" i="24"/>
  <c r="F177" i="24"/>
  <c r="A177" i="24"/>
  <c r="J176" i="24"/>
  <c r="A176" i="24"/>
  <c r="J175" i="24"/>
  <c r="A175" i="24"/>
  <c r="J174" i="24"/>
  <c r="A174" i="24"/>
  <c r="J173" i="24"/>
  <c r="A173" i="24"/>
  <c r="J172" i="24"/>
  <c r="A172" i="24"/>
  <c r="J171" i="24"/>
  <c r="A171" i="24"/>
  <c r="J170" i="24"/>
  <c r="A170" i="24"/>
  <c r="J169" i="24"/>
  <c r="A169" i="24"/>
  <c r="J168" i="24"/>
  <c r="A168" i="24"/>
  <c r="J167" i="24"/>
  <c r="A167" i="24"/>
  <c r="J166" i="24"/>
  <c r="A166" i="24"/>
  <c r="J165" i="24"/>
  <c r="A165" i="24"/>
  <c r="J164" i="24"/>
  <c r="A164" i="24"/>
  <c r="J163" i="24"/>
  <c r="A163" i="24"/>
  <c r="J162" i="24"/>
  <c r="A162" i="24"/>
  <c r="J161" i="24"/>
  <c r="A161" i="24"/>
  <c r="J160" i="24"/>
  <c r="A160" i="24"/>
  <c r="J159" i="24"/>
  <c r="A159" i="24"/>
  <c r="J158" i="24"/>
  <c r="A158" i="24"/>
  <c r="J157" i="24"/>
  <c r="A157" i="24"/>
  <c r="J156" i="24"/>
  <c r="A156" i="24"/>
  <c r="J155" i="24"/>
  <c r="F155" i="24"/>
  <c r="A155" i="24"/>
  <c r="J154" i="24"/>
  <c r="F154" i="24"/>
  <c r="A154" i="24"/>
  <c r="J153" i="24"/>
  <c r="A153" i="24"/>
  <c r="J152" i="24"/>
  <c r="A152" i="24"/>
  <c r="J151" i="24"/>
  <c r="A151" i="24"/>
  <c r="J150" i="24"/>
  <c r="A150" i="24"/>
  <c r="J149" i="24"/>
  <c r="A149" i="24"/>
  <c r="J148" i="24"/>
  <c r="A148" i="24"/>
  <c r="J147" i="24"/>
  <c r="A147" i="24"/>
  <c r="J146" i="24"/>
  <c r="A146" i="24"/>
  <c r="J145" i="24"/>
  <c r="F145" i="24"/>
  <c r="A145" i="24"/>
  <c r="J144" i="24"/>
  <c r="A144" i="24"/>
  <c r="J143" i="24"/>
  <c r="A143" i="24"/>
  <c r="J142" i="24"/>
  <c r="F142" i="24"/>
  <c r="A142" i="24"/>
  <c r="J141" i="24"/>
  <c r="F141" i="24"/>
  <c r="A141" i="24"/>
  <c r="J140" i="24"/>
  <c r="A140" i="24"/>
  <c r="J139" i="24"/>
  <c r="A139" i="24"/>
  <c r="J138" i="24"/>
  <c r="A138" i="24"/>
  <c r="J137" i="24"/>
  <c r="A137" i="24"/>
  <c r="J136" i="24"/>
  <c r="A136" i="24"/>
  <c r="J135" i="24"/>
  <c r="A135" i="24"/>
  <c r="J134" i="24"/>
  <c r="A134" i="24"/>
  <c r="J133" i="24"/>
  <c r="A133" i="24"/>
  <c r="A32" i="23"/>
  <c r="F497" i="2"/>
  <c r="F496" i="2"/>
  <c r="F495" i="2"/>
  <c r="F474" i="2"/>
  <c r="F473" i="2"/>
  <c r="F472" i="2"/>
  <c r="F459" i="2"/>
  <c r="F517" i="2" s="1"/>
  <c r="F458" i="2"/>
  <c r="F457" i="2"/>
  <c r="J524" i="2"/>
  <c r="J523" i="2"/>
  <c r="J522" i="2"/>
  <c r="J521" i="2"/>
  <c r="J520" i="2"/>
  <c r="J519" i="2"/>
  <c r="J518" i="2"/>
  <c r="J517" i="2"/>
  <c r="J516" i="2"/>
  <c r="J515" i="2"/>
  <c r="J514" i="2"/>
  <c r="J513" i="2"/>
  <c r="J512" i="2"/>
  <c r="J511" i="2"/>
  <c r="J510" i="2"/>
  <c r="J509" i="2"/>
  <c r="J508" i="2"/>
  <c r="J507" i="2"/>
  <c r="J506" i="2"/>
  <c r="J505" i="2"/>
  <c r="J504" i="2"/>
  <c r="J503" i="2"/>
  <c r="J502" i="2"/>
  <c r="F502" i="2"/>
  <c r="J501" i="2"/>
  <c r="F501" i="2"/>
  <c r="J500" i="2"/>
  <c r="J499" i="2"/>
  <c r="J498" i="2"/>
  <c r="J497" i="2"/>
  <c r="J496" i="2"/>
  <c r="J495" i="2"/>
  <c r="J494" i="2"/>
  <c r="J493" i="2"/>
  <c r="J492" i="2"/>
  <c r="J491" i="2"/>
  <c r="J490" i="2"/>
  <c r="J489" i="2"/>
  <c r="J488" i="2"/>
  <c r="J487" i="2"/>
  <c r="J486" i="2"/>
  <c r="J485" i="2"/>
  <c r="J484" i="2"/>
  <c r="J483" i="2"/>
  <c r="J482" i="2"/>
  <c r="J481" i="2"/>
  <c r="J480" i="2"/>
  <c r="J479" i="2"/>
  <c r="F479" i="2"/>
  <c r="J478" i="2"/>
  <c r="F478" i="2"/>
  <c r="J477" i="2"/>
  <c r="J476" i="2"/>
  <c r="J475" i="2"/>
  <c r="J474" i="2"/>
  <c r="J473" i="2"/>
  <c r="J472" i="2"/>
  <c r="J471" i="2"/>
  <c r="J470" i="2"/>
  <c r="J469" i="2"/>
  <c r="J468" i="2"/>
  <c r="J467" i="2"/>
  <c r="J466" i="2"/>
  <c r="F466" i="2"/>
  <c r="J465" i="2"/>
  <c r="F465" i="2"/>
  <c r="J464" i="2"/>
  <c r="J463" i="2"/>
  <c r="J462" i="2"/>
  <c r="J461" i="2"/>
  <c r="J460" i="2"/>
  <c r="J459" i="2"/>
  <c r="J458" i="2"/>
  <c r="J457" i="2"/>
  <c r="A33" i="11"/>
  <c r="F463" i="24"/>
  <c r="F395" i="24"/>
  <c r="F335" i="24"/>
  <c r="F81" i="24"/>
  <c r="F16" i="24"/>
  <c r="F582" i="24"/>
  <c r="J586" i="24"/>
  <c r="J585" i="24"/>
  <c r="J584" i="24"/>
  <c r="J583" i="24"/>
  <c r="J582" i="24"/>
  <c r="J581" i="24"/>
  <c r="J580" i="24"/>
  <c r="J579" i="24"/>
  <c r="J578" i="24"/>
  <c r="J577" i="24"/>
  <c r="J576" i="24"/>
  <c r="J574" i="24"/>
  <c r="J573" i="24"/>
  <c r="A586" i="24"/>
  <c r="A585" i="24"/>
  <c r="A584" i="24"/>
  <c r="A583" i="24"/>
  <c r="A582" i="24"/>
  <c r="A581" i="24"/>
  <c r="A580" i="24"/>
  <c r="A579" i="24"/>
  <c r="A578" i="24"/>
  <c r="A577" i="24"/>
  <c r="A576" i="24"/>
  <c r="A574" i="24"/>
  <c r="A573" i="24"/>
  <c r="J572" i="24"/>
  <c r="J571" i="24"/>
  <c r="J570" i="24"/>
  <c r="J569" i="24"/>
  <c r="J568" i="24"/>
  <c r="J567" i="24"/>
  <c r="J566" i="24"/>
  <c r="J565" i="24"/>
  <c r="J564" i="24"/>
  <c r="J563" i="24"/>
  <c r="J562" i="24"/>
  <c r="J561" i="24"/>
  <c r="J560" i="24"/>
  <c r="J559" i="24"/>
  <c r="J558" i="24"/>
  <c r="A572" i="24"/>
  <c r="A571" i="24"/>
  <c r="A570" i="24"/>
  <c r="A569" i="24"/>
  <c r="A568" i="24"/>
  <c r="A567" i="24"/>
  <c r="A566" i="24"/>
  <c r="A565" i="24"/>
  <c r="A564" i="24"/>
  <c r="A563" i="24"/>
  <c r="A562" i="24"/>
  <c r="A561" i="24"/>
  <c r="A560" i="24"/>
  <c r="A559" i="24"/>
  <c r="A558" i="24"/>
  <c r="F550" i="24"/>
  <c r="F538" i="24"/>
  <c r="F549" i="24"/>
  <c r="F548" i="24"/>
  <c r="J557" i="24"/>
  <c r="J556" i="24"/>
  <c r="J555" i="24"/>
  <c r="J554" i="24"/>
  <c r="J553" i="24"/>
  <c r="J552" i="24"/>
  <c r="J551" i="24"/>
  <c r="J550" i="24"/>
  <c r="J549" i="24"/>
  <c r="J548" i="24"/>
  <c r="J547" i="24"/>
  <c r="A557" i="24"/>
  <c r="A556" i="24"/>
  <c r="A555" i="24"/>
  <c r="A554" i="24"/>
  <c r="A553" i="24"/>
  <c r="A552" i="24"/>
  <c r="A551" i="24"/>
  <c r="A550" i="24"/>
  <c r="A549" i="24"/>
  <c r="A548" i="24"/>
  <c r="A547" i="24"/>
  <c r="F536" i="24"/>
  <c r="F534" i="24"/>
  <c r="J546" i="24"/>
  <c r="J545" i="24"/>
  <c r="J544" i="24"/>
  <c r="J543" i="24"/>
  <c r="J542" i="24"/>
  <c r="J541" i="24"/>
  <c r="J540" i="24"/>
  <c r="J539" i="24"/>
  <c r="J538" i="24"/>
  <c r="J537" i="24"/>
  <c r="J536" i="24"/>
  <c r="J535" i="24"/>
  <c r="J534" i="24"/>
  <c r="J533" i="24"/>
  <c r="A546" i="24"/>
  <c r="A545" i="24"/>
  <c r="A544" i="24"/>
  <c r="A543" i="24"/>
  <c r="A542" i="24"/>
  <c r="A541" i="24"/>
  <c r="A540" i="24"/>
  <c r="A539" i="24"/>
  <c r="A538" i="24"/>
  <c r="A537" i="24"/>
  <c r="A536" i="24"/>
  <c r="A535" i="24"/>
  <c r="A534" i="24"/>
  <c r="A533" i="24"/>
  <c r="D17" i="25" l="1"/>
  <c r="D16" i="25"/>
  <c r="D15" i="25"/>
  <c r="J532" i="24"/>
  <c r="A532" i="24"/>
  <c r="J531" i="24"/>
  <c r="A531" i="24"/>
  <c r="J530" i="24"/>
  <c r="A530" i="24"/>
  <c r="J529" i="24"/>
  <c r="A529" i="24"/>
  <c r="J528" i="24"/>
  <c r="A528" i="24"/>
  <c r="J527" i="24"/>
  <c r="A527" i="24"/>
  <c r="J526" i="24"/>
  <c r="A526" i="24"/>
  <c r="J525" i="24"/>
  <c r="A525" i="24"/>
  <c r="J524" i="24"/>
  <c r="A524" i="24"/>
  <c r="J523" i="24"/>
  <c r="A523" i="24"/>
  <c r="J522" i="24"/>
  <c r="A522" i="24"/>
  <c r="J521" i="24"/>
  <c r="A521" i="24"/>
  <c r="J520" i="24"/>
  <c r="A520" i="24"/>
  <c r="J519" i="24"/>
  <c r="A519" i="24"/>
  <c r="J518" i="24"/>
  <c r="A518" i="24"/>
  <c r="J517" i="24"/>
  <c r="A517" i="24"/>
  <c r="J516" i="24"/>
  <c r="A516" i="24"/>
  <c r="J515" i="24"/>
  <c r="A515" i="24"/>
  <c r="J514" i="24"/>
  <c r="F514" i="24"/>
  <c r="A514" i="24"/>
  <c r="J513" i="24"/>
  <c r="F513" i="24"/>
  <c r="A513" i="24"/>
  <c r="J512" i="24"/>
  <c r="A512" i="24"/>
  <c r="J511" i="24"/>
  <c r="A511" i="24"/>
  <c r="J510" i="24"/>
  <c r="A510" i="24"/>
  <c r="J509" i="24"/>
  <c r="F509" i="24"/>
  <c r="A509" i="24"/>
  <c r="J508" i="24"/>
  <c r="F508" i="24"/>
  <c r="A508" i="24"/>
  <c r="J507" i="24"/>
  <c r="F507" i="24"/>
  <c r="A507" i="24"/>
  <c r="J506" i="24"/>
  <c r="A506" i="24"/>
  <c r="J505" i="24"/>
  <c r="F505" i="24"/>
  <c r="A505" i="24"/>
  <c r="J504" i="24"/>
  <c r="A504" i="24"/>
  <c r="J503" i="24"/>
  <c r="A503" i="24"/>
  <c r="J502" i="24"/>
  <c r="F502" i="24"/>
  <c r="A502" i="24"/>
  <c r="J501" i="24"/>
  <c r="F501" i="24"/>
  <c r="A501" i="24"/>
  <c r="J500" i="24"/>
  <c r="F500" i="24"/>
  <c r="A500" i="24"/>
  <c r="J499" i="24"/>
  <c r="F499" i="24"/>
  <c r="A499" i="24"/>
  <c r="J498" i="24"/>
  <c r="F498" i="24"/>
  <c r="A498" i="24"/>
  <c r="J497" i="24"/>
  <c r="A497" i="24"/>
  <c r="J496" i="24"/>
  <c r="A496" i="24"/>
  <c r="J495" i="24"/>
  <c r="A495" i="24"/>
  <c r="J494" i="24"/>
  <c r="A494" i="24"/>
  <c r="J493" i="24"/>
  <c r="A493" i="24"/>
  <c r="J492" i="24"/>
  <c r="A492" i="24"/>
  <c r="J491" i="24"/>
  <c r="A491" i="24"/>
  <c r="J490" i="24"/>
  <c r="A490" i="24"/>
  <c r="J489" i="24"/>
  <c r="A489" i="24"/>
  <c r="J488" i="24"/>
  <c r="A488" i="24"/>
  <c r="J487" i="24"/>
  <c r="A487" i="24"/>
  <c r="J486" i="24"/>
  <c r="A486" i="24"/>
  <c r="J485" i="24"/>
  <c r="A485" i="24"/>
  <c r="J484" i="24"/>
  <c r="A484" i="24"/>
  <c r="J483" i="24"/>
  <c r="F483" i="24"/>
  <c r="A483" i="24"/>
  <c r="J482" i="24"/>
  <c r="F482" i="24"/>
  <c r="A482" i="24"/>
  <c r="J481" i="24"/>
  <c r="A481" i="24"/>
  <c r="J480" i="24"/>
  <c r="A480" i="24"/>
  <c r="J479" i="24"/>
  <c r="A479" i="24"/>
  <c r="J478" i="24"/>
  <c r="A478" i="24"/>
  <c r="J477" i="24"/>
  <c r="F477" i="24"/>
  <c r="A477" i="24"/>
  <c r="J476" i="24"/>
  <c r="F476" i="24"/>
  <c r="A476" i="24"/>
  <c r="J475" i="24"/>
  <c r="F475" i="24"/>
  <c r="A475" i="24"/>
  <c r="J474" i="24"/>
  <c r="A474" i="24"/>
  <c r="J473" i="24"/>
  <c r="F473" i="24"/>
  <c r="A473" i="24"/>
  <c r="J472" i="24"/>
  <c r="A472" i="24"/>
  <c r="J471" i="24"/>
  <c r="A471" i="24"/>
  <c r="J470" i="24"/>
  <c r="F470" i="24"/>
  <c r="A470" i="24"/>
  <c r="J469" i="24"/>
  <c r="F469" i="24"/>
  <c r="A469" i="24"/>
  <c r="J468" i="24"/>
  <c r="F468" i="24"/>
  <c r="A468" i="24"/>
  <c r="J467" i="24"/>
  <c r="F467" i="24"/>
  <c r="A467" i="24"/>
  <c r="J466" i="24"/>
  <c r="F466" i="24"/>
  <c r="A466" i="24"/>
  <c r="J465" i="24"/>
  <c r="A465" i="24"/>
  <c r="J464" i="24"/>
  <c r="A464" i="24"/>
  <c r="J463" i="24"/>
  <c r="A463" i="24"/>
  <c r="J462" i="24"/>
  <c r="A462" i="24"/>
  <c r="J461" i="24"/>
  <c r="F461" i="24"/>
  <c r="A461" i="24"/>
  <c r="J460" i="24"/>
  <c r="F460" i="24"/>
  <c r="A460" i="24"/>
  <c r="J459" i="24"/>
  <c r="A459" i="24"/>
  <c r="J458" i="24"/>
  <c r="A458" i="24"/>
  <c r="J457" i="24"/>
  <c r="A457" i="24"/>
  <c r="J456" i="24"/>
  <c r="A456" i="24"/>
  <c r="J455" i="24"/>
  <c r="A455" i="24"/>
  <c r="J454" i="24"/>
  <c r="F454" i="24"/>
  <c r="A454" i="24"/>
  <c r="J453" i="24"/>
  <c r="F453" i="24"/>
  <c r="F528" i="24" s="1"/>
  <c r="A453" i="24"/>
  <c r="J452" i="24"/>
  <c r="F452" i="24"/>
  <c r="A452" i="24"/>
  <c r="J451" i="24"/>
  <c r="F451" i="24"/>
  <c r="A451" i="24"/>
  <c r="J450" i="24"/>
  <c r="F450" i="24"/>
  <c r="A450" i="24"/>
  <c r="J449" i="24"/>
  <c r="A449" i="24"/>
  <c r="J448" i="24"/>
  <c r="A448" i="24"/>
  <c r="J447" i="24"/>
  <c r="A447" i="24"/>
  <c r="J446" i="24"/>
  <c r="A446" i="24"/>
  <c r="J445" i="24"/>
  <c r="A445" i="24"/>
  <c r="J444" i="24"/>
  <c r="A444" i="24"/>
  <c r="J443" i="24"/>
  <c r="A443" i="24"/>
  <c r="J442" i="24"/>
  <c r="A442" i="24"/>
  <c r="J441" i="24"/>
  <c r="A441" i="24"/>
  <c r="J440" i="24"/>
  <c r="A440" i="24"/>
  <c r="J439" i="24"/>
  <c r="A439" i="24"/>
  <c r="J438" i="24"/>
  <c r="A438" i="24"/>
  <c r="J437" i="24"/>
  <c r="A437" i="24"/>
  <c r="J436" i="24"/>
  <c r="A436" i="24"/>
  <c r="J435" i="24"/>
  <c r="A435" i="24"/>
  <c r="J434" i="24"/>
  <c r="A434" i="24"/>
  <c r="J433" i="24"/>
  <c r="F433" i="24"/>
  <c r="A433" i="24"/>
  <c r="J432" i="24"/>
  <c r="F432" i="24"/>
  <c r="A432" i="24"/>
  <c r="J431" i="24"/>
  <c r="A431" i="24"/>
  <c r="J430" i="24"/>
  <c r="A430" i="24"/>
  <c r="J429" i="24"/>
  <c r="A429" i="24"/>
  <c r="J428" i="24"/>
  <c r="A428" i="24"/>
  <c r="J427" i="24"/>
  <c r="A427" i="24"/>
  <c r="J426" i="24"/>
  <c r="F426" i="24"/>
  <c r="A426" i="24"/>
  <c r="J425" i="24"/>
  <c r="F425" i="24"/>
  <c r="A425" i="24"/>
  <c r="J424" i="24"/>
  <c r="F424" i="24"/>
  <c r="A424" i="24"/>
  <c r="J423" i="24"/>
  <c r="A423" i="24"/>
  <c r="J422" i="24"/>
  <c r="A422" i="24"/>
  <c r="J421" i="24"/>
  <c r="A421" i="24"/>
  <c r="J420" i="24"/>
  <c r="A420" i="24"/>
  <c r="J419" i="24"/>
  <c r="A419" i="24"/>
  <c r="J418" i="24"/>
  <c r="A418" i="24"/>
  <c r="J417" i="24"/>
  <c r="A417" i="24"/>
  <c r="J416" i="24"/>
  <c r="A416" i="24"/>
  <c r="J415" i="24"/>
  <c r="A415" i="24"/>
  <c r="J414" i="24"/>
  <c r="A414" i="24"/>
  <c r="J413" i="24"/>
  <c r="A413" i="24"/>
  <c r="J412" i="24"/>
  <c r="A412" i="24"/>
  <c r="J411" i="24"/>
  <c r="A411" i="24"/>
  <c r="J410" i="24"/>
  <c r="F410" i="24"/>
  <c r="A410" i="24"/>
  <c r="J409" i="24"/>
  <c r="F409" i="24"/>
  <c r="A409" i="24"/>
  <c r="J408" i="24"/>
  <c r="A408" i="24"/>
  <c r="J407" i="24"/>
  <c r="A407" i="24"/>
  <c r="J406" i="24"/>
  <c r="A406" i="24"/>
  <c r="J405" i="24"/>
  <c r="A405" i="24"/>
  <c r="J404" i="24"/>
  <c r="A404" i="24"/>
  <c r="J403" i="24"/>
  <c r="F403" i="24"/>
  <c r="A403" i="24"/>
  <c r="J402" i="24"/>
  <c r="F402" i="24"/>
  <c r="A402" i="24"/>
  <c r="J401" i="24"/>
  <c r="F401" i="24"/>
  <c r="A401" i="24"/>
  <c r="J400" i="24"/>
  <c r="A400" i="24"/>
  <c r="J399" i="24"/>
  <c r="A399" i="24"/>
  <c r="J398" i="24"/>
  <c r="F398" i="24"/>
  <c r="A398" i="24"/>
  <c r="J397" i="24"/>
  <c r="F397" i="24"/>
  <c r="A397" i="24"/>
  <c r="J396" i="24"/>
  <c r="A396" i="24"/>
  <c r="J395" i="24"/>
  <c r="A395" i="24"/>
  <c r="J394" i="24"/>
  <c r="A394" i="24"/>
  <c r="J393" i="24"/>
  <c r="A393" i="24"/>
  <c r="J392" i="24"/>
  <c r="A392" i="24"/>
  <c r="J391" i="24"/>
  <c r="A391" i="24"/>
  <c r="J390" i="24"/>
  <c r="A390" i="24"/>
  <c r="J389" i="24"/>
  <c r="F389" i="24"/>
  <c r="F445" i="24" s="1"/>
  <c r="A389" i="24"/>
  <c r="J388" i="24"/>
  <c r="F388" i="24"/>
  <c r="A388" i="24"/>
  <c r="J387" i="24"/>
  <c r="F387" i="24"/>
  <c r="A387" i="24"/>
  <c r="J386" i="24"/>
  <c r="A386" i="24"/>
  <c r="J385" i="24"/>
  <c r="A385" i="24"/>
  <c r="J384" i="24"/>
  <c r="A384" i="24"/>
  <c r="J383" i="24"/>
  <c r="A383" i="24"/>
  <c r="J382" i="24"/>
  <c r="A382" i="24"/>
  <c r="J381" i="24"/>
  <c r="A381" i="24"/>
  <c r="J380" i="24"/>
  <c r="A380" i="24"/>
  <c r="J379" i="24"/>
  <c r="A379" i="24"/>
  <c r="J378" i="24"/>
  <c r="A378" i="24"/>
  <c r="J377" i="24"/>
  <c r="A377" i="24"/>
  <c r="J376" i="24"/>
  <c r="A376" i="24"/>
  <c r="J375" i="24"/>
  <c r="A375" i="24"/>
  <c r="J374" i="24"/>
  <c r="A374" i="24"/>
  <c r="J373" i="24"/>
  <c r="A373" i="24"/>
  <c r="J372" i="24"/>
  <c r="A372" i="24"/>
  <c r="J371" i="24"/>
  <c r="A371" i="24"/>
  <c r="J370" i="24"/>
  <c r="A370" i="24"/>
  <c r="J369" i="24"/>
  <c r="A369" i="24"/>
  <c r="J368" i="24"/>
  <c r="F368" i="24"/>
  <c r="A368" i="24"/>
  <c r="J367" i="24"/>
  <c r="F367" i="24"/>
  <c r="A367" i="24"/>
  <c r="J366" i="24"/>
  <c r="A366" i="24"/>
  <c r="J365" i="24"/>
  <c r="A365" i="24"/>
  <c r="J364" i="24"/>
  <c r="A364" i="24"/>
  <c r="J363" i="24"/>
  <c r="F363" i="24"/>
  <c r="A363" i="24"/>
  <c r="J362" i="24"/>
  <c r="F362" i="24"/>
  <c r="A362" i="24"/>
  <c r="J361" i="24"/>
  <c r="F361" i="24"/>
  <c r="A361" i="24"/>
  <c r="J360" i="24"/>
  <c r="A360" i="24"/>
  <c r="J359" i="24"/>
  <c r="A359" i="24"/>
  <c r="J358" i="24"/>
  <c r="A358" i="24"/>
  <c r="J357" i="24"/>
  <c r="A357" i="24"/>
  <c r="J356" i="24"/>
  <c r="A356" i="24"/>
  <c r="J355" i="24"/>
  <c r="A355" i="24"/>
  <c r="J354" i="24"/>
  <c r="A354" i="24"/>
  <c r="J353" i="24"/>
  <c r="A353" i="24"/>
  <c r="J352" i="24"/>
  <c r="A352" i="24"/>
  <c r="J351" i="24"/>
  <c r="A351" i="24"/>
  <c r="J350" i="24"/>
  <c r="A350" i="24"/>
  <c r="J349" i="24"/>
  <c r="A349" i="24"/>
  <c r="J348" i="24"/>
  <c r="A348" i="24"/>
  <c r="J347" i="24"/>
  <c r="A347" i="24"/>
  <c r="J346" i="24"/>
  <c r="A346" i="24"/>
  <c r="J345" i="24"/>
  <c r="F345" i="24"/>
  <c r="A345" i="24"/>
  <c r="J344" i="24"/>
  <c r="F344" i="24"/>
  <c r="A344" i="24"/>
  <c r="J343" i="24"/>
  <c r="A343" i="24"/>
  <c r="J342" i="24"/>
  <c r="A342" i="24"/>
  <c r="J341" i="24"/>
  <c r="A341" i="24"/>
  <c r="J340" i="24"/>
  <c r="F340" i="24"/>
  <c r="A340" i="24"/>
  <c r="J339" i="24"/>
  <c r="F339" i="24"/>
  <c r="A339" i="24"/>
  <c r="J338" i="24"/>
  <c r="F338" i="24"/>
  <c r="A338" i="24"/>
  <c r="J337" i="24"/>
  <c r="A337" i="24"/>
  <c r="J336" i="24"/>
  <c r="A336" i="24"/>
  <c r="J335" i="24"/>
  <c r="A335" i="24"/>
  <c r="J334" i="24"/>
  <c r="A334" i="24"/>
  <c r="J333" i="24"/>
  <c r="F333" i="24"/>
  <c r="A333" i="24"/>
  <c r="J332" i="24"/>
  <c r="A332" i="24"/>
  <c r="J331" i="24"/>
  <c r="A331" i="24"/>
  <c r="J330" i="24"/>
  <c r="A330" i="24"/>
  <c r="J329" i="24"/>
  <c r="A329" i="24"/>
  <c r="J328" i="24"/>
  <c r="A328" i="24"/>
  <c r="J327" i="24"/>
  <c r="A327" i="24"/>
  <c r="J326" i="24"/>
  <c r="F326" i="24"/>
  <c r="F382" i="24" s="1"/>
  <c r="A326" i="24"/>
  <c r="J325" i="24"/>
  <c r="F325" i="24"/>
  <c r="A325" i="24"/>
  <c r="J324" i="24"/>
  <c r="F324" i="24"/>
  <c r="A324" i="24"/>
  <c r="J323" i="24"/>
  <c r="A323" i="24"/>
  <c r="J322" i="24"/>
  <c r="A322" i="24"/>
  <c r="J321" i="24"/>
  <c r="A321" i="24"/>
  <c r="J320" i="24"/>
  <c r="A320" i="24"/>
  <c r="J319" i="24"/>
  <c r="A319" i="24"/>
  <c r="J318" i="24"/>
  <c r="A318" i="24"/>
  <c r="J317" i="24"/>
  <c r="A317" i="24"/>
  <c r="J316" i="24"/>
  <c r="A316" i="24"/>
  <c r="J315" i="24"/>
  <c r="A315" i="24"/>
  <c r="J314" i="24"/>
  <c r="A314" i="24"/>
  <c r="J313" i="24"/>
  <c r="A313" i="24"/>
  <c r="J312" i="24"/>
  <c r="A312" i="24"/>
  <c r="J311" i="24"/>
  <c r="A311" i="24"/>
  <c r="J310" i="24"/>
  <c r="A310" i="24"/>
  <c r="J309" i="24"/>
  <c r="A309" i="24"/>
  <c r="J308" i="24"/>
  <c r="A308" i="24"/>
  <c r="J307" i="24"/>
  <c r="A307" i="24"/>
  <c r="J306" i="24"/>
  <c r="A306" i="24"/>
  <c r="J305" i="24"/>
  <c r="F305" i="24"/>
  <c r="A305" i="24"/>
  <c r="J304" i="24"/>
  <c r="F304" i="24"/>
  <c r="A304" i="24"/>
  <c r="J303" i="24"/>
  <c r="A303" i="24"/>
  <c r="J302" i="24"/>
  <c r="A302" i="24"/>
  <c r="J301" i="24"/>
  <c r="A301" i="24"/>
  <c r="J300" i="24"/>
  <c r="A300" i="24"/>
  <c r="J299" i="24"/>
  <c r="A299" i="24"/>
  <c r="J298" i="24"/>
  <c r="A298" i="24"/>
  <c r="J297" i="24"/>
  <c r="A297" i="24"/>
  <c r="J296" i="24"/>
  <c r="A296" i="24"/>
  <c r="J295" i="24"/>
  <c r="A295" i="24"/>
  <c r="J294" i="24"/>
  <c r="A294" i="24"/>
  <c r="J293" i="24"/>
  <c r="A293" i="24"/>
  <c r="J292" i="24"/>
  <c r="A292" i="24"/>
  <c r="J291" i="24"/>
  <c r="A291" i="24"/>
  <c r="J290" i="24"/>
  <c r="A290" i="24"/>
  <c r="J289" i="24"/>
  <c r="A289" i="24"/>
  <c r="J288" i="24"/>
  <c r="A288" i="24"/>
  <c r="J287" i="24"/>
  <c r="A287" i="24"/>
  <c r="J286" i="24"/>
  <c r="A286" i="24"/>
  <c r="J285" i="24"/>
  <c r="A285" i="24"/>
  <c r="J284" i="24"/>
  <c r="A284" i="24"/>
  <c r="J283" i="24"/>
  <c r="A283" i="24"/>
  <c r="J282" i="24"/>
  <c r="F282" i="24"/>
  <c r="A282" i="24"/>
  <c r="J281" i="24"/>
  <c r="F281" i="24"/>
  <c r="A281" i="24"/>
  <c r="J280" i="24"/>
  <c r="A280" i="24"/>
  <c r="J279" i="24"/>
  <c r="A279" i="24"/>
  <c r="J278" i="24"/>
  <c r="A278" i="24"/>
  <c r="J277" i="24"/>
  <c r="A277" i="24"/>
  <c r="J276" i="24"/>
  <c r="A276" i="24"/>
  <c r="J275" i="24"/>
  <c r="A275" i="24"/>
  <c r="J274" i="24"/>
  <c r="A274" i="24"/>
  <c r="J273" i="24"/>
  <c r="A273" i="24"/>
  <c r="J272" i="24"/>
  <c r="A272" i="24"/>
  <c r="J271" i="24"/>
  <c r="A271" i="24"/>
  <c r="J270" i="24"/>
  <c r="F270" i="24"/>
  <c r="A270" i="24"/>
  <c r="J269" i="24"/>
  <c r="F269" i="24"/>
  <c r="A269" i="24"/>
  <c r="J268" i="24"/>
  <c r="A268" i="24"/>
  <c r="J267" i="24"/>
  <c r="A267" i="24"/>
  <c r="J266" i="24"/>
  <c r="A266" i="24"/>
  <c r="J265" i="24"/>
  <c r="A265" i="24"/>
  <c r="J264" i="24"/>
  <c r="A264" i="24"/>
  <c r="J263" i="24"/>
  <c r="F319" i="24"/>
  <c r="A263" i="24"/>
  <c r="J262" i="24"/>
  <c r="A262" i="24"/>
  <c r="J261" i="24"/>
  <c r="A261" i="24"/>
  <c r="J132" i="24"/>
  <c r="A132" i="24"/>
  <c r="J131" i="24"/>
  <c r="A131" i="24"/>
  <c r="J130" i="24"/>
  <c r="A130" i="24"/>
  <c r="J129" i="24"/>
  <c r="A129" i="24"/>
  <c r="J128" i="24"/>
  <c r="A128" i="24"/>
  <c r="J127" i="24"/>
  <c r="A127" i="24"/>
  <c r="J126" i="24"/>
  <c r="A126" i="24"/>
  <c r="J125" i="24"/>
  <c r="A125" i="24"/>
  <c r="J124" i="24"/>
  <c r="A124" i="24"/>
  <c r="J123" i="24"/>
  <c r="A123" i="24"/>
  <c r="J122" i="24"/>
  <c r="A122" i="24"/>
  <c r="J121" i="24"/>
  <c r="A121" i="24"/>
  <c r="J120" i="24"/>
  <c r="A120" i="24"/>
  <c r="J119" i="24"/>
  <c r="A119" i="24"/>
  <c r="J118" i="24"/>
  <c r="A118" i="24"/>
  <c r="J117" i="24"/>
  <c r="A117" i="24"/>
  <c r="J116" i="24"/>
  <c r="A116" i="24"/>
  <c r="J115" i="24"/>
  <c r="A115" i="24"/>
  <c r="J114" i="24"/>
  <c r="A114" i="24"/>
  <c r="J113" i="24"/>
  <c r="F113" i="24"/>
  <c r="A113" i="24"/>
  <c r="J112" i="24"/>
  <c r="A112" i="24"/>
  <c r="J111" i="24"/>
  <c r="A111" i="24"/>
  <c r="J110" i="24"/>
  <c r="A110" i="24"/>
  <c r="J109" i="24"/>
  <c r="A109" i="24"/>
  <c r="J108" i="24"/>
  <c r="F108" i="24"/>
  <c r="A108" i="24"/>
  <c r="J107" i="24"/>
  <c r="F107" i="24"/>
  <c r="A107" i="24"/>
  <c r="J106" i="24"/>
  <c r="F106" i="24"/>
  <c r="A106" i="24"/>
  <c r="J105" i="24"/>
  <c r="A105" i="24"/>
  <c r="J104" i="24"/>
  <c r="A104" i="24"/>
  <c r="J103" i="24"/>
  <c r="A103" i="24"/>
  <c r="J102" i="24"/>
  <c r="A102" i="24"/>
  <c r="J101" i="24"/>
  <c r="A101" i="24"/>
  <c r="J100" i="24"/>
  <c r="A100" i="24"/>
  <c r="J99" i="24"/>
  <c r="A99" i="24"/>
  <c r="J98" i="24"/>
  <c r="A98" i="24"/>
  <c r="J97" i="24"/>
  <c r="A97" i="24"/>
  <c r="J96" i="24"/>
  <c r="A96" i="24"/>
  <c r="J95" i="24"/>
  <c r="A95" i="24"/>
  <c r="J94" i="24"/>
  <c r="A94" i="24"/>
  <c r="J93" i="24"/>
  <c r="A93" i="24"/>
  <c r="J92" i="24"/>
  <c r="A92" i="24"/>
  <c r="J91" i="24"/>
  <c r="F91" i="24"/>
  <c r="A91" i="24"/>
  <c r="J90" i="24"/>
  <c r="F90" i="24"/>
  <c r="A90" i="24"/>
  <c r="J89" i="24"/>
  <c r="A89" i="24"/>
  <c r="J88" i="24"/>
  <c r="A88" i="24"/>
  <c r="J87" i="24"/>
  <c r="A87" i="24"/>
  <c r="J86" i="24"/>
  <c r="F86" i="24"/>
  <c r="A86" i="24"/>
  <c r="J85" i="24"/>
  <c r="F85" i="24"/>
  <c r="A85" i="24"/>
  <c r="J84" i="24"/>
  <c r="F84" i="24"/>
  <c r="A84" i="24"/>
  <c r="J83" i="24"/>
  <c r="A83" i="24"/>
  <c r="J82" i="24"/>
  <c r="A82" i="24"/>
  <c r="J81" i="24"/>
  <c r="A81" i="24"/>
  <c r="J80" i="24"/>
  <c r="A80" i="24"/>
  <c r="J79" i="24"/>
  <c r="A79" i="24"/>
  <c r="J78" i="24"/>
  <c r="F78" i="24"/>
  <c r="A78" i="24"/>
  <c r="J77" i="24"/>
  <c r="A77" i="24"/>
  <c r="J76" i="24"/>
  <c r="A76" i="24"/>
  <c r="J75" i="24"/>
  <c r="A75" i="24"/>
  <c r="J74" i="24"/>
  <c r="A74" i="24"/>
  <c r="J73" i="24"/>
  <c r="J72" i="24"/>
  <c r="A72" i="24"/>
  <c r="J71" i="24"/>
  <c r="F71" i="24"/>
  <c r="F128" i="24" s="1"/>
  <c r="A71" i="24"/>
  <c r="J70" i="24"/>
  <c r="F70" i="24"/>
  <c r="A70" i="24"/>
  <c r="J69" i="24"/>
  <c r="F69" i="24"/>
  <c r="A69" i="24"/>
  <c r="J68" i="24"/>
  <c r="A68" i="24"/>
  <c r="J67" i="24"/>
  <c r="A67" i="24"/>
  <c r="J66" i="24"/>
  <c r="A66" i="24"/>
  <c r="J65" i="24"/>
  <c r="A65" i="24"/>
  <c r="J64" i="24"/>
  <c r="A64" i="24"/>
  <c r="J63" i="24"/>
  <c r="A63" i="24"/>
  <c r="J62" i="24"/>
  <c r="A62" i="24"/>
  <c r="J61" i="24"/>
  <c r="A61" i="24"/>
  <c r="J60" i="24"/>
  <c r="A60" i="24"/>
  <c r="J59" i="24"/>
  <c r="A59" i="24"/>
  <c r="J58" i="24"/>
  <c r="A58" i="24"/>
  <c r="J57" i="24"/>
  <c r="A57" i="24"/>
  <c r="J56" i="24"/>
  <c r="A56" i="24"/>
  <c r="J55" i="24"/>
  <c r="A55" i="24"/>
  <c r="J54" i="24"/>
  <c r="A54" i="24"/>
  <c r="J53" i="24"/>
  <c r="A53" i="24"/>
  <c r="J52" i="24"/>
  <c r="A52" i="24"/>
  <c r="J51" i="24"/>
  <c r="A51" i="24"/>
  <c r="J50" i="24"/>
  <c r="F50" i="24"/>
  <c r="A50" i="24"/>
  <c r="J49" i="24"/>
  <c r="F49" i="24"/>
  <c r="A49" i="24"/>
  <c r="J48" i="24"/>
  <c r="A48" i="24"/>
  <c r="J47" i="24"/>
  <c r="A47" i="24"/>
  <c r="J46" i="24"/>
  <c r="A46" i="24"/>
  <c r="J45" i="24"/>
  <c r="A45" i="24"/>
  <c r="J44" i="24"/>
  <c r="A44" i="24"/>
  <c r="J43" i="24"/>
  <c r="A43" i="24"/>
  <c r="J42" i="24"/>
  <c r="F42" i="24"/>
  <c r="A42" i="24"/>
  <c r="J41" i="24"/>
  <c r="A41" i="24"/>
  <c r="J40" i="24"/>
  <c r="A40" i="24"/>
  <c r="J39" i="24"/>
  <c r="A39" i="24"/>
  <c r="J38" i="24"/>
  <c r="A38" i="24"/>
  <c r="J37" i="24"/>
  <c r="A37" i="24"/>
  <c r="J36" i="24"/>
  <c r="A36" i="24"/>
  <c r="J35" i="24"/>
  <c r="A35" i="24"/>
  <c r="J34" i="24"/>
  <c r="A34" i="24"/>
  <c r="J33" i="24"/>
  <c r="A33" i="24"/>
  <c r="J32" i="24"/>
  <c r="A32" i="24"/>
  <c r="J31" i="24"/>
  <c r="A31" i="24"/>
  <c r="J30" i="24"/>
  <c r="A30" i="24"/>
  <c r="J29" i="24"/>
  <c r="A29" i="24"/>
  <c r="J28" i="24"/>
  <c r="A28" i="24"/>
  <c r="J27" i="24"/>
  <c r="F27" i="24"/>
  <c r="A27" i="24"/>
  <c r="J26" i="24"/>
  <c r="F26" i="24"/>
  <c r="A26" i="24"/>
  <c r="J25" i="24"/>
  <c r="A25" i="24"/>
  <c r="J24" i="24"/>
  <c r="A24" i="24"/>
  <c r="J23" i="24"/>
  <c r="A23" i="24"/>
  <c r="J22" i="24"/>
  <c r="A22" i="24"/>
  <c r="J21" i="24"/>
  <c r="A21" i="24"/>
  <c r="J20" i="24"/>
  <c r="A20" i="24"/>
  <c r="J19" i="24"/>
  <c r="F19" i="24"/>
  <c r="A19" i="24"/>
  <c r="J18" i="24"/>
  <c r="A18" i="24"/>
  <c r="J17" i="24"/>
  <c r="A17" i="24"/>
  <c r="J16" i="24"/>
  <c r="A16" i="24"/>
  <c r="J15" i="24"/>
  <c r="A15" i="24"/>
  <c r="J14" i="24"/>
  <c r="A14" i="24"/>
  <c r="J13" i="24"/>
  <c r="A13" i="24"/>
  <c r="J12" i="24"/>
  <c r="F12" i="24"/>
  <c r="A12" i="24"/>
  <c r="J11" i="24"/>
  <c r="F11" i="24"/>
  <c r="A11" i="24"/>
  <c r="J10" i="24"/>
  <c r="A10" i="24"/>
  <c r="J9" i="24"/>
  <c r="A9" i="24"/>
  <c r="J8" i="24"/>
  <c r="A8" i="24"/>
  <c r="J7" i="24"/>
  <c r="A7" i="24"/>
  <c r="J6" i="24"/>
  <c r="A6" i="24"/>
  <c r="J5" i="24"/>
  <c r="A5" i="24"/>
  <c r="J4" i="24"/>
  <c r="A4" i="24"/>
  <c r="J3" i="24"/>
  <c r="A3" i="24"/>
  <c r="J2" i="24"/>
  <c r="F2" i="24"/>
  <c r="A2" i="24"/>
  <c r="A37" i="23"/>
  <c r="A36" i="23"/>
  <c r="A35" i="23"/>
  <c r="A34" i="23"/>
  <c r="A31" i="23"/>
  <c r="A30" i="23"/>
  <c r="D28" i="23"/>
  <c r="A28" i="23"/>
  <c r="D27" i="23"/>
  <c r="A27" i="23"/>
  <c r="D26" i="23"/>
  <c r="A26" i="23"/>
  <c r="D25" i="23"/>
  <c r="A25" i="23"/>
  <c r="G12" i="23"/>
  <c r="F649" i="2"/>
  <c r="J656" i="2"/>
  <c r="J655" i="2"/>
  <c r="J654" i="2"/>
  <c r="J653" i="2"/>
  <c r="J652" i="2"/>
  <c r="J651" i="2"/>
  <c r="J650" i="2"/>
  <c r="J649" i="2"/>
  <c r="J648" i="2"/>
  <c r="J647" i="2"/>
  <c r="J646" i="2"/>
  <c r="J645" i="2"/>
  <c r="J644" i="2"/>
  <c r="J643" i="2"/>
  <c r="J642" i="2"/>
  <c r="J641" i="2"/>
  <c r="J640" i="2"/>
  <c r="J639" i="2"/>
  <c r="J638" i="2"/>
  <c r="J637" i="2"/>
  <c r="J636" i="2"/>
  <c r="J635" i="2"/>
  <c r="F635" i="2"/>
  <c r="J634" i="2"/>
  <c r="F634" i="2"/>
  <c r="J633" i="2"/>
  <c r="J632" i="2"/>
  <c r="J631" i="2"/>
  <c r="J630" i="2"/>
  <c r="J629" i="2"/>
  <c r="J628" i="2"/>
  <c r="J627" i="2"/>
  <c r="J626" i="2"/>
  <c r="J625" i="2"/>
  <c r="J624" i="2"/>
  <c r="J623" i="2"/>
  <c r="J622" i="2"/>
  <c r="J621" i="2"/>
  <c r="J620" i="2"/>
  <c r="J619" i="2"/>
  <c r="J618" i="2"/>
  <c r="J617" i="2"/>
  <c r="J616" i="2"/>
  <c r="J615" i="2"/>
  <c r="J614" i="2"/>
  <c r="J613" i="2"/>
  <c r="J612" i="2"/>
  <c r="F612" i="2"/>
  <c r="J611" i="2"/>
  <c r="F611" i="2"/>
  <c r="J610" i="2"/>
  <c r="J609" i="2"/>
  <c r="J608" i="2"/>
  <c r="J607" i="2"/>
  <c r="J606" i="2"/>
  <c r="J605" i="2"/>
  <c r="J604" i="2"/>
  <c r="J603" i="2"/>
  <c r="J602" i="2"/>
  <c r="J601" i="2"/>
  <c r="J600" i="2"/>
  <c r="F600" i="2"/>
  <c r="J599" i="2"/>
  <c r="F599" i="2"/>
  <c r="J598" i="2"/>
  <c r="J597" i="2"/>
  <c r="J596" i="2"/>
  <c r="J595" i="2"/>
  <c r="J594" i="2"/>
  <c r="J593" i="2"/>
  <c r="J592" i="2"/>
  <c r="J591" i="2"/>
  <c r="D26" i="11"/>
  <c r="A26" i="11"/>
  <c r="G33" i="23" l="1"/>
  <c r="I26" i="23"/>
  <c r="J25" i="23"/>
  <c r="J26" i="23"/>
  <c r="H26" i="23"/>
  <c r="M26" i="23" s="1"/>
  <c r="J27" i="23"/>
  <c r="I28" i="23"/>
  <c r="I25" i="23"/>
  <c r="I27" i="23"/>
  <c r="J28" i="23"/>
  <c r="H27" i="23"/>
  <c r="H28" i="23"/>
  <c r="M28" i="23" s="1"/>
  <c r="G27" i="23"/>
  <c r="F64" i="24"/>
  <c r="G30" i="23" s="1"/>
  <c r="G28" i="23"/>
  <c r="G37" i="23"/>
  <c r="G35" i="23"/>
  <c r="G36" i="23"/>
  <c r="G34" i="23"/>
  <c r="G26" i="23"/>
  <c r="G25" i="23"/>
  <c r="J909" i="2"/>
  <c r="J908" i="2"/>
  <c r="J907" i="2"/>
  <c r="J906" i="2"/>
  <c r="J905" i="2"/>
  <c r="J904" i="2"/>
  <c r="J892" i="2"/>
  <c r="J891" i="2"/>
  <c r="J890" i="2"/>
  <c r="J889" i="2"/>
  <c r="J888" i="2"/>
  <c r="J887" i="2"/>
  <c r="J874" i="2"/>
  <c r="J873" i="2"/>
  <c r="J872" i="2"/>
  <c r="J871" i="2"/>
  <c r="J870" i="2"/>
  <c r="J869" i="2"/>
  <c r="J868" i="2"/>
  <c r="J787" i="2"/>
  <c r="J786" i="2"/>
  <c r="J785" i="2"/>
  <c r="J784" i="2"/>
  <c r="J783" i="2"/>
  <c r="J782" i="2"/>
  <c r="J721" i="2"/>
  <c r="J720" i="2"/>
  <c r="J719" i="2"/>
  <c r="J718" i="2"/>
  <c r="J717" i="2"/>
  <c r="J716" i="2"/>
  <c r="J455" i="2"/>
  <c r="J454" i="2"/>
  <c r="J453" i="2"/>
  <c r="J452" i="2"/>
  <c r="J451" i="2"/>
  <c r="J450" i="2"/>
  <c r="J387" i="2"/>
  <c r="J386" i="2"/>
  <c r="J385" i="2"/>
  <c r="J384" i="2"/>
  <c r="J383" i="2"/>
  <c r="J382" i="2"/>
  <c r="J317" i="2"/>
  <c r="J316" i="2"/>
  <c r="J315" i="2"/>
  <c r="J314" i="2"/>
  <c r="J313" i="2"/>
  <c r="J312" i="2"/>
  <c r="J268" i="2"/>
  <c r="J267" i="2"/>
  <c r="J266" i="2"/>
  <c r="J265" i="2"/>
  <c r="J264" i="2"/>
  <c r="J263" i="2"/>
  <c r="J237" i="2"/>
  <c r="J236" i="2"/>
  <c r="J235" i="2"/>
  <c r="J234" i="2"/>
  <c r="J233" i="2"/>
  <c r="J232" i="2"/>
  <c r="F115" i="2"/>
  <c r="F98" i="2"/>
  <c r="F101" i="2"/>
  <c r="J99" i="2"/>
  <c r="A115" i="3"/>
  <c r="A114" i="3"/>
  <c r="A113" i="3"/>
  <c r="A112" i="3"/>
  <c r="A111" i="3"/>
  <c r="A110" i="3"/>
  <c r="J88" i="2"/>
  <c r="A88" i="2"/>
  <c r="J79" i="2"/>
  <c r="A79" i="2"/>
  <c r="J70" i="2"/>
  <c r="A70" i="2"/>
  <c r="J126" i="2"/>
  <c r="J125" i="2"/>
  <c r="J124" i="2"/>
  <c r="J123" i="2"/>
  <c r="J122" i="2"/>
  <c r="J121" i="2"/>
  <c r="A89" i="2"/>
  <c r="A87" i="2"/>
  <c r="A85" i="2"/>
  <c r="A84" i="2"/>
  <c r="A83" i="2"/>
  <c r="A82" i="2"/>
  <c r="A81" i="2"/>
  <c r="A80" i="2"/>
  <c r="A78" i="2"/>
  <c r="A76" i="2"/>
  <c r="A75" i="2"/>
  <c r="A74" i="2"/>
  <c r="A73" i="2"/>
  <c r="A72" i="2"/>
  <c r="A71"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4" i="2"/>
  <c r="A33" i="2"/>
  <c r="A32" i="2"/>
  <c r="A31" i="2"/>
  <c r="A30" i="2"/>
  <c r="A29" i="2"/>
  <c r="A28" i="2"/>
  <c r="A27" i="2"/>
  <c r="A26" i="2"/>
  <c r="F26" i="2" s="1"/>
  <c r="A25" i="2"/>
  <c r="F25" i="2" s="1"/>
  <c r="A24" i="2"/>
  <c r="A23" i="2"/>
  <c r="A21" i="2"/>
  <c r="A20" i="2"/>
  <c r="A19" i="2"/>
  <c r="A18" i="2"/>
  <c r="A17" i="2"/>
  <c r="A16" i="2"/>
  <c r="A14" i="2"/>
  <c r="A12" i="2"/>
  <c r="A11" i="2"/>
  <c r="A10" i="2"/>
  <c r="A9" i="2"/>
  <c r="A8" i="2"/>
  <c r="A7" i="2"/>
  <c r="A5" i="2"/>
  <c r="A3" i="2"/>
  <c r="J61" i="2"/>
  <c r="J60" i="2"/>
  <c r="J44" i="2"/>
  <c r="F33" i="2"/>
  <c r="F36" i="2"/>
  <c r="J34" i="2"/>
  <c r="A109" i="3"/>
  <c r="A108" i="3"/>
  <c r="A107" i="3"/>
  <c r="A106" i="3"/>
  <c r="A105" i="3"/>
  <c r="A104" i="3"/>
  <c r="J25" i="2"/>
  <c r="G31" i="23" l="1"/>
  <c r="G32" i="23"/>
  <c r="L27" i="23"/>
  <c r="L26" i="23"/>
  <c r="M27" i="23"/>
  <c r="R27" i="23"/>
  <c r="U27" i="23"/>
  <c r="U28" i="23"/>
  <c r="R28" i="23"/>
  <c r="R26" i="23"/>
  <c r="U26" i="23"/>
  <c r="L28" i="23"/>
  <c r="K26" i="23"/>
  <c r="K27" i="23"/>
  <c r="K28" i="23"/>
  <c r="K25" i="23"/>
  <c r="A35" i="11"/>
  <c r="K1" i="20" l="1"/>
  <c r="G38" i="23"/>
  <c r="D6" i="23" s="1"/>
  <c r="S25" i="23"/>
  <c r="V25" i="23"/>
  <c r="S28" i="23"/>
  <c r="V28" i="23"/>
  <c r="W28" i="23" s="1"/>
  <c r="V26" i="23"/>
  <c r="W26" i="23" s="1"/>
  <c r="S26" i="23"/>
  <c r="T26" i="23" s="1"/>
  <c r="V27" i="23"/>
  <c r="S27" i="23"/>
  <c r="N5" i="20"/>
  <c r="AT5" i="20"/>
  <c r="A6" i="20"/>
  <c r="AO6" i="20"/>
  <c r="AQ6" i="20"/>
  <c r="AR6" i="20"/>
  <c r="AS6" i="20"/>
  <c r="AT6" i="20"/>
  <c r="A7" i="20"/>
  <c r="AO7" i="20"/>
  <c r="AQ7" i="20"/>
  <c r="AR7" i="20"/>
  <c r="AS7" i="20"/>
  <c r="AT7" i="20"/>
  <c r="A8" i="20"/>
  <c r="AO8" i="20"/>
  <c r="AQ8" i="20"/>
  <c r="AR8" i="20"/>
  <c r="AS8" i="20"/>
  <c r="AT8" i="20"/>
  <c r="A9" i="20"/>
  <c r="AO9" i="20"/>
  <c r="AQ9" i="20"/>
  <c r="AR9" i="20"/>
  <c r="AS9" i="20"/>
  <c r="AT9" i="20"/>
  <c r="A10" i="20"/>
  <c r="AU10" i="20"/>
  <c r="AO10" i="20"/>
  <c r="AQ10" i="20"/>
  <c r="AR10" i="20"/>
  <c r="AS10" i="20"/>
  <c r="AT10" i="20"/>
  <c r="A11" i="20"/>
  <c r="AO11" i="20"/>
  <c r="AQ11" i="20"/>
  <c r="AR11" i="20"/>
  <c r="AS11" i="20"/>
  <c r="AT11" i="20"/>
  <c r="AZ11" i="20"/>
  <c r="BA11" i="20" s="1"/>
  <c r="A12" i="20"/>
  <c r="AR12" i="20"/>
  <c r="AU12" i="20"/>
  <c r="AO12" i="20"/>
  <c r="AQ12" i="20"/>
  <c r="AS12" i="20"/>
  <c r="AT12" i="20"/>
  <c r="A13" i="20"/>
  <c r="BA13" i="20"/>
  <c r="AO13" i="20"/>
  <c r="AQ13" i="20"/>
  <c r="AR13" i="20"/>
  <c r="AS13" i="20"/>
  <c r="AT13" i="20"/>
  <c r="AZ13" i="20"/>
  <c r="A14" i="20"/>
  <c r="AR14" i="20"/>
  <c r="AO14" i="20"/>
  <c r="AQ14" i="20"/>
  <c r="AT14" i="20"/>
  <c r="BG14" i="20"/>
  <c r="A15" i="20"/>
  <c r="BG15" i="20"/>
  <c r="AO15" i="20"/>
  <c r="AQ15" i="20"/>
  <c r="AR15" i="20"/>
  <c r="AS15" i="20"/>
  <c r="AT15" i="20"/>
  <c r="AU15" i="20"/>
  <c r="A16" i="20"/>
  <c r="AR16" i="20"/>
  <c r="AO16" i="20"/>
  <c r="AQ16" i="20"/>
  <c r="AT16" i="20"/>
  <c r="BG16" i="20"/>
  <c r="A17" i="20"/>
  <c r="AR17" i="20"/>
  <c r="BG17" i="20"/>
  <c r="AV17" i="20"/>
  <c r="AO17" i="20"/>
  <c r="AQ17" i="20"/>
  <c r="AS17" i="20"/>
  <c r="AT17" i="20"/>
  <c r="AU17" i="20"/>
  <c r="A18" i="20"/>
  <c r="AU18" i="20"/>
  <c r="AV18" i="20" s="1"/>
  <c r="AO18" i="20"/>
  <c r="AQ18" i="20"/>
  <c r="AR18" i="20"/>
  <c r="AS18" i="20"/>
  <c r="AT18" i="20"/>
  <c r="BG18" i="20"/>
  <c r="A19" i="20"/>
  <c r="AR19" i="20"/>
  <c r="AO19" i="20"/>
  <c r="AQ19" i="20"/>
  <c r="AS19" i="20"/>
  <c r="AT19" i="20"/>
  <c r="BG19" i="20"/>
  <c r="A20" i="20"/>
  <c r="AO20" i="20"/>
  <c r="AQ20" i="20"/>
  <c r="AR20" i="20"/>
  <c r="AS20" i="20"/>
  <c r="AT20" i="20"/>
  <c r="AU20" i="20"/>
  <c r="BG20" i="20"/>
  <c r="A21" i="20"/>
  <c r="AO21" i="20"/>
  <c r="AQ21" i="20"/>
  <c r="AR21" i="20"/>
  <c r="AS21" i="20"/>
  <c r="AT21" i="20"/>
  <c r="AU21" i="20"/>
  <c r="AV21" i="20"/>
  <c r="BG21" i="20"/>
  <c r="A22" i="20"/>
  <c r="AO22" i="20"/>
  <c r="AQ22" i="20"/>
  <c r="AR22" i="20"/>
  <c r="AS22" i="20"/>
  <c r="AT22" i="20"/>
  <c r="AU22" i="20"/>
  <c r="BG22" i="20"/>
  <c r="A23" i="20"/>
  <c r="AR23" i="20"/>
  <c r="AO23" i="20"/>
  <c r="AQ23" i="20"/>
  <c r="AS23" i="20"/>
  <c r="AT23" i="20"/>
  <c r="AU23" i="20"/>
  <c r="A24" i="20"/>
  <c r="AR24" i="20"/>
  <c r="AO24" i="20"/>
  <c r="AQ24" i="20"/>
  <c r="AT24" i="20"/>
  <c r="A25" i="20"/>
  <c r="AS25" i="20"/>
  <c r="AO25" i="20"/>
  <c r="AQ25" i="20"/>
  <c r="AR25" i="20"/>
  <c r="AT25" i="20"/>
  <c r="A26" i="20"/>
  <c r="AR26" i="20"/>
  <c r="AO26" i="20"/>
  <c r="AQ26" i="20"/>
  <c r="AS26" i="20"/>
  <c r="AT26" i="20"/>
  <c r="AU26" i="20"/>
  <c r="A27" i="20"/>
  <c r="AR27" i="20"/>
  <c r="AU27" i="20"/>
  <c r="AO27" i="20"/>
  <c r="AQ27" i="20"/>
  <c r="AS27" i="20"/>
  <c r="AT27" i="20"/>
  <c r="A28" i="20"/>
  <c r="AR28" i="20"/>
  <c r="AU28" i="20"/>
  <c r="AO28" i="20"/>
  <c r="AQ28" i="20"/>
  <c r="AS28" i="20"/>
  <c r="AT28" i="20"/>
  <c r="A29" i="20"/>
  <c r="AO29" i="20"/>
  <c r="AQ29" i="20"/>
  <c r="AR29" i="20"/>
  <c r="AS29" i="20"/>
  <c r="AT29" i="20"/>
  <c r="AU29" i="20"/>
  <c r="A30" i="20"/>
  <c r="AR30" i="20"/>
  <c r="AO30" i="20"/>
  <c r="AQ30" i="20"/>
  <c r="AS30" i="20"/>
  <c r="AT30" i="20"/>
  <c r="A31" i="20"/>
  <c r="AO31" i="20"/>
  <c r="AQ31" i="20"/>
  <c r="AR31" i="20"/>
  <c r="AT31" i="20"/>
  <c r="A32" i="20"/>
  <c r="AU32" i="20"/>
  <c r="AO32" i="20"/>
  <c r="AQ32" i="20"/>
  <c r="AR32" i="20"/>
  <c r="AS32" i="20"/>
  <c r="AT32" i="20"/>
  <c r="A33" i="20"/>
  <c r="AR33" i="20"/>
  <c r="AO33" i="20"/>
  <c r="AQ33" i="20"/>
  <c r="AS33" i="20"/>
  <c r="AT33" i="20"/>
  <c r="A34" i="20"/>
  <c r="AU34" i="20"/>
  <c r="AO34" i="20"/>
  <c r="AQ34" i="20"/>
  <c r="AR34" i="20"/>
  <c r="AS34" i="20"/>
  <c r="AT34" i="20"/>
  <c r="A35" i="20"/>
  <c r="AR35" i="20"/>
  <c r="AO35" i="20"/>
  <c r="AQ35" i="20"/>
  <c r="AS35" i="20"/>
  <c r="AT35" i="20"/>
  <c r="AZ35" i="20"/>
  <c r="BD35" i="20"/>
  <c r="A36" i="20"/>
  <c r="AO36" i="20"/>
  <c r="AQ36" i="20"/>
  <c r="AR36" i="20"/>
  <c r="AS36" i="20"/>
  <c r="AT36" i="20"/>
  <c r="AZ36" i="20"/>
  <c r="BA36" i="20" s="1"/>
  <c r="BD36" i="20"/>
  <c r="A37" i="20"/>
  <c r="AO37" i="20"/>
  <c r="AQ37" i="20"/>
  <c r="AR37" i="20"/>
  <c r="AS37" i="20"/>
  <c r="AT37" i="20"/>
  <c r="AZ37" i="20"/>
  <c r="BA37" i="20" s="1"/>
  <c r="BB37" i="20" s="1"/>
  <c r="BD37" i="20"/>
  <c r="A38" i="20"/>
  <c r="AO38" i="20"/>
  <c r="AQ38" i="20"/>
  <c r="AR38" i="20"/>
  <c r="AS38" i="20"/>
  <c r="AT38" i="20"/>
  <c r="AZ38" i="20"/>
  <c r="BD38" i="20"/>
  <c r="A39" i="20"/>
  <c r="AR39" i="20"/>
  <c r="AO39" i="20"/>
  <c r="AQ39" i="20"/>
  <c r="AS39" i="20"/>
  <c r="AT39" i="20"/>
  <c r="AZ39" i="20"/>
  <c r="BD39" i="20"/>
  <c r="A40" i="20"/>
  <c r="AO40" i="20"/>
  <c r="AQ40" i="20"/>
  <c r="AR40" i="20"/>
  <c r="AS40" i="20"/>
  <c r="AT40" i="20"/>
  <c r="AZ40" i="20"/>
  <c r="BD40" i="20"/>
  <c r="A41" i="20"/>
  <c r="BA41" i="20"/>
  <c r="AO41" i="20"/>
  <c r="AQ41" i="20"/>
  <c r="AR41" i="20"/>
  <c r="AS41" i="20"/>
  <c r="AT41" i="20"/>
  <c r="AZ41" i="20"/>
  <c r="BD41" i="20"/>
  <c r="A42" i="20"/>
  <c r="AR42" i="20"/>
  <c r="AO42" i="20"/>
  <c r="AQ42" i="20"/>
  <c r="AS42" i="20"/>
  <c r="AT42" i="20"/>
  <c r="AU42" i="20"/>
  <c r="AZ42" i="20"/>
  <c r="BA42" i="20" s="1"/>
  <c r="BD42" i="20"/>
  <c r="A43" i="20"/>
  <c r="AO43" i="20"/>
  <c r="AQ43" i="20"/>
  <c r="AR43" i="20"/>
  <c r="AS43" i="20"/>
  <c r="AT43" i="20"/>
  <c r="AU43" i="20" s="1"/>
  <c r="A44" i="20"/>
  <c r="AR44" i="20"/>
  <c r="AZ44" i="20"/>
  <c r="AO44" i="20"/>
  <c r="AQ44" i="20"/>
  <c r="AS44" i="20"/>
  <c r="AT44" i="20"/>
  <c r="A45" i="20"/>
  <c r="AO45" i="20"/>
  <c r="AQ45" i="20"/>
  <c r="AR45" i="20"/>
  <c r="AS45" i="20"/>
  <c r="AT45" i="20"/>
  <c r="AZ45" i="20"/>
  <c r="A46" i="20"/>
  <c r="AR46" i="20"/>
  <c r="AO46" i="20"/>
  <c r="AQ46" i="20"/>
  <c r="AT46" i="20"/>
  <c r="A47" i="20"/>
  <c r="AO47" i="20"/>
  <c r="AQ47" i="20"/>
  <c r="AR47" i="20"/>
  <c r="AS47" i="20"/>
  <c r="AT47" i="20"/>
  <c r="AZ47" i="20"/>
  <c r="A48" i="20"/>
  <c r="AR48" i="20"/>
  <c r="AS48" i="20"/>
  <c r="AO48" i="20"/>
  <c r="AQ48" i="20"/>
  <c r="AT48" i="20"/>
  <c r="A49" i="20"/>
  <c r="AO49" i="20"/>
  <c r="AQ49" i="20"/>
  <c r="AR49" i="20"/>
  <c r="AS49" i="20"/>
  <c r="AT49" i="20"/>
  <c r="A50" i="20"/>
  <c r="AR50" i="20"/>
  <c r="AO50" i="20"/>
  <c r="AQ50" i="20"/>
  <c r="AT50" i="20"/>
  <c r="A51" i="20"/>
  <c r="AR51" i="20"/>
  <c r="AO51" i="20"/>
  <c r="AQ51" i="20"/>
  <c r="AS51" i="20"/>
  <c r="AT51" i="20"/>
  <c r="A52" i="20"/>
  <c r="AR52" i="20"/>
  <c r="AO52" i="20"/>
  <c r="AQ52" i="20"/>
  <c r="AS52" i="20"/>
  <c r="AT52" i="20"/>
  <c r="A53" i="20"/>
  <c r="AR53" i="20"/>
  <c r="AW53" i="20"/>
  <c r="AO53" i="20"/>
  <c r="AQ53" i="20"/>
  <c r="AS53" i="20"/>
  <c r="AT53" i="20"/>
  <c r="AU53" i="20"/>
  <c r="AV53" i="20"/>
  <c r="AX53" i="20"/>
  <c r="AY53" i="20"/>
  <c r="AZ53" i="20"/>
  <c r="BA53" i="20"/>
  <c r="BB53" i="20"/>
  <c r="BC53" i="20"/>
  <c r="BD53" i="20"/>
  <c r="BG53" i="20"/>
  <c r="BH53" i="20"/>
  <c r="A54" i="20"/>
  <c r="AR54" i="20"/>
  <c r="AW54" i="20"/>
  <c r="AO54" i="20"/>
  <c r="AQ54" i="20"/>
  <c r="AS54" i="20"/>
  <c r="AT54" i="20"/>
  <c r="AU54" i="20"/>
  <c r="AV54" i="20"/>
  <c r="AX54" i="20"/>
  <c r="AY54" i="20"/>
  <c r="AZ54" i="20"/>
  <c r="BA54" i="20"/>
  <c r="BB54" i="20"/>
  <c r="BC54" i="20"/>
  <c r="BD54" i="20"/>
  <c r="BG54" i="20"/>
  <c r="BH54" i="20"/>
  <c r="A55" i="20"/>
  <c r="AR55" i="20"/>
  <c r="AZ55" i="20"/>
  <c r="AO55" i="20"/>
  <c r="AQ55" i="20"/>
  <c r="AS55" i="20"/>
  <c r="AT55" i="20"/>
  <c r="AU55" i="20"/>
  <c r="AV55" i="20"/>
  <c r="AX55" i="20"/>
  <c r="AY55" i="20"/>
  <c r="BA55" i="20"/>
  <c r="BB55" i="20"/>
  <c r="BC55" i="20"/>
  <c r="BD55" i="20"/>
  <c r="BG55" i="20"/>
  <c r="BH55" i="20"/>
  <c r="BI55" i="20"/>
  <c r="A56" i="20"/>
  <c r="AR56" i="20"/>
  <c r="AY56" i="20"/>
  <c r="AO56" i="20"/>
  <c r="AQ56" i="20"/>
  <c r="AS56" i="20"/>
  <c r="AT56" i="20"/>
  <c r="AU56" i="20"/>
  <c r="AV56" i="20"/>
  <c r="AX56" i="20"/>
  <c r="BA56" i="20"/>
  <c r="BB56" i="20"/>
  <c r="BC56" i="20"/>
  <c r="BD56" i="20"/>
  <c r="A57" i="20"/>
  <c r="AR57" i="20"/>
  <c r="AY57" i="20"/>
  <c r="AO57" i="20"/>
  <c r="AQ57" i="20"/>
  <c r="AS57" i="20"/>
  <c r="AT57" i="20"/>
  <c r="AU57" i="20"/>
  <c r="AV57" i="20"/>
  <c r="AX57" i="20"/>
  <c r="BA57" i="20"/>
  <c r="BB57" i="20"/>
  <c r="BC57" i="20"/>
  <c r="BD57" i="20"/>
  <c r="A58" i="20"/>
  <c r="AR58" i="20"/>
  <c r="AY58" i="20"/>
  <c r="AO58" i="20"/>
  <c r="AQ58" i="20"/>
  <c r="AS58" i="20"/>
  <c r="AT58" i="20"/>
  <c r="AU58" i="20"/>
  <c r="AV58" i="20"/>
  <c r="AX58" i="20"/>
  <c r="BA58" i="20"/>
  <c r="BB58" i="20"/>
  <c r="BC58" i="20"/>
  <c r="BD58" i="20"/>
  <c r="A59" i="20"/>
  <c r="AU59" i="20"/>
  <c r="AO59" i="20"/>
  <c r="AQ59" i="20"/>
  <c r="AR59" i="20"/>
  <c r="AS59" i="20"/>
  <c r="AT59" i="20"/>
  <c r="BG59" i="20"/>
  <c r="A60" i="20"/>
  <c r="AO60" i="20"/>
  <c r="AQ60" i="20"/>
  <c r="AR60" i="20"/>
  <c r="AT60" i="20"/>
  <c r="A61" i="20"/>
  <c r="AO61" i="20"/>
  <c r="AQ61" i="20"/>
  <c r="AR61" i="20"/>
  <c r="AS61" i="20"/>
  <c r="AT61" i="20"/>
  <c r="A62" i="20"/>
  <c r="AO62" i="20"/>
  <c r="AQ62" i="20"/>
  <c r="AR62" i="20"/>
  <c r="AS62" i="20"/>
  <c r="AT62" i="20"/>
  <c r="A63" i="20"/>
  <c r="AS63" i="20"/>
  <c r="AO63" i="20"/>
  <c r="AQ63" i="20"/>
  <c r="AR63" i="20"/>
  <c r="AT63" i="20"/>
  <c r="BG63" i="20"/>
  <c r="A64" i="20"/>
  <c r="BG64" i="20"/>
  <c r="AO64" i="20"/>
  <c r="AQ64" i="20"/>
  <c r="AR64" i="20"/>
  <c r="AT64" i="20"/>
  <c r="A65" i="20"/>
  <c r="AS65" i="20"/>
  <c r="AO65" i="20"/>
  <c r="AQ65" i="20"/>
  <c r="AR65" i="20"/>
  <c r="AT65" i="20"/>
  <c r="A66" i="20"/>
  <c r="BG66" i="20"/>
  <c r="AO66" i="20"/>
  <c r="AQ66" i="20"/>
  <c r="AR66" i="20"/>
  <c r="AT66" i="20"/>
  <c r="A67" i="20"/>
  <c r="AR67" i="20"/>
  <c r="AS67" i="20"/>
  <c r="AO67" i="20"/>
  <c r="AQ67" i="20"/>
  <c r="AT67" i="20"/>
  <c r="A68" i="20"/>
  <c r="BG68" i="20"/>
  <c r="AO68" i="20"/>
  <c r="AQ68" i="20"/>
  <c r="AR68" i="20"/>
  <c r="AT68" i="20"/>
  <c r="A69" i="20"/>
  <c r="AS69" i="20"/>
  <c r="AO69" i="20"/>
  <c r="AQ69" i="20"/>
  <c r="AR69" i="20"/>
  <c r="AT69" i="20"/>
  <c r="A70" i="20"/>
  <c r="BG70" i="20"/>
  <c r="AO70" i="20"/>
  <c r="AQ70" i="20"/>
  <c r="AR70" i="20"/>
  <c r="AT70" i="20"/>
  <c r="A71" i="20"/>
  <c r="AR71" i="20"/>
  <c r="AS71" i="20"/>
  <c r="AO71" i="20"/>
  <c r="AQ71" i="20"/>
  <c r="AT71" i="20"/>
  <c r="A72" i="20"/>
  <c r="AR72" i="20"/>
  <c r="AU72" i="20"/>
  <c r="AO72" i="20"/>
  <c r="AQ72" i="20"/>
  <c r="AT72" i="20"/>
  <c r="A73" i="20"/>
  <c r="AR73" i="20"/>
  <c r="AO73" i="20"/>
  <c r="AQ73" i="20"/>
  <c r="AT73" i="20"/>
  <c r="A74" i="20"/>
  <c r="AO74" i="20"/>
  <c r="AQ74" i="20"/>
  <c r="AR74" i="20"/>
  <c r="AT74" i="20"/>
  <c r="A75" i="20"/>
  <c r="AO75" i="20"/>
  <c r="AQ75" i="20"/>
  <c r="AR75" i="20"/>
  <c r="AT75" i="20"/>
  <c r="A76" i="20"/>
  <c r="AS76" i="20"/>
  <c r="AO76" i="20"/>
  <c r="AQ76" i="20"/>
  <c r="AR76" i="20"/>
  <c r="AT76" i="20"/>
  <c r="BG76" i="20"/>
  <c r="A77" i="20"/>
  <c r="AR77" i="20"/>
  <c r="AO77" i="20"/>
  <c r="AQ77" i="20"/>
  <c r="AS77" i="20"/>
  <c r="AT77" i="20"/>
  <c r="AU77" i="20"/>
  <c r="AV77" i="20" s="1"/>
  <c r="BG77" i="20"/>
  <c r="A78" i="20"/>
  <c r="AR78" i="20"/>
  <c r="AS78" i="20"/>
  <c r="AO78" i="20"/>
  <c r="AQ78" i="20"/>
  <c r="AT78" i="20"/>
  <c r="BG78" i="20"/>
  <c r="A79" i="20"/>
  <c r="AO79" i="20"/>
  <c r="AQ79" i="20"/>
  <c r="AR79" i="20"/>
  <c r="AS79" i="20"/>
  <c r="AT79" i="20"/>
  <c r="AU79" i="20"/>
  <c r="BG79" i="20"/>
  <c r="A80" i="20"/>
  <c r="BG80" i="20"/>
  <c r="AO80" i="20"/>
  <c r="AQ80" i="20"/>
  <c r="AR80" i="20"/>
  <c r="AT80" i="20"/>
  <c r="A81" i="20"/>
  <c r="AR81" i="20"/>
  <c r="AS81" i="20"/>
  <c r="AO81" i="20"/>
  <c r="AQ81" i="20"/>
  <c r="AT81" i="20"/>
  <c r="A82" i="20"/>
  <c r="BG82" i="20"/>
  <c r="AO82" i="20"/>
  <c r="AQ82" i="20"/>
  <c r="AR82" i="20"/>
  <c r="AT82" i="20"/>
  <c r="A83" i="20"/>
  <c r="AS83" i="20"/>
  <c r="AO83" i="20"/>
  <c r="AQ83" i="20"/>
  <c r="AR83" i="20"/>
  <c r="AT83" i="20"/>
  <c r="A84" i="20"/>
  <c r="BG84" i="20"/>
  <c r="AO84" i="20"/>
  <c r="AQ84" i="20"/>
  <c r="AR84" i="20"/>
  <c r="AT84" i="20"/>
  <c r="A85" i="20"/>
  <c r="AS85" i="20"/>
  <c r="AO85" i="20"/>
  <c r="AQ85" i="20"/>
  <c r="AR85" i="20"/>
  <c r="AT85" i="20"/>
  <c r="A86" i="20"/>
  <c r="AO86" i="20"/>
  <c r="AQ86" i="20"/>
  <c r="AR86" i="20"/>
  <c r="AS86" i="20"/>
  <c r="AT86" i="20"/>
  <c r="AU86" i="20"/>
  <c r="BG86" i="20"/>
  <c r="A87" i="20"/>
  <c r="AO87" i="20"/>
  <c r="AQ87" i="20"/>
  <c r="AR87" i="20"/>
  <c r="AS87" i="20"/>
  <c r="AT87" i="20"/>
  <c r="AU87" i="20"/>
  <c r="BG87" i="20"/>
  <c r="A88" i="20"/>
  <c r="AO88" i="20"/>
  <c r="AQ88" i="20"/>
  <c r="AR88" i="20"/>
  <c r="AS88" i="20"/>
  <c r="AT88" i="20"/>
  <c r="AU88" i="20"/>
  <c r="BG88" i="20"/>
  <c r="A89" i="20"/>
  <c r="AU89" i="20"/>
  <c r="AO89" i="20"/>
  <c r="AQ89" i="20"/>
  <c r="AR89" i="20"/>
  <c r="AS89" i="20"/>
  <c r="AT89" i="20"/>
  <c r="BG89" i="20"/>
  <c r="A90" i="20"/>
  <c r="AR90" i="20"/>
  <c r="AO90" i="20"/>
  <c r="AQ90" i="20"/>
  <c r="AT90" i="20"/>
  <c r="A91" i="20"/>
  <c r="AR91" i="20"/>
  <c r="AO91" i="20"/>
  <c r="AQ91" i="20"/>
  <c r="AS91" i="20"/>
  <c r="AT91" i="20"/>
  <c r="BG91" i="20"/>
  <c r="A92" i="20"/>
  <c r="AR92" i="20"/>
  <c r="AO92" i="20"/>
  <c r="AQ92" i="20"/>
  <c r="AT92" i="20"/>
  <c r="A93" i="20"/>
  <c r="AO93" i="20"/>
  <c r="AQ93" i="20"/>
  <c r="AR93" i="20"/>
  <c r="AS93" i="20"/>
  <c r="AT93" i="20"/>
  <c r="A94" i="20"/>
  <c r="AU94" i="20"/>
  <c r="AO94" i="20"/>
  <c r="AQ94" i="20"/>
  <c r="AR94" i="20"/>
  <c r="AS94" i="20"/>
  <c r="AT94" i="20"/>
  <c r="A95" i="20"/>
  <c r="AR95" i="20"/>
  <c r="AO95" i="20"/>
  <c r="AQ95" i="20"/>
  <c r="AS95" i="20"/>
  <c r="AT95" i="20"/>
  <c r="A96" i="20"/>
  <c r="AO96" i="20"/>
  <c r="AQ96" i="20"/>
  <c r="AR96" i="20"/>
  <c r="AS96" i="20"/>
  <c r="AT96" i="20"/>
  <c r="A97" i="20"/>
  <c r="AO97" i="20"/>
  <c r="AQ97" i="20"/>
  <c r="AR97" i="20"/>
  <c r="AS97" i="20"/>
  <c r="AT97" i="20"/>
  <c r="A98" i="20"/>
  <c r="AO98" i="20"/>
  <c r="AQ98" i="20"/>
  <c r="AR98" i="20"/>
  <c r="AS98" i="20"/>
  <c r="AT98" i="20"/>
  <c r="A99" i="20"/>
  <c r="AR99" i="20"/>
  <c r="AO99" i="20"/>
  <c r="AQ99" i="20"/>
  <c r="AS99" i="20"/>
  <c r="AT99" i="20"/>
  <c r="A100" i="20"/>
  <c r="AR100" i="20"/>
  <c r="AO100" i="20"/>
  <c r="AQ100" i="20"/>
  <c r="AS100" i="20"/>
  <c r="AT100" i="20"/>
  <c r="A101" i="20"/>
  <c r="AR101" i="20"/>
  <c r="AS101" i="20"/>
  <c r="AO101" i="20"/>
  <c r="AQ101" i="20"/>
  <c r="AT101" i="20"/>
  <c r="A102" i="20"/>
  <c r="AO102" i="20"/>
  <c r="AQ102" i="20"/>
  <c r="AR102" i="20"/>
  <c r="AS102" i="20"/>
  <c r="AT102" i="20"/>
  <c r="A103" i="20"/>
  <c r="AR103" i="20"/>
  <c r="AO103" i="20"/>
  <c r="AQ103" i="20"/>
  <c r="AS103" i="20"/>
  <c r="AT103" i="20"/>
  <c r="AU103" i="20" s="1"/>
  <c r="A104" i="20"/>
  <c r="AO104" i="20"/>
  <c r="AQ104" i="20"/>
  <c r="AR104" i="20"/>
  <c r="AS104" i="20"/>
  <c r="AT104" i="20"/>
  <c r="A105" i="20"/>
  <c r="AR105" i="20"/>
  <c r="AO105" i="20"/>
  <c r="AQ105" i="20"/>
  <c r="AS105" i="20"/>
  <c r="AT105" i="20"/>
  <c r="A106" i="20"/>
  <c r="AO106" i="20"/>
  <c r="AQ106" i="20"/>
  <c r="AR106" i="20"/>
  <c r="AS106" i="20"/>
  <c r="AT106" i="20"/>
  <c r="A107" i="20"/>
  <c r="AR107" i="20"/>
  <c r="AU107" i="20"/>
  <c r="AO107" i="20"/>
  <c r="AQ107" i="20"/>
  <c r="AS107" i="20"/>
  <c r="AT107" i="20"/>
  <c r="A108" i="20"/>
  <c r="AO108" i="20"/>
  <c r="AQ108" i="20"/>
  <c r="AR108" i="20"/>
  <c r="AS108" i="20"/>
  <c r="AT108" i="20"/>
  <c r="A109" i="20"/>
  <c r="AR109" i="20"/>
  <c r="AO109" i="20"/>
  <c r="AQ109" i="20"/>
  <c r="AS109" i="20"/>
  <c r="AT109" i="20"/>
  <c r="A110" i="20"/>
  <c r="AR110" i="20"/>
  <c r="AZ110" i="20"/>
  <c r="AO110" i="20"/>
  <c r="AQ110" i="20"/>
  <c r="AT110" i="20"/>
  <c r="AU110" i="20"/>
  <c r="AW110" i="20"/>
  <c r="AX110" i="20"/>
  <c r="AY110" i="20"/>
  <c r="BB110" i="20"/>
  <c r="BC110" i="20"/>
  <c r="BG110" i="20"/>
  <c r="A111" i="20"/>
  <c r="AR111" i="20"/>
  <c r="AZ111" i="20"/>
  <c r="AO111" i="20"/>
  <c r="AQ111" i="20"/>
  <c r="AT111" i="20"/>
  <c r="AU111" i="20"/>
  <c r="AW111" i="20"/>
  <c r="AX111" i="20"/>
  <c r="AY111" i="20"/>
  <c r="BB111" i="20"/>
  <c r="BC111" i="20"/>
  <c r="BG111" i="20"/>
  <c r="A112" i="20"/>
  <c r="AR112" i="20"/>
  <c r="AZ112" i="20"/>
  <c r="AO112" i="20"/>
  <c r="AQ112" i="20"/>
  <c r="AT112" i="20"/>
  <c r="AU112" i="20"/>
  <c r="AW112" i="20"/>
  <c r="AX112" i="20"/>
  <c r="AY112" i="20"/>
  <c r="BB112" i="20"/>
  <c r="BC112" i="20"/>
  <c r="BG112" i="20"/>
  <c r="A113" i="20"/>
  <c r="AR113" i="20"/>
  <c r="AZ113" i="20"/>
  <c r="AO113" i="20"/>
  <c r="AQ113" i="20"/>
  <c r="AT113" i="20"/>
  <c r="AU113" i="20"/>
  <c r="AV113" i="20"/>
  <c r="AW113" i="20"/>
  <c r="AX113" i="20"/>
  <c r="AY113" i="20"/>
  <c r="BB113" i="20"/>
  <c r="BC113" i="20"/>
  <c r="BD113" i="20"/>
  <c r="BE113" i="20"/>
  <c r="BF113" i="20" s="1"/>
  <c r="BG113" i="20"/>
  <c r="A114" i="20"/>
  <c r="AO114" i="20"/>
  <c r="AQ114" i="20"/>
  <c r="AR114" i="20"/>
  <c r="AT114" i="20"/>
  <c r="AU114" i="20"/>
  <c r="AV114" i="20"/>
  <c r="AW114" i="20"/>
  <c r="AY114" i="20"/>
  <c r="AZ114" i="20"/>
  <c r="BB114" i="20"/>
  <c r="BC114" i="20"/>
  <c r="BD114" i="20"/>
  <c r="BE114" i="20" s="1"/>
  <c r="BF114" i="20" s="1"/>
  <c r="BH114" i="20"/>
  <c r="A115" i="20"/>
  <c r="AU115" i="20"/>
  <c r="AO115" i="20"/>
  <c r="AQ115" i="20"/>
  <c r="AR115" i="20"/>
  <c r="AT115" i="20"/>
  <c r="AY115" i="20"/>
  <c r="AZ115" i="20"/>
  <c r="BB115" i="20"/>
  <c r="BC115" i="20"/>
  <c r="BH115" i="20"/>
  <c r="A116" i="20"/>
  <c r="AR116" i="20"/>
  <c r="AO116" i="20"/>
  <c r="AQ116" i="20"/>
  <c r="AT116" i="20"/>
  <c r="AU116" i="20"/>
  <c r="AV116" i="20"/>
  <c r="AW116" i="20"/>
  <c r="AX116" i="20"/>
  <c r="AY116" i="20"/>
  <c r="AZ116" i="20"/>
  <c r="BB116" i="20"/>
  <c r="BC116" i="20"/>
  <c r="BD116" i="20"/>
  <c r="BE116" i="20"/>
  <c r="BF116" i="20"/>
  <c r="BG116" i="20"/>
  <c r="BH116" i="20"/>
  <c r="A117" i="20"/>
  <c r="AO117" i="20"/>
  <c r="AQ117" i="20"/>
  <c r="AR117" i="20"/>
  <c r="AT117" i="20"/>
  <c r="AU117" i="20"/>
  <c r="AV117" i="20"/>
  <c r="AX117" i="20"/>
  <c r="AZ117" i="20"/>
  <c r="BB117" i="20"/>
  <c r="BC117" i="20"/>
  <c r="BD117" i="20"/>
  <c r="BE117" i="20"/>
  <c r="BG117" i="20"/>
  <c r="A118" i="20"/>
  <c r="AR118" i="20"/>
  <c r="AX118" i="20"/>
  <c r="AO118" i="20"/>
  <c r="AQ118" i="20"/>
  <c r="AT118" i="20"/>
  <c r="AZ118" i="20"/>
  <c r="BG118" i="20"/>
  <c r="A119" i="20"/>
  <c r="AR119" i="20"/>
  <c r="AU119" i="20"/>
  <c r="AO119" i="20"/>
  <c r="AQ119" i="20"/>
  <c r="AS119" i="20"/>
  <c r="AT119" i="20"/>
  <c r="A120" i="20"/>
  <c r="AR120" i="20"/>
  <c r="AO120" i="20"/>
  <c r="AQ120" i="20"/>
  <c r="AS120" i="20"/>
  <c r="AT120" i="20"/>
  <c r="AU120" i="20"/>
  <c r="BG120" i="20"/>
  <c r="A121" i="20"/>
  <c r="BG121" i="20"/>
  <c r="AO121" i="20"/>
  <c r="AQ121" i="20"/>
  <c r="AR121" i="20"/>
  <c r="AT121" i="20"/>
  <c r="AU121" i="20"/>
  <c r="A122" i="20"/>
  <c r="AO122" i="20"/>
  <c r="AQ122" i="20"/>
  <c r="AR122" i="20"/>
  <c r="AS122" i="20"/>
  <c r="AT122" i="20"/>
  <c r="BG122" i="20"/>
  <c r="A123" i="20"/>
  <c r="BG123" i="20"/>
  <c r="AO123" i="20"/>
  <c r="AQ123" i="20"/>
  <c r="AR123" i="20"/>
  <c r="AT123" i="20"/>
  <c r="AU123" i="20"/>
  <c r="A124" i="20"/>
  <c r="AU124" i="20"/>
  <c r="AO124" i="20"/>
  <c r="AQ124" i="20"/>
  <c r="AR124" i="20"/>
  <c r="AS124" i="20"/>
  <c r="AT124" i="20"/>
  <c r="BG124" i="20"/>
  <c r="A125" i="20"/>
  <c r="AO125" i="20"/>
  <c r="AQ125" i="20"/>
  <c r="AR125" i="20"/>
  <c r="AT125" i="20"/>
  <c r="A126" i="20"/>
  <c r="AO126" i="20"/>
  <c r="AQ126" i="20"/>
  <c r="AR126" i="20"/>
  <c r="AT126" i="20"/>
  <c r="BG126" i="20"/>
  <c r="A127" i="20"/>
  <c r="AO127" i="20"/>
  <c r="AQ127" i="20"/>
  <c r="AR127" i="20"/>
  <c r="AT127" i="20"/>
  <c r="A128" i="20"/>
  <c r="AO128" i="20"/>
  <c r="AQ128" i="20"/>
  <c r="AR128" i="20"/>
  <c r="AS128" i="20"/>
  <c r="AT128" i="20"/>
  <c r="AU128" i="20"/>
  <c r="BG128" i="20"/>
  <c r="BH128" i="20"/>
  <c r="A129" i="20"/>
  <c r="AR129" i="20"/>
  <c r="BG129" i="20"/>
  <c r="AO129" i="20"/>
  <c r="AQ129" i="20"/>
  <c r="AS129" i="20"/>
  <c r="AT129" i="20"/>
  <c r="AU129" i="20"/>
  <c r="A130" i="20"/>
  <c r="AO130" i="20"/>
  <c r="AQ130" i="20"/>
  <c r="AR130" i="20"/>
  <c r="AS130" i="20"/>
  <c r="AT130" i="20"/>
  <c r="AU130" i="20"/>
  <c r="BG130" i="20"/>
  <c r="A131" i="20"/>
  <c r="AR131" i="20"/>
  <c r="AO131" i="20"/>
  <c r="AQ131" i="20"/>
  <c r="AS131" i="20"/>
  <c r="AT131" i="20"/>
  <c r="AU131" i="20"/>
  <c r="BG131" i="20"/>
  <c r="A132" i="20"/>
  <c r="AO132" i="20"/>
  <c r="AQ132" i="20"/>
  <c r="AR132" i="20"/>
  <c r="AS132" i="20"/>
  <c r="AT132" i="20"/>
  <c r="AU132" i="20"/>
  <c r="BG132" i="20"/>
  <c r="A133" i="20"/>
  <c r="AR133" i="20"/>
  <c r="AO133" i="20"/>
  <c r="AQ133" i="20"/>
  <c r="AS133" i="20"/>
  <c r="AT133" i="20"/>
  <c r="AU133" i="20"/>
  <c r="BG133" i="20"/>
  <c r="A134" i="20"/>
  <c r="AO134" i="20"/>
  <c r="AQ134" i="20"/>
  <c r="AR134" i="20"/>
  <c r="AS134" i="20"/>
  <c r="AT134" i="20"/>
  <c r="A135" i="20"/>
  <c r="AR135" i="20"/>
  <c r="AO135" i="20"/>
  <c r="AQ135" i="20"/>
  <c r="AT135" i="20"/>
  <c r="A136" i="20"/>
  <c r="AR136" i="20"/>
  <c r="AO136" i="20"/>
  <c r="AQ136" i="20"/>
  <c r="AT136" i="20"/>
  <c r="A137" i="20"/>
  <c r="AR137" i="20"/>
  <c r="AU137" i="20"/>
  <c r="AO137" i="20"/>
  <c r="AQ137" i="20"/>
  <c r="AS137" i="20"/>
  <c r="AT137" i="20"/>
  <c r="A138" i="20"/>
  <c r="AS138" i="20"/>
  <c r="AO138" i="20"/>
  <c r="AQ138" i="20"/>
  <c r="AR138" i="20"/>
  <c r="AT138" i="20"/>
  <c r="A139" i="20"/>
  <c r="AS139" i="20"/>
  <c r="AO139" i="20"/>
  <c r="AQ139" i="20"/>
  <c r="AR139" i="20"/>
  <c r="AT139" i="20"/>
  <c r="A140" i="20"/>
  <c r="AR140" i="20"/>
  <c r="AO140" i="20"/>
  <c r="AQ140" i="20"/>
  <c r="AS140" i="20"/>
  <c r="AT140" i="20"/>
  <c r="A141" i="20"/>
  <c r="AO141" i="20"/>
  <c r="AQ141" i="20"/>
  <c r="AR141" i="20"/>
  <c r="AS141" i="20"/>
  <c r="AT141" i="20"/>
  <c r="AU141" i="20"/>
  <c r="AV141" i="20" s="1"/>
  <c r="BG141" i="20"/>
  <c r="A142" i="20"/>
  <c r="AO142" i="20"/>
  <c r="AQ142" i="20"/>
  <c r="AR142" i="20"/>
  <c r="AS142" i="20"/>
  <c r="AT142" i="20"/>
  <c r="AU142" i="20"/>
  <c r="BG142" i="20"/>
  <c r="A143" i="20"/>
  <c r="AR143" i="20"/>
  <c r="AO143" i="20"/>
  <c r="AQ143" i="20"/>
  <c r="AS143" i="20"/>
  <c r="AT143" i="20"/>
  <c r="AU143" i="20"/>
  <c r="BG143" i="20"/>
  <c r="A144" i="20"/>
  <c r="AR144" i="20"/>
  <c r="AO144" i="20"/>
  <c r="AQ144" i="20"/>
  <c r="AS144" i="20"/>
  <c r="AT144" i="20"/>
  <c r="AU144" i="20"/>
  <c r="BG144" i="20"/>
  <c r="A145" i="20"/>
  <c r="AO145" i="20"/>
  <c r="AQ145" i="20"/>
  <c r="AR145" i="20"/>
  <c r="AS145" i="20"/>
  <c r="AT145" i="20"/>
  <c r="AU145" i="20"/>
  <c r="BG145" i="20"/>
  <c r="A146" i="20"/>
  <c r="AO146" i="20"/>
  <c r="AQ146" i="20"/>
  <c r="AR146" i="20"/>
  <c r="AS146" i="20"/>
  <c r="AT146" i="20"/>
  <c r="AU146" i="20"/>
  <c r="AV146" i="20" s="1"/>
  <c r="AW146" i="20" s="1"/>
  <c r="BG146" i="20"/>
  <c r="A147" i="20"/>
  <c r="AR147" i="20"/>
  <c r="AO147" i="20"/>
  <c r="AQ147" i="20"/>
  <c r="AS147" i="20"/>
  <c r="AT147" i="20"/>
  <c r="AU147" i="20"/>
  <c r="BG147" i="20"/>
  <c r="A148" i="20"/>
  <c r="AO148" i="20"/>
  <c r="AQ148" i="20"/>
  <c r="AR148" i="20"/>
  <c r="AS148" i="20"/>
  <c r="AT148" i="20"/>
  <c r="AU148" i="20"/>
  <c r="BG148" i="20"/>
  <c r="A149" i="20"/>
  <c r="AO149" i="20"/>
  <c r="AQ149" i="20"/>
  <c r="AR149" i="20"/>
  <c r="AS149" i="20"/>
  <c r="AT149" i="20"/>
  <c r="AU149" i="20"/>
  <c r="BG149" i="20"/>
  <c r="A150" i="20"/>
  <c r="AO150" i="20"/>
  <c r="AQ150" i="20"/>
  <c r="AR150" i="20"/>
  <c r="AS150" i="20"/>
  <c r="AT150" i="20"/>
  <c r="AU150" i="20"/>
  <c r="BG150" i="20"/>
  <c r="BH150" i="20"/>
  <c r="A151" i="20"/>
  <c r="AO151" i="20"/>
  <c r="AQ151" i="20"/>
  <c r="AR151" i="20"/>
  <c r="AS151" i="20"/>
  <c r="AT151" i="20"/>
  <c r="AU151" i="20"/>
  <c r="BG151" i="20"/>
  <c r="A152" i="20"/>
  <c r="AO152" i="20"/>
  <c r="AQ152" i="20"/>
  <c r="AR152" i="20"/>
  <c r="AS152" i="20"/>
  <c r="AT152" i="20"/>
  <c r="AU152" i="20"/>
  <c r="BG152" i="20"/>
  <c r="A153" i="20"/>
  <c r="AR153" i="20"/>
  <c r="AO153" i="20"/>
  <c r="AQ153" i="20"/>
  <c r="AS153" i="20"/>
  <c r="AT153" i="20"/>
  <c r="AU153" i="20"/>
  <c r="BG153" i="20"/>
  <c r="A154" i="20"/>
  <c r="AR154" i="20"/>
  <c r="AU154" i="20"/>
  <c r="AV154" i="20" s="1"/>
  <c r="AO154" i="20"/>
  <c r="AQ154" i="20"/>
  <c r="AS154" i="20"/>
  <c r="AT154" i="20"/>
  <c r="BG154" i="20"/>
  <c r="A155" i="20"/>
  <c r="AO155" i="20"/>
  <c r="AQ155" i="20"/>
  <c r="AR155" i="20"/>
  <c r="AT155" i="20"/>
  <c r="BG155" i="20"/>
  <c r="A156" i="20"/>
  <c r="AO156" i="20"/>
  <c r="AQ156" i="20"/>
  <c r="AR156" i="20"/>
  <c r="AS156" i="20"/>
  <c r="AT156" i="20"/>
  <c r="AU156" i="20"/>
  <c r="BG156" i="20"/>
  <c r="A157" i="20"/>
  <c r="AS157" i="20"/>
  <c r="AO157" i="20"/>
  <c r="AQ157" i="20"/>
  <c r="AR157" i="20"/>
  <c r="AT157" i="20"/>
  <c r="BG157" i="20"/>
  <c r="A158" i="20"/>
  <c r="AO158" i="20"/>
  <c r="AQ158" i="20"/>
  <c r="AR158" i="20"/>
  <c r="AS158" i="20"/>
  <c r="AT158" i="20"/>
  <c r="AU158" i="20"/>
  <c r="BG158" i="20"/>
  <c r="A159" i="20"/>
  <c r="AS159" i="20"/>
  <c r="AO159" i="20"/>
  <c r="AQ159" i="20"/>
  <c r="AR159" i="20"/>
  <c r="AT159" i="20"/>
  <c r="BG159" i="20"/>
  <c r="A160" i="20"/>
  <c r="AO160" i="20"/>
  <c r="AQ160" i="20"/>
  <c r="AR160" i="20"/>
  <c r="AS160" i="20"/>
  <c r="AT160" i="20"/>
  <c r="AU160" i="20"/>
  <c r="BG160" i="20"/>
  <c r="A161" i="20"/>
  <c r="AS161" i="20"/>
  <c r="AO161" i="20"/>
  <c r="AQ161" i="20"/>
  <c r="AR161" i="20"/>
  <c r="AT161" i="20"/>
  <c r="A162" i="20"/>
  <c r="BG162" i="20"/>
  <c r="AO162" i="20"/>
  <c r="AQ162" i="20"/>
  <c r="AR162" i="20"/>
  <c r="AS162" i="20"/>
  <c r="AT162" i="20"/>
  <c r="AU162" i="20"/>
  <c r="A163" i="20"/>
  <c r="AO163" i="20"/>
  <c r="AQ163" i="20"/>
  <c r="AR163" i="20"/>
  <c r="AS163" i="20"/>
  <c r="AT163" i="20"/>
  <c r="BG163" i="20"/>
  <c r="A164" i="20"/>
  <c r="BG164" i="20"/>
  <c r="AO164" i="20"/>
  <c r="AQ164" i="20"/>
  <c r="AR164" i="20"/>
  <c r="AS164" i="20"/>
  <c r="AT164" i="20"/>
  <c r="AU164" i="20"/>
  <c r="A165" i="20"/>
  <c r="AO165" i="20"/>
  <c r="AQ165" i="20"/>
  <c r="AR165" i="20"/>
  <c r="AT165" i="20"/>
  <c r="BG165" i="20"/>
  <c r="A166" i="20"/>
  <c r="BG166" i="20"/>
  <c r="AO166" i="20"/>
  <c r="AQ166" i="20"/>
  <c r="AR166" i="20"/>
  <c r="AS166" i="20"/>
  <c r="AT166" i="20"/>
  <c r="AU166" i="20"/>
  <c r="A167" i="20"/>
  <c r="AO167" i="20"/>
  <c r="AQ167" i="20"/>
  <c r="AR167" i="20"/>
  <c r="AS167" i="20"/>
  <c r="AT167" i="20"/>
  <c r="A168" i="20"/>
  <c r="BG168" i="20"/>
  <c r="AO168" i="20"/>
  <c r="AQ168" i="20"/>
  <c r="AR168" i="20"/>
  <c r="AS168" i="20"/>
  <c r="AT168" i="20"/>
  <c r="AU168" i="20"/>
  <c r="A169" i="20"/>
  <c r="AU169" i="20"/>
  <c r="AO169" i="20"/>
  <c r="AQ169" i="20"/>
  <c r="AR169" i="20"/>
  <c r="AT169" i="20"/>
  <c r="BG169" i="20"/>
  <c r="A170" i="20"/>
  <c r="BG170" i="20"/>
  <c r="AO170" i="20"/>
  <c r="AQ170" i="20"/>
  <c r="AR170" i="20"/>
  <c r="AS170" i="20"/>
  <c r="AT170" i="20"/>
  <c r="A171" i="20"/>
  <c r="AU171" i="20"/>
  <c r="AO171" i="20"/>
  <c r="AQ171" i="20"/>
  <c r="AR171" i="20"/>
  <c r="AS171" i="20"/>
  <c r="AT171" i="20"/>
  <c r="BG171" i="20"/>
  <c r="A172" i="20"/>
  <c r="AO172" i="20"/>
  <c r="AQ172" i="20"/>
  <c r="AR172" i="20"/>
  <c r="AS172" i="20"/>
  <c r="AT172" i="20"/>
  <c r="AU172" i="20"/>
  <c r="BG172" i="20"/>
  <c r="A173" i="20"/>
  <c r="AO173" i="20"/>
  <c r="AQ173" i="20"/>
  <c r="AR173" i="20"/>
  <c r="AT173" i="20"/>
  <c r="A174" i="20"/>
  <c r="AS174" i="20"/>
  <c r="AO174" i="20"/>
  <c r="AQ174" i="20"/>
  <c r="AR174" i="20"/>
  <c r="AT174" i="20"/>
  <c r="A175" i="20"/>
  <c r="AO175" i="20"/>
  <c r="AQ175" i="20"/>
  <c r="AR175" i="20"/>
  <c r="AT175" i="20"/>
  <c r="A176" i="20"/>
  <c r="AS176" i="20"/>
  <c r="AO176" i="20"/>
  <c r="AQ176" i="20"/>
  <c r="AR176" i="20"/>
  <c r="AT176" i="20"/>
  <c r="A177" i="20"/>
  <c r="AO177" i="20"/>
  <c r="AQ177" i="20"/>
  <c r="AR177" i="20"/>
  <c r="AT177" i="20"/>
  <c r="A178" i="20"/>
  <c r="AR178" i="20"/>
  <c r="AS178" i="20"/>
  <c r="AO178" i="20"/>
  <c r="AQ178" i="20"/>
  <c r="AT178" i="20"/>
  <c r="A179" i="20"/>
  <c r="AO179" i="20"/>
  <c r="AQ179" i="20"/>
  <c r="AR179" i="20"/>
  <c r="AT179" i="20"/>
  <c r="A180" i="20"/>
  <c r="AS180" i="20"/>
  <c r="AO180" i="20"/>
  <c r="AQ180" i="20"/>
  <c r="AR180" i="20"/>
  <c r="AT180" i="20"/>
  <c r="A181" i="20"/>
  <c r="AO181" i="20"/>
  <c r="AQ181" i="20"/>
  <c r="AR181" i="20"/>
  <c r="AT181" i="20"/>
  <c r="A182" i="20"/>
  <c r="AO182" i="20"/>
  <c r="AQ182" i="20"/>
  <c r="AR182" i="20"/>
  <c r="AT182" i="20"/>
  <c r="A183" i="20"/>
  <c r="AO183" i="20"/>
  <c r="AQ183" i="20"/>
  <c r="AR183" i="20"/>
  <c r="AT183" i="20"/>
  <c r="A184" i="20"/>
  <c r="AO184" i="20"/>
  <c r="AQ184" i="20"/>
  <c r="AR184" i="20"/>
  <c r="AS184" i="20"/>
  <c r="AT184" i="20"/>
  <c r="AU184" i="20"/>
  <c r="BG184" i="20"/>
  <c r="A185" i="20"/>
  <c r="AR185" i="20"/>
  <c r="AO185" i="20"/>
  <c r="AQ185" i="20"/>
  <c r="AS185" i="20"/>
  <c r="AT185" i="20"/>
  <c r="AU185" i="20"/>
  <c r="BG185" i="20"/>
  <c r="A186" i="20"/>
  <c r="AO186" i="20"/>
  <c r="AQ186" i="20"/>
  <c r="AR186" i="20"/>
  <c r="AS186" i="20"/>
  <c r="AT186" i="20"/>
  <c r="AU186" i="20"/>
  <c r="BG186" i="20"/>
  <c r="A187" i="20"/>
  <c r="AR187" i="20"/>
  <c r="AO187" i="20"/>
  <c r="AQ187" i="20"/>
  <c r="AS187" i="20"/>
  <c r="AT187" i="20"/>
  <c r="AU187" i="20"/>
  <c r="BG187" i="20"/>
  <c r="A188" i="20"/>
  <c r="AO188" i="20"/>
  <c r="AQ188" i="20"/>
  <c r="AR188" i="20"/>
  <c r="AS188" i="20"/>
  <c r="AT188" i="20"/>
  <c r="BG188" i="20"/>
  <c r="A189" i="20"/>
  <c r="AO189" i="20"/>
  <c r="AQ189" i="20"/>
  <c r="AR189" i="20"/>
  <c r="AT189" i="20"/>
  <c r="A190" i="20"/>
  <c r="AO190" i="20"/>
  <c r="AQ190" i="20"/>
  <c r="AR190" i="20"/>
  <c r="AS190" i="20"/>
  <c r="AT190" i="20"/>
  <c r="BG190" i="20"/>
  <c r="A191" i="20"/>
  <c r="AR191" i="20"/>
  <c r="AO191" i="20"/>
  <c r="AQ191" i="20"/>
  <c r="AT191" i="20"/>
  <c r="BD191" i="20"/>
  <c r="BE191" i="20" s="1"/>
  <c r="A192" i="20"/>
  <c r="AR192" i="20"/>
  <c r="BE192" i="20"/>
  <c r="AO192" i="20"/>
  <c r="AQ192" i="20"/>
  <c r="AT192" i="20"/>
  <c r="BD192" i="20"/>
  <c r="A193" i="20"/>
  <c r="AR193" i="20"/>
  <c r="AO193" i="20"/>
  <c r="AQ193" i="20"/>
  <c r="AT193" i="20"/>
  <c r="BD193" i="20"/>
  <c r="BE193" i="20" s="1"/>
  <c r="A194" i="20"/>
  <c r="AR194" i="20"/>
  <c r="BE194" i="20"/>
  <c r="AO194" i="20"/>
  <c r="AQ194" i="20"/>
  <c r="AT194" i="20"/>
  <c r="BD194" i="20"/>
  <c r="A195" i="20"/>
  <c r="AR195" i="20"/>
  <c r="BE195" i="20"/>
  <c r="AO195" i="20"/>
  <c r="AQ195" i="20"/>
  <c r="AT195" i="20"/>
  <c r="BD195" i="20"/>
  <c r="A196" i="20"/>
  <c r="AR196" i="20"/>
  <c r="AO196" i="20"/>
  <c r="AQ196" i="20"/>
  <c r="AT196" i="20"/>
  <c r="A197" i="20"/>
  <c r="AR197" i="20"/>
  <c r="AO197" i="20"/>
  <c r="AQ197" i="20"/>
  <c r="AT197" i="20"/>
  <c r="BD197" i="20"/>
  <c r="BE197" i="20"/>
  <c r="A198" i="20"/>
  <c r="AR198" i="20"/>
  <c r="AO198" i="20"/>
  <c r="AQ198" i="20"/>
  <c r="AT198" i="20"/>
  <c r="BD198" i="20"/>
  <c r="BE198" i="20"/>
  <c r="A199" i="20"/>
  <c r="AR199" i="20"/>
  <c r="AX199" i="20"/>
  <c r="AO199" i="20"/>
  <c r="AQ199" i="20"/>
  <c r="AT199" i="20"/>
  <c r="AW199" i="20"/>
  <c r="A200" i="20"/>
  <c r="AO200" i="20"/>
  <c r="AQ200" i="20"/>
  <c r="AR200" i="20"/>
  <c r="AT200" i="20"/>
  <c r="AW200" i="20"/>
  <c r="AX200" i="20"/>
  <c r="AZ200" i="20"/>
  <c r="BD200" i="20"/>
  <c r="BE200" i="20"/>
  <c r="BF200" i="20" s="1"/>
  <c r="BH200" i="20"/>
  <c r="A201" i="20"/>
  <c r="AR201" i="20"/>
  <c r="AX201" i="20"/>
  <c r="AO201" i="20"/>
  <c r="AQ201" i="20"/>
  <c r="AT201" i="20"/>
  <c r="AV201" i="20"/>
  <c r="AW201" i="20"/>
  <c r="BG201" i="20"/>
  <c r="BH201" i="20"/>
  <c r="A202" i="20"/>
  <c r="AO202" i="20"/>
  <c r="AQ202" i="20"/>
  <c r="AR202" i="20"/>
  <c r="AT202" i="20"/>
  <c r="AV202" i="20"/>
  <c r="AW202" i="20"/>
  <c r="AX202" i="20"/>
  <c r="AY202" i="20"/>
  <c r="AZ202" i="20"/>
  <c r="BD202" i="20"/>
  <c r="BE202" i="20" s="1"/>
  <c r="BF202" i="20" s="1"/>
  <c r="BG202" i="20"/>
  <c r="BH202" i="20"/>
  <c r="A203" i="20"/>
  <c r="AX203" i="20"/>
  <c r="AO203" i="20"/>
  <c r="AQ203" i="20"/>
  <c r="AR203" i="20"/>
  <c r="AT203" i="20"/>
  <c r="AW203" i="20"/>
  <c r="AY203" i="20"/>
  <c r="AZ203" i="20"/>
  <c r="BD203" i="20"/>
  <c r="BE203" i="20"/>
  <c r="BF203" i="20" s="1"/>
  <c r="BH203" i="20"/>
  <c r="A204" i="20"/>
  <c r="AO204" i="20"/>
  <c r="AQ204" i="20"/>
  <c r="AR204" i="20"/>
  <c r="AT204" i="20"/>
  <c r="AV204" i="20"/>
  <c r="AW204" i="20"/>
  <c r="AX204" i="20"/>
  <c r="AY204" i="20"/>
  <c r="AZ204" i="20"/>
  <c r="BD204" i="20"/>
  <c r="BE204" i="20"/>
  <c r="BG204" i="20"/>
  <c r="BH204" i="20"/>
  <c r="A205" i="20"/>
  <c r="AO205" i="20"/>
  <c r="AQ205" i="20"/>
  <c r="AR205" i="20"/>
  <c r="AT205" i="20"/>
  <c r="A206" i="20"/>
  <c r="AO206" i="20"/>
  <c r="AQ206" i="20"/>
  <c r="AR206" i="20"/>
  <c r="AS206" i="20"/>
  <c r="AT206" i="20"/>
  <c r="A207" i="20"/>
  <c r="AO207" i="20"/>
  <c r="AQ207" i="20"/>
  <c r="AR207" i="20"/>
  <c r="AS207" i="20"/>
  <c r="AT207" i="20"/>
  <c r="A208" i="20"/>
  <c r="AR208" i="20"/>
  <c r="AS208" i="20"/>
  <c r="AO208" i="20"/>
  <c r="AQ208" i="20"/>
  <c r="AT208" i="20"/>
  <c r="A209" i="20"/>
  <c r="AR209" i="20"/>
  <c r="AO209" i="20"/>
  <c r="AQ209" i="20"/>
  <c r="AT209" i="20"/>
  <c r="A210" i="20"/>
  <c r="AO210" i="20"/>
  <c r="AQ210" i="20"/>
  <c r="AR210" i="20"/>
  <c r="AT210" i="20"/>
  <c r="A211" i="20"/>
  <c r="AR211" i="20"/>
  <c r="AO211" i="20"/>
  <c r="AQ211" i="20"/>
  <c r="AS211" i="20"/>
  <c r="AT211" i="20"/>
  <c r="A212" i="20"/>
  <c r="AO212" i="20"/>
  <c r="AQ212" i="20"/>
  <c r="AR212" i="20"/>
  <c r="AS212" i="20"/>
  <c r="AT212" i="20"/>
  <c r="A213" i="20"/>
  <c r="AR213" i="20"/>
  <c r="AO213" i="20"/>
  <c r="AQ213" i="20"/>
  <c r="AS213" i="20"/>
  <c r="AT213" i="20"/>
  <c r="A214" i="20"/>
  <c r="AR214" i="20"/>
  <c r="AS214" i="20"/>
  <c r="AO214" i="20"/>
  <c r="AQ214" i="20"/>
  <c r="AT214" i="20"/>
  <c r="A215" i="20"/>
  <c r="AO215" i="20"/>
  <c r="AQ215" i="20"/>
  <c r="AR215" i="20"/>
  <c r="AT215" i="20"/>
  <c r="A216" i="20"/>
  <c r="AO216" i="20"/>
  <c r="AQ216" i="20"/>
  <c r="AR216" i="20"/>
  <c r="AS216" i="20"/>
  <c r="AT216" i="20"/>
  <c r="AU216" i="20" s="1"/>
  <c r="A217" i="20"/>
  <c r="AR217" i="20"/>
  <c r="AO217" i="20"/>
  <c r="AQ217" i="20"/>
  <c r="AS217" i="20"/>
  <c r="AT217" i="20"/>
  <c r="AU217" i="20" s="1"/>
  <c r="AV217" i="20" s="1"/>
  <c r="A218" i="20"/>
  <c r="AO218" i="20"/>
  <c r="AQ218" i="20"/>
  <c r="AR218" i="20"/>
  <c r="AT218" i="20"/>
  <c r="A219" i="20"/>
  <c r="AU219" i="20"/>
  <c r="AV219" i="20" s="1"/>
  <c r="AO219" i="20"/>
  <c r="AQ219" i="20"/>
  <c r="AR219" i="20"/>
  <c r="AS219" i="20"/>
  <c r="AT219" i="20"/>
  <c r="A220" i="20"/>
  <c r="AR220" i="20"/>
  <c r="AU220" i="20"/>
  <c r="AV220" i="20" s="1"/>
  <c r="AO220" i="20"/>
  <c r="AQ220" i="20"/>
  <c r="AS220" i="20"/>
  <c r="AT220" i="20"/>
  <c r="A221" i="20"/>
  <c r="AO221" i="20"/>
  <c r="AQ221" i="20"/>
  <c r="AR221" i="20"/>
  <c r="AS221" i="20"/>
  <c r="AT221" i="20"/>
  <c r="A222" i="20"/>
  <c r="AR222" i="20"/>
  <c r="AU222" i="20"/>
  <c r="AV222" i="20" s="1"/>
  <c r="AO222" i="20"/>
  <c r="AQ222" i="20"/>
  <c r="AS222" i="20"/>
  <c r="AT222" i="20"/>
  <c r="A223" i="20"/>
  <c r="AR223" i="20"/>
  <c r="AU223" i="20"/>
  <c r="AV223" i="20" s="1"/>
  <c r="AW223" i="20" s="1"/>
  <c r="AO223" i="20"/>
  <c r="AQ223" i="20"/>
  <c r="AS223" i="20"/>
  <c r="AT223" i="20"/>
  <c r="A224" i="20"/>
  <c r="AR224" i="20"/>
  <c r="AU224" i="20"/>
  <c r="AV224" i="20" s="1"/>
  <c r="AO224" i="20"/>
  <c r="AQ224" i="20"/>
  <c r="AS224" i="20"/>
  <c r="AT224" i="20"/>
  <c r="A225" i="20"/>
  <c r="AS225" i="20"/>
  <c r="AO225" i="20"/>
  <c r="AQ225" i="20"/>
  <c r="AR225" i="20"/>
  <c r="AT225" i="20"/>
  <c r="A226" i="20"/>
  <c r="AR226" i="20"/>
  <c r="AS226" i="20"/>
  <c r="AO226" i="20"/>
  <c r="AQ226" i="20"/>
  <c r="AT226" i="20"/>
  <c r="A227" i="20"/>
  <c r="AO227" i="20"/>
  <c r="AQ227" i="20"/>
  <c r="AR227" i="20"/>
  <c r="AT227" i="20"/>
  <c r="A228" i="20"/>
  <c r="AR228" i="20"/>
  <c r="AO228" i="20"/>
  <c r="AQ228" i="20"/>
  <c r="AS228" i="20"/>
  <c r="AT228" i="20"/>
  <c r="A229" i="20"/>
  <c r="AS229" i="20"/>
  <c r="AO229" i="20"/>
  <c r="AQ229" i="20"/>
  <c r="AR229" i="20"/>
  <c r="AT229" i="20"/>
  <c r="A230" i="20"/>
  <c r="AR230" i="20"/>
  <c r="AS230" i="20"/>
  <c r="AO230" i="20"/>
  <c r="AQ230" i="20"/>
  <c r="AT230" i="20"/>
  <c r="A231" i="20"/>
  <c r="AO231" i="20"/>
  <c r="AQ231" i="20"/>
  <c r="AR231" i="20"/>
  <c r="AT231" i="20"/>
  <c r="A232" i="20"/>
  <c r="AO232" i="20"/>
  <c r="AQ232" i="20"/>
  <c r="AR232" i="20"/>
  <c r="AS232" i="20"/>
  <c r="AT232" i="20"/>
  <c r="A233" i="20"/>
  <c r="AR233" i="20"/>
  <c r="AO233" i="20"/>
  <c r="AQ233" i="20"/>
  <c r="AS233" i="20"/>
  <c r="AT233" i="20"/>
  <c r="AU233" i="20" s="1"/>
  <c r="A234" i="20"/>
  <c r="AR234" i="20"/>
  <c r="AO234" i="20"/>
  <c r="AQ234" i="20"/>
  <c r="AS234" i="20"/>
  <c r="AT234" i="20"/>
  <c r="AU234" i="20" s="1"/>
  <c r="A235" i="20"/>
  <c r="AR235" i="20"/>
  <c r="AS235" i="20"/>
  <c r="AO235" i="20"/>
  <c r="AQ235" i="20"/>
  <c r="AT235" i="20"/>
  <c r="A236" i="20"/>
  <c r="AO236" i="20"/>
  <c r="AQ236" i="20"/>
  <c r="AR236" i="20"/>
  <c r="AS236" i="20"/>
  <c r="AT236" i="20"/>
  <c r="A237" i="20"/>
  <c r="AU237" i="20"/>
  <c r="AV237" i="20" s="1"/>
  <c r="AO237" i="20"/>
  <c r="AQ237" i="20"/>
  <c r="AR237" i="20"/>
  <c r="AS237" i="20"/>
  <c r="AT237" i="20"/>
  <c r="A238" i="20"/>
  <c r="AR238" i="20"/>
  <c r="AU238" i="20"/>
  <c r="AV238" i="20" s="1"/>
  <c r="AO238" i="20"/>
  <c r="AQ238" i="20"/>
  <c r="AS238" i="20"/>
  <c r="AT238" i="20"/>
  <c r="A239" i="20"/>
  <c r="AO239" i="20"/>
  <c r="AQ239" i="20"/>
  <c r="AR239" i="20"/>
  <c r="AS239" i="20"/>
  <c r="AT239" i="20"/>
  <c r="A240" i="20"/>
  <c r="AR240" i="20"/>
  <c r="AO240" i="20"/>
  <c r="AQ240" i="20"/>
  <c r="AT240" i="20"/>
  <c r="A241" i="20"/>
  <c r="AR241" i="20"/>
  <c r="AO241" i="20"/>
  <c r="AQ241" i="20"/>
  <c r="AS241" i="20"/>
  <c r="AT241" i="20"/>
  <c r="A242" i="20"/>
  <c r="AR242" i="20"/>
  <c r="AO242" i="20"/>
  <c r="AQ242" i="20"/>
  <c r="AS242" i="20"/>
  <c r="AT242" i="20"/>
  <c r="A243" i="20"/>
  <c r="AS243" i="20"/>
  <c r="AO243" i="20"/>
  <c r="AQ243" i="20"/>
  <c r="AR243" i="20"/>
  <c r="AT243" i="20"/>
  <c r="A244" i="20"/>
  <c r="AO244" i="20"/>
  <c r="AQ244" i="20"/>
  <c r="AR244" i="20"/>
  <c r="AT244" i="20"/>
  <c r="A245" i="20"/>
  <c r="AR245" i="20"/>
  <c r="AO245" i="20"/>
  <c r="AQ245" i="20"/>
  <c r="AS245" i="20"/>
  <c r="AT245" i="20"/>
  <c r="AU245" i="20" s="1"/>
  <c r="A246" i="20"/>
  <c r="AU246" i="20"/>
  <c r="AO246" i="20"/>
  <c r="AQ246" i="20"/>
  <c r="AR246" i="20"/>
  <c r="AS246" i="20"/>
  <c r="AT246" i="20"/>
  <c r="A247" i="20"/>
  <c r="AO247" i="20"/>
  <c r="AQ247" i="20"/>
  <c r="AR247" i="20"/>
  <c r="AS247" i="20"/>
  <c r="AT247" i="20"/>
  <c r="A248" i="20"/>
  <c r="AO248" i="20"/>
  <c r="AQ248" i="20"/>
  <c r="AR248" i="20"/>
  <c r="AS248" i="20"/>
  <c r="AT248" i="20"/>
  <c r="A249" i="20"/>
  <c r="AO249" i="20"/>
  <c r="AQ249" i="20"/>
  <c r="AR249" i="20"/>
  <c r="AS249" i="20"/>
  <c r="AT249" i="20"/>
  <c r="A250" i="20"/>
  <c r="AO250" i="20"/>
  <c r="AQ250" i="20"/>
  <c r="AR250" i="20"/>
  <c r="AS250" i="20"/>
  <c r="AT250" i="20"/>
  <c r="A251" i="20"/>
  <c r="AO251" i="20"/>
  <c r="AQ251" i="20"/>
  <c r="AR251" i="20"/>
  <c r="AS251" i="20"/>
  <c r="AT251" i="20"/>
  <c r="AZ251" i="20"/>
  <c r="A252" i="20"/>
  <c r="AO252" i="20"/>
  <c r="AQ252" i="20"/>
  <c r="AR252" i="20"/>
  <c r="AS252" i="20"/>
  <c r="AT252" i="20"/>
  <c r="AZ252" i="20"/>
  <c r="A253" i="20"/>
  <c r="AR253" i="20"/>
  <c r="AU253" i="20"/>
  <c r="BA253" i="20"/>
  <c r="AO253" i="20"/>
  <c r="AQ253" i="20"/>
  <c r="AS253" i="20"/>
  <c r="AT253" i="20"/>
  <c r="AZ253" i="20"/>
  <c r="A254" i="20"/>
  <c r="AR254" i="20"/>
  <c r="AO254" i="20"/>
  <c r="AQ254" i="20"/>
  <c r="AS254" i="20"/>
  <c r="AT254" i="20"/>
  <c r="AU254" i="20" s="1"/>
  <c r="A255" i="20"/>
  <c r="AO255" i="20"/>
  <c r="AQ255" i="20"/>
  <c r="AR255" i="20"/>
  <c r="AS255" i="20"/>
  <c r="AT255" i="20"/>
  <c r="AU255" i="20" s="1"/>
  <c r="A256" i="20"/>
  <c r="AS256" i="20"/>
  <c r="AO256" i="20"/>
  <c r="AQ256" i="20"/>
  <c r="AR256" i="20"/>
  <c r="AT256" i="20"/>
  <c r="A257" i="20"/>
  <c r="AR257" i="20"/>
  <c r="AO257" i="20"/>
  <c r="AQ257" i="20"/>
  <c r="AS257" i="20"/>
  <c r="AT257" i="20"/>
  <c r="AU257" i="20"/>
  <c r="BG257" i="20"/>
  <c r="A258" i="20"/>
  <c r="AS258" i="20"/>
  <c r="AO258" i="20"/>
  <c r="AQ258" i="20"/>
  <c r="AR258" i="20"/>
  <c r="AT258" i="20"/>
  <c r="AU258" i="20"/>
  <c r="A259" i="20"/>
  <c r="AO259" i="20"/>
  <c r="AQ259" i="20"/>
  <c r="AR259" i="20"/>
  <c r="AT259" i="20"/>
  <c r="BG259" i="20"/>
  <c r="A260" i="20"/>
  <c r="AS260" i="20"/>
  <c r="AO260" i="20"/>
  <c r="AQ260" i="20"/>
  <c r="AR260" i="20"/>
  <c r="AT260" i="20"/>
  <c r="AU260" i="20"/>
  <c r="BG260" i="20"/>
  <c r="A261" i="20"/>
  <c r="AO261" i="20"/>
  <c r="AQ261" i="20"/>
  <c r="AR261" i="20"/>
  <c r="AT261" i="20"/>
  <c r="BG261" i="20"/>
  <c r="A262" i="20"/>
  <c r="AR262" i="20"/>
  <c r="AS262" i="20"/>
  <c r="AO262" i="20"/>
  <c r="AQ262" i="20"/>
  <c r="AT262" i="20"/>
  <c r="AU262" i="20"/>
  <c r="BG262" i="20"/>
  <c r="A263" i="20"/>
  <c r="AO263" i="20"/>
  <c r="AQ263" i="20"/>
  <c r="AR263" i="20"/>
  <c r="AT263" i="20"/>
  <c r="BG263" i="20"/>
  <c r="A264" i="20"/>
  <c r="AS264" i="20"/>
  <c r="AO264" i="20"/>
  <c r="AQ264" i="20"/>
  <c r="AR264" i="20"/>
  <c r="AT264" i="20"/>
  <c r="AU264" i="20"/>
  <c r="BG264" i="20"/>
  <c r="A265" i="20"/>
  <c r="AS265" i="20"/>
  <c r="AO265" i="20"/>
  <c r="AQ265" i="20"/>
  <c r="AR265" i="20"/>
  <c r="AT265" i="20"/>
  <c r="BG265" i="20"/>
  <c r="A266" i="20"/>
  <c r="AS266" i="20"/>
  <c r="AO266" i="20"/>
  <c r="AQ266" i="20"/>
  <c r="AR266" i="20"/>
  <c r="AT266" i="20"/>
  <c r="AU266" i="20"/>
  <c r="BG266" i="20"/>
  <c r="A267" i="20"/>
  <c r="AS267" i="20"/>
  <c r="AO267" i="20"/>
  <c r="AQ267" i="20"/>
  <c r="AR267" i="20"/>
  <c r="AT267" i="20"/>
  <c r="BG267" i="20"/>
  <c r="A268" i="20"/>
  <c r="AR268" i="20"/>
  <c r="AS268" i="20"/>
  <c r="AO268" i="20"/>
  <c r="AQ268" i="20"/>
  <c r="AT268" i="20"/>
  <c r="AU268" i="20"/>
  <c r="BG268" i="20"/>
  <c r="A269" i="20"/>
  <c r="AS269" i="20"/>
  <c r="AO269" i="20"/>
  <c r="AQ269" i="20"/>
  <c r="AR269" i="20"/>
  <c r="AT269" i="20"/>
  <c r="BG269" i="20"/>
  <c r="A270" i="20"/>
  <c r="AS270" i="20"/>
  <c r="AO270" i="20"/>
  <c r="AQ270" i="20"/>
  <c r="AR270" i="20"/>
  <c r="AT270" i="20"/>
  <c r="AU270" i="20"/>
  <c r="BG270" i="20"/>
  <c r="A271" i="20"/>
  <c r="AS271" i="20"/>
  <c r="AO271" i="20"/>
  <c r="AQ271" i="20"/>
  <c r="AR271" i="20"/>
  <c r="AT271" i="20"/>
  <c r="BG271" i="20"/>
  <c r="A272" i="20"/>
  <c r="AS272" i="20"/>
  <c r="AO272" i="20"/>
  <c r="AQ272" i="20"/>
  <c r="AR272" i="20"/>
  <c r="AT272" i="20"/>
  <c r="AU272" i="20"/>
  <c r="BG272" i="20"/>
  <c r="A273" i="20"/>
  <c r="AS273" i="20"/>
  <c r="AO273" i="20"/>
  <c r="AQ273" i="20"/>
  <c r="AR273" i="20"/>
  <c r="AT273" i="20"/>
  <c r="BG273" i="20"/>
  <c r="A274" i="20"/>
  <c r="AR274" i="20"/>
  <c r="AS274" i="20"/>
  <c r="AO274" i="20"/>
  <c r="AQ274" i="20"/>
  <c r="AT274" i="20"/>
  <c r="AU274" i="20"/>
  <c r="BG274" i="20"/>
  <c r="A275" i="20"/>
  <c r="AS275" i="20"/>
  <c r="AO275" i="20"/>
  <c r="AQ275" i="20"/>
  <c r="AR275" i="20"/>
  <c r="AT275" i="20"/>
  <c r="BG275" i="20"/>
  <c r="A276" i="20"/>
  <c r="AR276" i="20"/>
  <c r="AS276" i="20"/>
  <c r="AO276" i="20"/>
  <c r="AQ276" i="20"/>
  <c r="AT276" i="20"/>
  <c r="AU276" i="20"/>
  <c r="BG276" i="20"/>
  <c r="A277" i="20"/>
  <c r="AR277" i="20"/>
  <c r="AO277" i="20"/>
  <c r="AQ277" i="20"/>
  <c r="AS277" i="20"/>
  <c r="AT277" i="20"/>
  <c r="A278" i="20"/>
  <c r="AS278" i="20"/>
  <c r="AO278" i="20"/>
  <c r="AQ278" i="20"/>
  <c r="AR278" i="20"/>
  <c r="AT278" i="20"/>
  <c r="A279" i="20"/>
  <c r="AR279" i="20"/>
  <c r="AU279" i="20"/>
  <c r="AO279" i="20"/>
  <c r="AQ279" i="20"/>
  <c r="AS279" i="20"/>
  <c r="AT279" i="20"/>
  <c r="A280" i="20"/>
  <c r="AO280" i="20"/>
  <c r="AQ280" i="20"/>
  <c r="AR280" i="20"/>
  <c r="AT280" i="20"/>
  <c r="A281" i="20"/>
  <c r="AX281" i="20"/>
  <c r="AO281" i="20"/>
  <c r="AQ281" i="20"/>
  <c r="AR281" i="20"/>
  <c r="AT281" i="20"/>
  <c r="AY281" i="20"/>
  <c r="BG281" i="20"/>
  <c r="A282" i="20"/>
  <c r="AO282" i="20"/>
  <c r="AQ282" i="20"/>
  <c r="AR282" i="20"/>
  <c r="AT282" i="20"/>
  <c r="A283" i="20"/>
  <c r="AO283" i="20"/>
  <c r="AQ283" i="20"/>
  <c r="AR283" i="20"/>
  <c r="AT283" i="20"/>
  <c r="AX283" i="20"/>
  <c r="BG283" i="20"/>
  <c r="A284" i="20"/>
  <c r="AO284" i="20"/>
  <c r="AQ284" i="20"/>
  <c r="AR284" i="20"/>
  <c r="AS284" i="20"/>
  <c r="AT284" i="20"/>
  <c r="A285" i="20"/>
  <c r="AO285" i="20"/>
  <c r="AQ285" i="20"/>
  <c r="AR285" i="20"/>
  <c r="AS285" i="20"/>
  <c r="AT285" i="20"/>
  <c r="AU285" i="20"/>
  <c r="BG285" i="20"/>
  <c r="A286" i="20"/>
  <c r="AR286" i="20"/>
  <c r="AO286" i="20"/>
  <c r="AQ286" i="20"/>
  <c r="AS286" i="20"/>
  <c r="AT286" i="20"/>
  <c r="AU286" i="20"/>
  <c r="BG286" i="20"/>
  <c r="A287" i="20"/>
  <c r="AO287" i="20"/>
  <c r="AQ287" i="20"/>
  <c r="AR287" i="20"/>
  <c r="AS287" i="20"/>
  <c r="AT287" i="20"/>
  <c r="AU287" i="20"/>
  <c r="AV287" i="20" s="1"/>
  <c r="BG287" i="20"/>
  <c r="A288" i="20"/>
  <c r="AO288" i="20"/>
  <c r="AQ288" i="20"/>
  <c r="AR288" i="20"/>
  <c r="AS288" i="20"/>
  <c r="AT288" i="20"/>
  <c r="AU288" i="20"/>
  <c r="BG288" i="20"/>
  <c r="A289" i="20"/>
  <c r="AO289" i="20"/>
  <c r="AQ289" i="20"/>
  <c r="AR289" i="20"/>
  <c r="AS289" i="20"/>
  <c r="AT289" i="20"/>
  <c r="AU289" i="20"/>
  <c r="AV289" i="20" s="1"/>
  <c r="BG289" i="20"/>
  <c r="A290" i="20"/>
  <c r="AR290" i="20"/>
  <c r="AO290" i="20"/>
  <c r="AQ290" i="20"/>
  <c r="AS290" i="20"/>
  <c r="AT290" i="20"/>
  <c r="AU290" i="20"/>
  <c r="BG290" i="20"/>
  <c r="A291" i="20"/>
  <c r="AO291" i="20"/>
  <c r="AQ291" i="20"/>
  <c r="AR291" i="20"/>
  <c r="AS291" i="20"/>
  <c r="AT291" i="20"/>
  <c r="AU291" i="20"/>
  <c r="BG291" i="20"/>
  <c r="A292" i="20"/>
  <c r="AR292" i="20"/>
  <c r="AO292" i="20"/>
  <c r="AQ292" i="20"/>
  <c r="AS292" i="20"/>
  <c r="AT292" i="20"/>
  <c r="A293" i="20"/>
  <c r="AO293" i="20"/>
  <c r="AQ293" i="20"/>
  <c r="AR293" i="20"/>
  <c r="AS293" i="20"/>
  <c r="AT293" i="20"/>
  <c r="A294" i="20"/>
  <c r="AO294" i="20"/>
  <c r="AQ294" i="20"/>
  <c r="AR294" i="20"/>
  <c r="AS294" i="20"/>
  <c r="AT294" i="20"/>
  <c r="AU294" i="20"/>
  <c r="BG294" i="20"/>
  <c r="A295" i="20"/>
  <c r="AR295" i="20"/>
  <c r="AO295" i="20"/>
  <c r="AQ295" i="20"/>
  <c r="AS295" i="20"/>
  <c r="AT295" i="20"/>
  <c r="AU295" i="20"/>
  <c r="BG295" i="20"/>
  <c r="A296" i="20"/>
  <c r="AR296" i="20"/>
  <c r="AO296" i="20"/>
  <c r="AQ296" i="20"/>
  <c r="AS296" i="20"/>
  <c r="AT296" i="20"/>
  <c r="AU296" i="20"/>
  <c r="BG296" i="20"/>
  <c r="A297" i="20"/>
  <c r="AR297" i="20"/>
  <c r="AO297" i="20"/>
  <c r="AQ297" i="20"/>
  <c r="AS297" i="20"/>
  <c r="AT297" i="20"/>
  <c r="AU297" i="20"/>
  <c r="BG297" i="20"/>
  <c r="A298" i="20"/>
  <c r="AR298" i="20"/>
  <c r="AO298" i="20"/>
  <c r="AQ298" i="20"/>
  <c r="AS298" i="20"/>
  <c r="AT298" i="20"/>
  <c r="AU298" i="20" s="1"/>
  <c r="A299" i="20"/>
  <c r="AO299" i="20"/>
  <c r="AQ299" i="20"/>
  <c r="AR299" i="20"/>
  <c r="AS299" i="20"/>
  <c r="AT299" i="20"/>
  <c r="AU299" i="20" s="1"/>
  <c r="A300" i="20"/>
  <c r="AO300" i="20"/>
  <c r="AQ300" i="20"/>
  <c r="AR300" i="20"/>
  <c r="AS300" i="20"/>
  <c r="AT300" i="20"/>
  <c r="A301" i="20"/>
  <c r="AR301" i="20"/>
  <c r="AO301" i="20"/>
  <c r="AQ301" i="20"/>
  <c r="AS301" i="20"/>
  <c r="AT301" i="20"/>
  <c r="AU301" i="20"/>
  <c r="A302" i="20"/>
  <c r="AS302" i="20"/>
  <c r="AO302" i="20"/>
  <c r="AQ302" i="20"/>
  <c r="AR302" i="20"/>
  <c r="AT302" i="20"/>
  <c r="A303" i="20"/>
  <c r="AO303" i="20"/>
  <c r="AQ303" i="20"/>
  <c r="AR303" i="20"/>
  <c r="AS303" i="20"/>
  <c r="AT303" i="20"/>
  <c r="AU303" i="20" s="1"/>
  <c r="A304" i="20"/>
  <c r="AR304" i="20"/>
  <c r="AO304" i="20"/>
  <c r="AQ304" i="20"/>
  <c r="AS304" i="20"/>
  <c r="AT304" i="20"/>
  <c r="A305" i="20"/>
  <c r="AS305" i="20"/>
  <c r="AO305" i="20"/>
  <c r="AQ305" i="20"/>
  <c r="AR305" i="20"/>
  <c r="AT305" i="20"/>
  <c r="AU305" i="20" s="1"/>
  <c r="A306" i="20"/>
  <c r="AO306" i="20"/>
  <c r="AQ306" i="20"/>
  <c r="AR306" i="20"/>
  <c r="AS306" i="20"/>
  <c r="AT306" i="20"/>
  <c r="A307" i="20"/>
  <c r="AR307" i="20"/>
  <c r="AO307" i="20"/>
  <c r="AQ307" i="20"/>
  <c r="AS307" i="20"/>
  <c r="AT307" i="20"/>
  <c r="A308" i="20"/>
  <c r="AR308" i="20"/>
  <c r="AO308" i="20"/>
  <c r="AQ308" i="20"/>
  <c r="AS308" i="20"/>
  <c r="AT308" i="20"/>
  <c r="A309" i="20"/>
  <c r="AS309" i="20"/>
  <c r="AO309" i="20"/>
  <c r="AQ309" i="20"/>
  <c r="AR309" i="20"/>
  <c r="AT309" i="20"/>
  <c r="A310" i="20"/>
  <c r="AO310" i="20"/>
  <c r="AQ310" i="20"/>
  <c r="AR310" i="20"/>
  <c r="AS310" i="20"/>
  <c r="AT310" i="20"/>
  <c r="A311" i="20"/>
  <c r="AR311" i="20"/>
  <c r="AO311" i="20"/>
  <c r="AQ311" i="20"/>
  <c r="AS311" i="20"/>
  <c r="AT311" i="20"/>
  <c r="A312" i="20"/>
  <c r="AO312" i="20"/>
  <c r="AQ312" i="20"/>
  <c r="AR312" i="20"/>
  <c r="AT312" i="20"/>
  <c r="AU312" i="20"/>
  <c r="BC312" i="20"/>
  <c r="A313" i="20"/>
  <c r="AO313" i="20"/>
  <c r="AQ313" i="20"/>
  <c r="AR313" i="20"/>
  <c r="AT313" i="20"/>
  <c r="AU313" i="20"/>
  <c r="AX313" i="20"/>
  <c r="BC313" i="20"/>
  <c r="A314" i="20"/>
  <c r="AO314" i="20"/>
  <c r="AQ314" i="20"/>
  <c r="AR314" i="20"/>
  <c r="AT314" i="20"/>
  <c r="A315" i="20"/>
  <c r="BC315" i="20"/>
  <c r="AO315" i="20"/>
  <c r="AQ315" i="20"/>
  <c r="AR315" i="20"/>
  <c r="AT315" i="20"/>
  <c r="AW315" i="20"/>
  <c r="AX315" i="20"/>
  <c r="A316" i="20"/>
  <c r="BC316" i="20"/>
  <c r="AO316" i="20"/>
  <c r="AQ316" i="20"/>
  <c r="AR316" i="20"/>
  <c r="AT316" i="20"/>
  <c r="AU316" i="20"/>
  <c r="AX316" i="20"/>
  <c r="A317" i="20"/>
  <c r="BC317" i="20"/>
  <c r="AO317" i="20"/>
  <c r="AQ317" i="20"/>
  <c r="AR317" i="20"/>
  <c r="AT317" i="20"/>
  <c r="AX317" i="20"/>
  <c r="A318" i="20"/>
  <c r="AO318" i="20"/>
  <c r="AQ318" i="20"/>
  <c r="AR318" i="20"/>
  <c r="AT318" i="20"/>
  <c r="A319" i="20"/>
  <c r="AR319" i="20"/>
  <c r="AO319" i="20"/>
  <c r="AQ319" i="20"/>
  <c r="AS319" i="20"/>
  <c r="AT319" i="20"/>
  <c r="A320" i="20"/>
  <c r="AS320" i="20"/>
  <c r="AO320" i="20"/>
  <c r="AQ320" i="20"/>
  <c r="AR320" i="20"/>
  <c r="AT320" i="20"/>
  <c r="AW320" i="20"/>
  <c r="AX320" i="20"/>
  <c r="AY320" i="20"/>
  <c r="AZ320" i="20"/>
  <c r="BB320" i="20"/>
  <c r="BG320" i="20"/>
  <c r="BH320" i="20"/>
  <c r="A321" i="20"/>
  <c r="AS321" i="20"/>
  <c r="AO321" i="20"/>
  <c r="AQ321" i="20"/>
  <c r="AR321" i="20"/>
  <c r="AT321" i="20"/>
  <c r="AW321" i="20"/>
  <c r="AX321" i="20"/>
  <c r="AY321" i="20"/>
  <c r="AZ321" i="20"/>
  <c r="BB321" i="20"/>
  <c r="BG321" i="20"/>
  <c r="BH321" i="20"/>
  <c r="A322" i="20"/>
  <c r="AS322" i="20"/>
  <c r="AO322" i="20"/>
  <c r="AQ322" i="20"/>
  <c r="AR322" i="20"/>
  <c r="AT322" i="20"/>
  <c r="AW322" i="20"/>
  <c r="AX322" i="20"/>
  <c r="AY322" i="20"/>
  <c r="AZ322" i="20"/>
  <c r="BB322" i="20"/>
  <c r="BG322" i="20"/>
  <c r="BH322" i="20"/>
  <c r="A323" i="20"/>
  <c r="AS323" i="20"/>
  <c r="AO323" i="20"/>
  <c r="AQ323" i="20"/>
  <c r="AR323" i="20"/>
  <c r="AT323" i="20"/>
  <c r="AW323" i="20"/>
  <c r="AX323" i="20"/>
  <c r="AY323" i="20"/>
  <c r="AZ323" i="20"/>
  <c r="BG323" i="20"/>
  <c r="BH323" i="20"/>
  <c r="A324" i="20"/>
  <c r="AS324" i="20"/>
  <c r="AO324" i="20"/>
  <c r="AQ324" i="20"/>
  <c r="AR324" i="20"/>
  <c r="AT324" i="20"/>
  <c r="AW324" i="20"/>
  <c r="AX324" i="20"/>
  <c r="AY324" i="20"/>
  <c r="AZ324" i="20"/>
  <c r="BG324" i="20"/>
  <c r="BH324" i="20"/>
  <c r="A325" i="20"/>
  <c r="AO325" i="20"/>
  <c r="AQ325" i="20"/>
  <c r="AR325" i="20"/>
  <c r="AS325" i="20"/>
  <c r="AT325" i="20"/>
  <c r="A326" i="20"/>
  <c r="AS326" i="20"/>
  <c r="AO326" i="20"/>
  <c r="AQ326" i="20"/>
  <c r="AR326" i="20"/>
  <c r="AT326" i="20"/>
  <c r="AU326" i="20" s="1"/>
  <c r="A327" i="20"/>
  <c r="AR327" i="20"/>
  <c r="AO327" i="20"/>
  <c r="AQ327" i="20"/>
  <c r="AS327" i="20"/>
  <c r="AT327" i="20"/>
  <c r="A328" i="20"/>
  <c r="AR328" i="20"/>
  <c r="AO328" i="20"/>
  <c r="AQ328" i="20"/>
  <c r="AS328" i="20"/>
  <c r="AT328" i="20"/>
  <c r="A329" i="20"/>
  <c r="AU329" i="20"/>
  <c r="AO329" i="20"/>
  <c r="AQ329" i="20"/>
  <c r="AR329" i="20"/>
  <c r="AS329" i="20"/>
  <c r="AT329" i="20"/>
  <c r="A330" i="20"/>
  <c r="AO330" i="20"/>
  <c r="AQ330" i="20"/>
  <c r="AR330" i="20"/>
  <c r="AS330" i="20"/>
  <c r="AT330" i="20"/>
  <c r="AU330" i="20" s="1"/>
  <c r="A331" i="20"/>
  <c r="AR331" i="20"/>
  <c r="AO331" i="20"/>
  <c r="AQ331" i="20"/>
  <c r="AS331" i="20"/>
  <c r="AT331" i="20"/>
  <c r="A332" i="20"/>
  <c r="AR332" i="20"/>
  <c r="AO332" i="20"/>
  <c r="AQ332" i="20"/>
  <c r="AS332" i="20"/>
  <c r="AT332" i="20"/>
  <c r="A333" i="20"/>
  <c r="AO333" i="20"/>
  <c r="AQ333" i="20"/>
  <c r="AR333" i="20"/>
  <c r="AT333" i="20"/>
  <c r="A334" i="20"/>
  <c r="AO334" i="20"/>
  <c r="AQ334" i="20"/>
  <c r="AR334" i="20"/>
  <c r="AS334" i="20"/>
  <c r="AT334" i="20"/>
  <c r="A335" i="20"/>
  <c r="AS335" i="20"/>
  <c r="AO335" i="20"/>
  <c r="AQ335" i="20"/>
  <c r="AR335" i="20"/>
  <c r="AT335" i="20"/>
  <c r="A336" i="20"/>
  <c r="AR336" i="20"/>
  <c r="AS336" i="20"/>
  <c r="AO336" i="20"/>
  <c r="AQ336" i="20"/>
  <c r="AT336" i="20"/>
  <c r="A337" i="20"/>
  <c r="AR337" i="20"/>
  <c r="AO337" i="20"/>
  <c r="AQ337" i="20"/>
  <c r="AT337" i="20"/>
  <c r="A338" i="20"/>
  <c r="AR338" i="20"/>
  <c r="AO338" i="20"/>
  <c r="AQ338" i="20"/>
  <c r="AS338" i="20"/>
  <c r="AT338" i="20"/>
  <c r="A339" i="20"/>
  <c r="AO339" i="20"/>
  <c r="AQ339" i="20"/>
  <c r="AR339" i="20"/>
  <c r="AS339" i="20"/>
  <c r="AT339" i="20"/>
  <c r="A340" i="20"/>
  <c r="AS340" i="20"/>
  <c r="AO340" i="20"/>
  <c r="AQ340" i="20"/>
  <c r="AR340" i="20"/>
  <c r="AT340" i="20"/>
  <c r="A341" i="20"/>
  <c r="AO341" i="20"/>
  <c r="AQ341" i="20"/>
  <c r="AR341" i="20"/>
  <c r="AT341" i="20"/>
  <c r="A342" i="20"/>
  <c r="AR342" i="20"/>
  <c r="AO342" i="20"/>
  <c r="AQ342" i="20"/>
  <c r="AT342" i="20"/>
  <c r="A343" i="20"/>
  <c r="AO343" i="20"/>
  <c r="AQ343" i="20"/>
  <c r="AR343" i="20"/>
  <c r="AS343" i="20"/>
  <c r="AT343" i="20"/>
  <c r="AZ343" i="20"/>
  <c r="A344" i="20"/>
  <c r="AO344" i="20"/>
  <c r="AQ344" i="20"/>
  <c r="AR344" i="20"/>
  <c r="AT344" i="20"/>
  <c r="A345" i="20"/>
  <c r="AS345" i="20"/>
  <c r="AO345" i="20"/>
  <c r="AQ345" i="20"/>
  <c r="AR345" i="20"/>
  <c r="AT345" i="20"/>
  <c r="AZ345" i="20"/>
  <c r="A346" i="20"/>
  <c r="AO346" i="20"/>
  <c r="AQ346" i="20"/>
  <c r="AR346" i="20"/>
  <c r="AS346" i="20"/>
  <c r="AT346" i="20"/>
  <c r="AZ346" i="20"/>
  <c r="A347" i="20"/>
  <c r="AR347" i="20"/>
  <c r="AO347" i="20"/>
  <c r="AQ347" i="20"/>
  <c r="AS347" i="20"/>
  <c r="AT347" i="20"/>
  <c r="AZ347" i="20"/>
  <c r="A348" i="20"/>
  <c r="AO348" i="20"/>
  <c r="AQ348" i="20"/>
  <c r="AR348" i="20"/>
  <c r="AS348" i="20"/>
  <c r="AT348" i="20"/>
  <c r="A349" i="20"/>
  <c r="AZ349" i="20"/>
  <c r="AO349" i="20"/>
  <c r="AQ349" i="20"/>
  <c r="AR349" i="20"/>
  <c r="AS349" i="20"/>
  <c r="AT349" i="20"/>
  <c r="A350" i="20"/>
  <c r="AO350" i="20"/>
  <c r="AQ350" i="20"/>
  <c r="AR350" i="20"/>
  <c r="AS350" i="20"/>
  <c r="AT350" i="20"/>
  <c r="AU350" i="20"/>
  <c r="BG350" i="20"/>
  <c r="A351" i="20"/>
  <c r="AO351" i="20"/>
  <c r="AQ351" i="20"/>
  <c r="AR351" i="20"/>
  <c r="AS351" i="20"/>
  <c r="AT351" i="20"/>
  <c r="AU351" i="20"/>
  <c r="BG351" i="20"/>
  <c r="A352" i="20"/>
  <c r="AO352" i="20"/>
  <c r="AQ352" i="20"/>
  <c r="AR352" i="20"/>
  <c r="AS352" i="20"/>
  <c r="AT352" i="20"/>
  <c r="AU352" i="20"/>
  <c r="BG352" i="20"/>
  <c r="A353" i="20"/>
  <c r="AO353" i="20"/>
  <c r="AQ353" i="20"/>
  <c r="AR353" i="20"/>
  <c r="AS353" i="20"/>
  <c r="AT353" i="20"/>
  <c r="AU353" i="20"/>
  <c r="BG353" i="20"/>
  <c r="A354" i="20"/>
  <c r="AO354" i="20"/>
  <c r="AQ354" i="20"/>
  <c r="AR354" i="20"/>
  <c r="AS354" i="20"/>
  <c r="AT354" i="20"/>
  <c r="AU354" i="20"/>
  <c r="BG354" i="20"/>
  <c r="A355" i="20"/>
  <c r="AO355" i="20"/>
  <c r="AQ355" i="20"/>
  <c r="AR355" i="20"/>
  <c r="AS355" i="20"/>
  <c r="AT355" i="20"/>
  <c r="AU355" i="20"/>
  <c r="BG355" i="20"/>
  <c r="A356" i="20"/>
  <c r="AO356" i="20"/>
  <c r="AQ356" i="20"/>
  <c r="AR356" i="20"/>
  <c r="AS356" i="20"/>
  <c r="AT356" i="20"/>
  <c r="AU356" i="20"/>
  <c r="AV356" i="20" s="1"/>
  <c r="BG356" i="20"/>
  <c r="A357" i="20"/>
  <c r="AO357" i="20"/>
  <c r="AQ357" i="20"/>
  <c r="AR357" i="20"/>
  <c r="AS357" i="20"/>
  <c r="AT357" i="20"/>
  <c r="AU357" i="20"/>
  <c r="BG357" i="20"/>
  <c r="A358" i="20"/>
  <c r="AO358" i="20"/>
  <c r="AQ358" i="20"/>
  <c r="AR358" i="20"/>
  <c r="AS358" i="20"/>
  <c r="AT358" i="20"/>
  <c r="AU358" i="20"/>
  <c r="BG358" i="20"/>
  <c r="BH358" i="20"/>
  <c r="A359" i="20"/>
  <c r="AU359" i="20"/>
  <c r="AO359" i="20"/>
  <c r="AQ359" i="20"/>
  <c r="AR359" i="20"/>
  <c r="AS359" i="20"/>
  <c r="AT359" i="20"/>
  <c r="BG359" i="20"/>
  <c r="A360" i="20"/>
  <c r="BG360" i="20"/>
  <c r="AO360" i="20"/>
  <c r="AQ360" i="20"/>
  <c r="AR360" i="20"/>
  <c r="AS360" i="20"/>
  <c r="AT360" i="20"/>
  <c r="AU360" i="20"/>
  <c r="A361" i="20"/>
  <c r="AR361" i="20"/>
  <c r="AU361" i="20"/>
  <c r="AO361" i="20"/>
  <c r="AQ361" i="20"/>
  <c r="AS361" i="20"/>
  <c r="AT361" i="20"/>
  <c r="BG361" i="20"/>
  <c r="A362" i="20"/>
  <c r="BG362" i="20"/>
  <c r="AO362" i="20"/>
  <c r="AQ362" i="20"/>
  <c r="AR362" i="20"/>
  <c r="AS362" i="20"/>
  <c r="AT362" i="20"/>
  <c r="AU362" i="20"/>
  <c r="A363" i="20"/>
  <c r="AR363" i="20"/>
  <c r="AU363" i="20"/>
  <c r="AO363" i="20"/>
  <c r="AQ363" i="20"/>
  <c r="AS363" i="20"/>
  <c r="AT363" i="20"/>
  <c r="BG363" i="20"/>
  <c r="A364" i="20"/>
  <c r="BG364" i="20"/>
  <c r="AO364" i="20"/>
  <c r="AQ364" i="20"/>
  <c r="AR364" i="20"/>
  <c r="AS364" i="20"/>
  <c r="AT364" i="20"/>
  <c r="AU364" i="20"/>
  <c r="A365" i="20"/>
  <c r="AR365" i="20"/>
  <c r="AU365" i="20"/>
  <c r="AO365" i="20"/>
  <c r="AQ365" i="20"/>
  <c r="AS365" i="20"/>
  <c r="AT365" i="20"/>
  <c r="BG365" i="20"/>
  <c r="A366" i="20"/>
  <c r="AR366" i="20"/>
  <c r="AZ366" i="20"/>
  <c r="BA366" i="20" s="1"/>
  <c r="AO366" i="20"/>
  <c r="AQ366" i="20"/>
  <c r="AS366" i="20"/>
  <c r="AT366" i="20"/>
  <c r="A367" i="20"/>
  <c r="AZ367" i="20"/>
  <c r="AO367" i="20"/>
  <c r="AQ367" i="20"/>
  <c r="AR367" i="20"/>
  <c r="AS367" i="20"/>
  <c r="AT367" i="20"/>
  <c r="A368" i="20"/>
  <c r="AU368" i="20"/>
  <c r="AO368" i="20"/>
  <c r="AQ368" i="20"/>
  <c r="AR368" i="20"/>
  <c r="AS368" i="20"/>
  <c r="AT368" i="20"/>
  <c r="AZ368" i="20"/>
  <c r="A369" i="20"/>
  <c r="AO369" i="20"/>
  <c r="AQ369" i="20"/>
  <c r="AR369" i="20"/>
  <c r="AS369" i="20"/>
  <c r="AT369" i="20"/>
  <c r="AZ369" i="20"/>
  <c r="A370" i="20"/>
  <c r="AR370" i="20"/>
  <c r="AU370" i="20"/>
  <c r="AO370" i="20"/>
  <c r="AQ370" i="20"/>
  <c r="AS370" i="20"/>
  <c r="AT370" i="20"/>
  <c r="AZ370" i="20"/>
  <c r="A371" i="20"/>
  <c r="AO371" i="20"/>
  <c r="AQ371" i="20"/>
  <c r="AR371" i="20"/>
  <c r="AT371" i="20"/>
  <c r="A372" i="20"/>
  <c r="AZ372" i="20"/>
  <c r="AO372" i="20"/>
  <c r="AQ372" i="20"/>
  <c r="AR372" i="20"/>
  <c r="AT372" i="20"/>
  <c r="A373" i="20"/>
  <c r="AR373" i="20"/>
  <c r="AO373" i="20"/>
  <c r="AQ373" i="20"/>
  <c r="AS373" i="20"/>
  <c r="AT373" i="20"/>
  <c r="AZ373" i="20"/>
  <c r="A374" i="20"/>
  <c r="AZ374" i="20"/>
  <c r="AO374" i="20"/>
  <c r="AQ374" i="20"/>
  <c r="AR374" i="20"/>
  <c r="AS374" i="20"/>
  <c r="AT374" i="20"/>
  <c r="A375" i="20"/>
  <c r="AO375" i="20"/>
  <c r="AQ375" i="20"/>
  <c r="AR375" i="20"/>
  <c r="AS375" i="20"/>
  <c r="AT375" i="20"/>
  <c r="AZ375" i="20"/>
  <c r="A376" i="20"/>
  <c r="AO376" i="20"/>
  <c r="AQ376" i="20"/>
  <c r="AR376" i="20"/>
  <c r="AS376" i="20"/>
  <c r="AT376" i="20"/>
  <c r="A377" i="20"/>
  <c r="AO377" i="20"/>
  <c r="AQ377" i="20"/>
  <c r="AR377" i="20"/>
  <c r="AS377" i="20"/>
  <c r="AT377" i="20"/>
  <c r="AZ377" i="20"/>
  <c r="A378" i="20"/>
  <c r="AS378" i="20"/>
  <c r="AO378" i="20"/>
  <c r="AQ378" i="20"/>
  <c r="AR378" i="20"/>
  <c r="AT378" i="20"/>
  <c r="A379" i="20"/>
  <c r="AZ379" i="20"/>
  <c r="BA379" i="20" s="1"/>
  <c r="AO379" i="20"/>
  <c r="AQ379" i="20"/>
  <c r="AR379" i="20"/>
  <c r="AS379" i="20"/>
  <c r="AT379" i="20"/>
  <c r="A380" i="20"/>
  <c r="AS380" i="20"/>
  <c r="AO380" i="20"/>
  <c r="AQ380" i="20"/>
  <c r="AR380" i="20"/>
  <c r="AT380" i="20"/>
  <c r="A381" i="20"/>
  <c r="AZ381" i="20"/>
  <c r="AO381" i="20"/>
  <c r="AQ381" i="20"/>
  <c r="AR381" i="20"/>
  <c r="AS381" i="20"/>
  <c r="AT381" i="20"/>
  <c r="A382" i="20"/>
  <c r="AO382" i="20"/>
  <c r="AQ382" i="20"/>
  <c r="AR382" i="20"/>
  <c r="AT382" i="20"/>
  <c r="A383" i="20"/>
  <c r="AW383" i="20"/>
  <c r="AO383" i="20"/>
  <c r="AQ383" i="20"/>
  <c r="AR383" i="20"/>
  <c r="AT383" i="20"/>
  <c r="A384" i="20"/>
  <c r="AX384" i="20"/>
  <c r="AO384" i="20"/>
  <c r="AQ384" i="20"/>
  <c r="AR384" i="20"/>
  <c r="AS384" i="20"/>
  <c r="AT384" i="20"/>
  <c r="AW384" i="20"/>
  <c r="BA384" i="20"/>
  <c r="A385" i="20"/>
  <c r="AO385" i="20"/>
  <c r="AQ385" i="20"/>
  <c r="AR385" i="20"/>
  <c r="AS385" i="20"/>
  <c r="AT385" i="20"/>
  <c r="AW385" i="20"/>
  <c r="AX385" i="20"/>
  <c r="AZ385" i="20"/>
  <c r="BA385" i="20"/>
  <c r="BB385" i="20"/>
  <c r="BH385" i="20"/>
  <c r="A386" i="20"/>
  <c r="BA386" i="20"/>
  <c r="AO386" i="20"/>
  <c r="AQ386" i="20"/>
  <c r="AR386" i="20"/>
  <c r="AT386" i="20"/>
  <c r="AW386" i="20"/>
  <c r="AX386" i="20"/>
  <c r="AZ386" i="20"/>
  <c r="BB386" i="20"/>
  <c r="BH386" i="20"/>
  <c r="A387" i="20"/>
  <c r="AO387" i="20"/>
  <c r="AQ387" i="20"/>
  <c r="AR387" i="20"/>
  <c r="AT387" i="20"/>
  <c r="AW387" i="20"/>
  <c r="A388" i="20"/>
  <c r="AX388" i="20"/>
  <c r="AO388" i="20"/>
  <c r="AQ388" i="20"/>
  <c r="AR388" i="20"/>
  <c r="AS388" i="20"/>
  <c r="AT388" i="20"/>
  <c r="AW388" i="20"/>
  <c r="BA388" i="20"/>
  <c r="A389" i="20"/>
  <c r="BA389" i="20"/>
  <c r="AO389" i="20"/>
  <c r="AQ389" i="20"/>
  <c r="AR389" i="20"/>
  <c r="AT389" i="20"/>
  <c r="AV389" i="20"/>
  <c r="A390" i="20"/>
  <c r="AO390" i="20"/>
  <c r="AQ390" i="20"/>
  <c r="AR390" i="20"/>
  <c r="AT390" i="20"/>
  <c r="AX390" i="20"/>
  <c r="BA390" i="20"/>
  <c r="A391" i="20"/>
  <c r="AR391" i="20"/>
  <c r="AS391" i="20"/>
  <c r="AO391" i="20"/>
  <c r="AQ391" i="20"/>
  <c r="AT391" i="20"/>
  <c r="AV391" i="20"/>
  <c r="AW391" i="20"/>
  <c r="AX391" i="20"/>
  <c r="AY391" i="20"/>
  <c r="AZ391" i="20"/>
  <c r="BA391" i="20"/>
  <c r="BD391" i="20"/>
  <c r="BE391" i="20" s="1"/>
  <c r="BF391" i="20"/>
  <c r="BG391" i="20"/>
  <c r="BH391" i="20"/>
  <c r="A392" i="20"/>
  <c r="AV392" i="20"/>
  <c r="AO392" i="20"/>
  <c r="AQ392" i="20"/>
  <c r="AR392" i="20"/>
  <c r="AS392" i="20"/>
  <c r="AT392" i="20"/>
  <c r="AW392" i="20"/>
  <c r="AZ392" i="20"/>
  <c r="BA392" i="20"/>
  <c r="BB392" i="20"/>
  <c r="BD392" i="20"/>
  <c r="A393" i="20"/>
  <c r="AR393" i="20"/>
  <c r="BG393" i="20"/>
  <c r="AO393" i="20"/>
  <c r="AQ393" i="20"/>
  <c r="AS393" i="20"/>
  <c r="AT393" i="20"/>
  <c r="AU393" i="20"/>
  <c r="AV393" i="20" s="1"/>
  <c r="A394" i="20"/>
  <c r="AR394" i="20"/>
  <c r="AO394" i="20"/>
  <c r="AQ394" i="20"/>
  <c r="AS394" i="20"/>
  <c r="AT394" i="20"/>
  <c r="AU394" i="20"/>
  <c r="BG394" i="20"/>
  <c r="A395" i="20"/>
  <c r="AO395" i="20"/>
  <c r="AQ395" i="20"/>
  <c r="AR395" i="20"/>
  <c r="AS395" i="20"/>
  <c r="AT395" i="20"/>
  <c r="A396" i="20"/>
  <c r="AO396" i="20"/>
  <c r="AQ396" i="20"/>
  <c r="AR396" i="20"/>
  <c r="AS396" i="20"/>
  <c r="AT396" i="20"/>
  <c r="AU396" i="20"/>
  <c r="BG396" i="20"/>
  <c r="A397" i="20"/>
  <c r="BG397" i="20"/>
  <c r="AO397" i="20"/>
  <c r="AQ397" i="20"/>
  <c r="AR397" i="20"/>
  <c r="AS397" i="20"/>
  <c r="AT397" i="20"/>
  <c r="AU397" i="20"/>
  <c r="A398" i="20"/>
  <c r="AR398" i="20"/>
  <c r="AS398" i="20"/>
  <c r="AO398" i="20"/>
  <c r="AQ398" i="20"/>
  <c r="AT398" i="20"/>
  <c r="BG398" i="20"/>
  <c r="A399" i="20"/>
  <c r="AR399" i="20"/>
  <c r="AZ399" i="20"/>
  <c r="AU399" i="20"/>
  <c r="AO399" i="20"/>
  <c r="AQ399" i="20"/>
  <c r="AS399" i="20"/>
  <c r="AT399" i="20"/>
  <c r="A400" i="20"/>
  <c r="AR400" i="20"/>
  <c r="AO400" i="20"/>
  <c r="AQ400" i="20"/>
  <c r="AS400" i="20"/>
  <c r="AT400" i="20"/>
  <c r="AU400" i="20" s="1"/>
  <c r="AZ400" i="20"/>
  <c r="A401" i="20"/>
  <c r="AO401" i="20"/>
  <c r="AQ401" i="20"/>
  <c r="AR401" i="20"/>
  <c r="AS401" i="20"/>
  <c r="AT401" i="20"/>
  <c r="AZ401" i="20"/>
  <c r="A402" i="20"/>
  <c r="AO402" i="20"/>
  <c r="AQ402" i="20"/>
  <c r="AR402" i="20"/>
  <c r="AS402" i="20"/>
  <c r="AT402" i="20"/>
  <c r="AU402" i="20" s="1"/>
  <c r="AZ402" i="20"/>
  <c r="A403" i="20"/>
  <c r="AO403" i="20"/>
  <c r="AQ403" i="20"/>
  <c r="AR403" i="20"/>
  <c r="AS403" i="20"/>
  <c r="AT403" i="20"/>
  <c r="AZ403" i="20"/>
  <c r="A404" i="20"/>
  <c r="AO404" i="20"/>
  <c r="AQ404" i="20"/>
  <c r="AR404" i="20"/>
  <c r="AS404" i="20"/>
  <c r="AT404" i="20"/>
  <c r="A405" i="20"/>
  <c r="AO405" i="20"/>
  <c r="AQ405" i="20"/>
  <c r="AR405" i="20"/>
  <c r="AS405" i="20"/>
  <c r="AT405" i="20"/>
  <c r="AZ405" i="20"/>
  <c r="A406" i="20"/>
  <c r="AR406" i="20"/>
  <c r="AZ406" i="20"/>
  <c r="AO406" i="20"/>
  <c r="AQ406" i="20"/>
  <c r="AS406" i="20"/>
  <c r="AT406" i="20"/>
  <c r="AU406" i="20" s="1"/>
  <c r="A407" i="20"/>
  <c r="AR407" i="20"/>
  <c r="AO407" i="20"/>
  <c r="AQ407" i="20"/>
  <c r="AS407" i="20"/>
  <c r="AT407" i="20"/>
  <c r="AU407" i="20" s="1"/>
  <c r="AZ407" i="20"/>
  <c r="BA407" i="20" s="1"/>
  <c r="A408" i="20"/>
  <c r="AO408" i="20"/>
  <c r="AQ408" i="20"/>
  <c r="AR408" i="20"/>
  <c r="AS408" i="20"/>
  <c r="AT408" i="20"/>
  <c r="AZ408" i="20"/>
  <c r="A409" i="20"/>
  <c r="AO409" i="20"/>
  <c r="AQ409" i="20"/>
  <c r="AR409" i="20"/>
  <c r="AS409" i="20"/>
  <c r="AT409" i="20"/>
  <c r="AZ409" i="20"/>
  <c r="A410" i="20"/>
  <c r="AO410" i="20"/>
  <c r="AQ410" i="20"/>
  <c r="AR410" i="20"/>
  <c r="AS410" i="20"/>
  <c r="AT410" i="20"/>
  <c r="AZ410" i="20"/>
  <c r="A411" i="20"/>
  <c r="AU411" i="20"/>
  <c r="AO411" i="20"/>
  <c r="AQ411" i="20"/>
  <c r="AR411" i="20"/>
  <c r="AS411" i="20"/>
  <c r="AT411" i="20"/>
  <c r="A412" i="20"/>
  <c r="AO412" i="20"/>
  <c r="AQ412" i="20"/>
  <c r="AR412" i="20"/>
  <c r="AS412" i="20"/>
  <c r="AT412" i="20"/>
  <c r="AZ412" i="20"/>
  <c r="A413" i="20"/>
  <c r="AS413" i="20"/>
  <c r="AO413" i="20"/>
  <c r="AQ413" i="20"/>
  <c r="AR413" i="20"/>
  <c r="AT413" i="20"/>
  <c r="AU413" i="20"/>
  <c r="BG413" i="20"/>
  <c r="A414" i="20"/>
  <c r="AR414" i="20"/>
  <c r="AO414" i="20"/>
  <c r="AQ414" i="20"/>
  <c r="AS414" i="20"/>
  <c r="AT414" i="20"/>
  <c r="AU414" i="20"/>
  <c r="BG414" i="20"/>
  <c r="A415" i="20"/>
  <c r="AR415" i="20"/>
  <c r="AO415" i="20"/>
  <c r="AQ415" i="20"/>
  <c r="AS415" i="20"/>
  <c r="AT415" i="20"/>
  <c r="AU415" i="20"/>
  <c r="BG415" i="20"/>
  <c r="A416" i="20"/>
  <c r="AR416" i="20"/>
  <c r="BG416" i="20"/>
  <c r="AO416" i="20"/>
  <c r="AQ416" i="20"/>
  <c r="AS416" i="20"/>
  <c r="AT416" i="20"/>
  <c r="AU416" i="20"/>
  <c r="A417" i="20"/>
  <c r="AR417" i="20"/>
  <c r="BG417" i="20"/>
  <c r="AO417" i="20"/>
  <c r="AQ417" i="20"/>
  <c r="AS417" i="20"/>
  <c r="AT417" i="20"/>
  <c r="AU417" i="20"/>
  <c r="A418" i="20"/>
  <c r="AO418" i="20"/>
  <c r="AQ418" i="20"/>
  <c r="AR418" i="20"/>
  <c r="AT418" i="20"/>
  <c r="AU418" i="20"/>
  <c r="A419" i="20"/>
  <c r="AO419" i="20"/>
  <c r="AQ419" i="20"/>
  <c r="AR419" i="20"/>
  <c r="AT419" i="20"/>
  <c r="AU419" i="20"/>
  <c r="A420" i="20"/>
  <c r="AS420" i="20"/>
  <c r="AO420" i="20"/>
  <c r="AQ420" i="20"/>
  <c r="AR420" i="20"/>
  <c r="AT420" i="20"/>
  <c r="AU420" i="20"/>
  <c r="BG420" i="20"/>
  <c r="A421" i="20"/>
  <c r="AS421" i="20"/>
  <c r="AO421" i="20"/>
  <c r="AQ421" i="20"/>
  <c r="AR421" i="20"/>
  <c r="AT421" i="20"/>
  <c r="AU421" i="20"/>
  <c r="BG421" i="20"/>
  <c r="A422" i="20"/>
  <c r="AR422" i="20"/>
  <c r="AO422" i="20"/>
  <c r="AQ422" i="20"/>
  <c r="AS422" i="20"/>
  <c r="AT422" i="20"/>
  <c r="AU422" i="20"/>
  <c r="BG422" i="20"/>
  <c r="A423" i="20"/>
  <c r="AR423" i="20"/>
  <c r="AO423" i="20"/>
  <c r="AQ423" i="20"/>
  <c r="AS423" i="20"/>
  <c r="AT423" i="20"/>
  <c r="AU423" i="20"/>
  <c r="BG423" i="20"/>
  <c r="A424" i="20"/>
  <c r="AR424" i="20"/>
  <c r="AU424" i="20"/>
  <c r="AO424" i="20"/>
  <c r="AQ424" i="20"/>
  <c r="AS424" i="20"/>
  <c r="AT424" i="20"/>
  <c r="A425" i="20"/>
  <c r="AU425" i="20"/>
  <c r="BE425" i="20"/>
  <c r="AO425" i="20"/>
  <c r="AQ425" i="20"/>
  <c r="AR425" i="20"/>
  <c r="AS425" i="20"/>
  <c r="AT425" i="20"/>
  <c r="BA425" i="20"/>
  <c r="BD425" i="20"/>
  <c r="A426" i="20"/>
  <c r="AR426" i="20"/>
  <c r="AO426" i="20"/>
  <c r="AQ426" i="20"/>
  <c r="AT426" i="20"/>
  <c r="AU426" i="20" s="1"/>
  <c r="A427" i="20"/>
  <c r="AO427" i="20"/>
  <c r="AQ427" i="20"/>
  <c r="AR427" i="20"/>
  <c r="AS427" i="20"/>
  <c r="AT427" i="20"/>
  <c r="AU427" i="20" s="1"/>
  <c r="BA427" i="20"/>
  <c r="BD427" i="20"/>
  <c r="A428" i="20"/>
  <c r="AR428" i="20"/>
  <c r="AU428" i="20"/>
  <c r="AO428" i="20"/>
  <c r="AQ428" i="20"/>
  <c r="AT428" i="20"/>
  <c r="A429" i="20"/>
  <c r="AO429" i="20"/>
  <c r="AQ429" i="20"/>
  <c r="AR429" i="20"/>
  <c r="AS429" i="20"/>
  <c r="AT429" i="20"/>
  <c r="BA429" i="20"/>
  <c r="BD429" i="20"/>
  <c r="A430" i="20"/>
  <c r="AO430" i="20"/>
  <c r="AQ430" i="20"/>
  <c r="AR430" i="20"/>
  <c r="AS430" i="20"/>
  <c r="AT430" i="20"/>
  <c r="BA430" i="20"/>
  <c r="BB430" i="20" s="1"/>
  <c r="BC430" i="20" s="1"/>
  <c r="BD430" i="20"/>
  <c r="A431" i="20"/>
  <c r="AR431" i="20"/>
  <c r="AO431" i="20"/>
  <c r="AQ431" i="20"/>
  <c r="AS431" i="20"/>
  <c r="AT431" i="20"/>
  <c r="AU431" i="20"/>
  <c r="AZ431" i="20"/>
  <c r="BG431" i="20"/>
  <c r="A432" i="20"/>
  <c r="AR432" i="20"/>
  <c r="AZ432" i="20"/>
  <c r="AO432" i="20"/>
  <c r="AQ432" i="20"/>
  <c r="AS432" i="20"/>
  <c r="AT432" i="20"/>
  <c r="BG432" i="20"/>
  <c r="A433" i="20"/>
  <c r="AO433" i="20"/>
  <c r="AQ433" i="20"/>
  <c r="AR433" i="20"/>
  <c r="AS433" i="20"/>
  <c r="AT433" i="20"/>
  <c r="AU433" i="20"/>
  <c r="AZ433" i="20"/>
  <c r="BA433" i="20" s="1"/>
  <c r="BD433" i="20"/>
  <c r="BG433" i="20"/>
  <c r="A434" i="20"/>
  <c r="BG434" i="20"/>
  <c r="AO434" i="20"/>
  <c r="AQ434" i="20"/>
  <c r="AR434" i="20"/>
  <c r="AS434" i="20"/>
  <c r="AT434" i="20"/>
  <c r="AU434" i="20"/>
  <c r="AV434" i="20" s="1"/>
  <c r="AZ434" i="20"/>
  <c r="BD434" i="20"/>
  <c r="A435" i="20"/>
  <c r="AR435" i="20"/>
  <c r="BE435" i="20"/>
  <c r="AO435" i="20"/>
  <c r="AQ435" i="20"/>
  <c r="AS435" i="20"/>
  <c r="AT435" i="20"/>
  <c r="AU435" i="20"/>
  <c r="BD435" i="20"/>
  <c r="A436" i="20"/>
  <c r="AR436" i="20"/>
  <c r="AZ436" i="20"/>
  <c r="AO436" i="20"/>
  <c r="AQ436" i="20"/>
  <c r="AS436" i="20"/>
  <c r="AT436" i="20"/>
  <c r="BD436" i="20"/>
  <c r="BG436" i="20"/>
  <c r="A437" i="20"/>
  <c r="AS437" i="20"/>
  <c r="AO437" i="20"/>
  <c r="AQ437" i="20"/>
  <c r="AR437" i="20"/>
  <c r="AT437" i="20"/>
  <c r="AU437" i="20"/>
  <c r="AZ437" i="20"/>
  <c r="BA437" i="20" s="1"/>
  <c r="BD437" i="20"/>
  <c r="BE437" i="20" s="1"/>
  <c r="BG437" i="20"/>
  <c r="A438" i="20"/>
  <c r="BG438" i="20"/>
  <c r="AO438" i="20"/>
  <c r="AQ438" i="20"/>
  <c r="AR438" i="20"/>
  <c r="AS438" i="20"/>
  <c r="AT438" i="20"/>
  <c r="AU438" i="20"/>
  <c r="AV438" i="20" s="1"/>
  <c r="AZ438" i="20"/>
  <c r="A439" i="20"/>
  <c r="AR439" i="20"/>
  <c r="BG439" i="20"/>
  <c r="AO439" i="20"/>
  <c r="AQ439" i="20"/>
  <c r="AS439" i="20"/>
  <c r="AT439" i="20"/>
  <c r="AU439" i="20"/>
  <c r="A440" i="20"/>
  <c r="AS440" i="20"/>
  <c r="AO440" i="20"/>
  <c r="AQ440" i="20"/>
  <c r="AR440" i="20"/>
  <c r="AT440" i="20"/>
  <c r="AU440" i="20"/>
  <c r="BG440" i="20"/>
  <c r="A441" i="20"/>
  <c r="AS441" i="20"/>
  <c r="AO441" i="20"/>
  <c r="AQ441" i="20"/>
  <c r="AR441" i="20"/>
  <c r="AT441" i="20"/>
  <c r="AU441" i="20"/>
  <c r="BG441" i="20"/>
  <c r="A442" i="20"/>
  <c r="AR442" i="20"/>
  <c r="AO442" i="20"/>
  <c r="AQ442" i="20"/>
  <c r="AS442" i="20"/>
  <c r="AT442" i="20"/>
  <c r="AU442" i="20"/>
  <c r="BG442" i="20"/>
  <c r="A443" i="20"/>
  <c r="AR443" i="20"/>
  <c r="AO443" i="20"/>
  <c r="AQ443" i="20"/>
  <c r="AS443" i="20"/>
  <c r="AT443" i="20"/>
  <c r="AU443" i="20"/>
  <c r="BG443" i="20"/>
  <c r="A444" i="20"/>
  <c r="AR444" i="20"/>
  <c r="AU444" i="20"/>
  <c r="AO444" i="20"/>
  <c r="AQ444" i="20"/>
  <c r="AT444" i="20"/>
  <c r="A445" i="20"/>
  <c r="BG445" i="20"/>
  <c r="AO445" i="20"/>
  <c r="AQ445" i="20"/>
  <c r="AR445" i="20"/>
  <c r="AS445" i="20"/>
  <c r="AT445" i="20"/>
  <c r="AU445" i="20"/>
  <c r="A446" i="20"/>
  <c r="AR446" i="20"/>
  <c r="AO446" i="20"/>
  <c r="AQ446" i="20"/>
  <c r="AT446" i="20"/>
  <c r="A447" i="20"/>
  <c r="AS447" i="20"/>
  <c r="AO447" i="20"/>
  <c r="AQ447" i="20"/>
  <c r="AR447" i="20"/>
  <c r="AT447" i="20"/>
  <c r="AU447" i="20"/>
  <c r="A448" i="20"/>
  <c r="AS448" i="20"/>
  <c r="AO448" i="20"/>
  <c r="AQ448" i="20"/>
  <c r="AR448" i="20"/>
  <c r="AT448" i="20"/>
  <c r="AU448" i="20"/>
  <c r="BG448" i="20"/>
  <c r="A449" i="20"/>
  <c r="AR449" i="20"/>
  <c r="AO449" i="20"/>
  <c r="AQ449" i="20"/>
  <c r="AT449" i="20"/>
  <c r="A450" i="20"/>
  <c r="BG450" i="20"/>
  <c r="AO450" i="20"/>
  <c r="AQ450" i="20"/>
  <c r="AR450" i="20"/>
  <c r="AS450" i="20"/>
  <c r="AT450" i="20"/>
  <c r="AU450" i="20"/>
  <c r="AZ450" i="20"/>
  <c r="BA450" i="20" s="1"/>
  <c r="BD450" i="20"/>
  <c r="A451" i="20"/>
  <c r="BG451" i="20"/>
  <c r="AO451" i="20"/>
  <c r="AQ451" i="20"/>
  <c r="AR451" i="20"/>
  <c r="AS451" i="20"/>
  <c r="AT451" i="20"/>
  <c r="AU451" i="20"/>
  <c r="AZ451" i="20"/>
  <c r="BD451" i="20"/>
  <c r="A452" i="20"/>
  <c r="AR452" i="20"/>
  <c r="AO452" i="20"/>
  <c r="AQ452" i="20"/>
  <c r="AT452" i="20"/>
  <c r="A453" i="20"/>
  <c r="AR453" i="20"/>
  <c r="AO453" i="20"/>
  <c r="AQ453" i="20"/>
  <c r="AT453" i="20"/>
  <c r="A454" i="20"/>
  <c r="BG454" i="20"/>
  <c r="AO454" i="20"/>
  <c r="AQ454" i="20"/>
  <c r="AR454" i="20"/>
  <c r="AS454" i="20"/>
  <c r="AT454" i="20"/>
  <c r="AU454" i="20"/>
  <c r="AZ454" i="20"/>
  <c r="BA454" i="20" s="1"/>
  <c r="A455" i="20"/>
  <c r="BG455" i="20"/>
  <c r="AO455" i="20"/>
  <c r="AQ455" i="20"/>
  <c r="AR455" i="20"/>
  <c r="AS455" i="20"/>
  <c r="AT455" i="20"/>
  <c r="AU455" i="20"/>
  <c r="AZ455" i="20"/>
  <c r="A456" i="20"/>
  <c r="AR456" i="20"/>
  <c r="AO456" i="20"/>
  <c r="AQ456" i="20"/>
  <c r="AT456" i="20"/>
  <c r="BD456" i="20"/>
  <c r="A457" i="20"/>
  <c r="AR457" i="20"/>
  <c r="AO457" i="20"/>
  <c r="AQ457" i="20"/>
  <c r="AT457" i="20"/>
  <c r="A458" i="20"/>
  <c r="AR458" i="20"/>
  <c r="BB458" i="20"/>
  <c r="AO458" i="20"/>
  <c r="AQ458" i="20"/>
  <c r="AS458" i="20"/>
  <c r="AT458" i="20"/>
  <c r="AU458" i="20"/>
  <c r="AV458" i="20"/>
  <c r="AX458" i="20"/>
  <c r="AY458" i="20"/>
  <c r="BA458" i="20"/>
  <c r="BC458" i="20"/>
  <c r="BD458" i="20"/>
  <c r="BG458" i="20"/>
  <c r="A459" i="20"/>
  <c r="AR459" i="20"/>
  <c r="BB459" i="20"/>
  <c r="AO459" i="20"/>
  <c r="AQ459" i="20"/>
  <c r="AS459" i="20"/>
  <c r="AT459" i="20"/>
  <c r="AU459" i="20"/>
  <c r="AV459" i="20"/>
  <c r="AX459" i="20"/>
  <c r="AY459" i="20"/>
  <c r="BA459" i="20"/>
  <c r="BC459" i="20"/>
  <c r="BD459" i="20"/>
  <c r="BG459" i="20"/>
  <c r="A460" i="20"/>
  <c r="AR460" i="20"/>
  <c r="BB460" i="20"/>
  <c r="AO460" i="20"/>
  <c r="AQ460" i="20"/>
  <c r="AS460" i="20"/>
  <c r="AT460" i="20"/>
  <c r="AU460" i="20"/>
  <c r="AV460" i="20"/>
  <c r="AX460" i="20"/>
  <c r="AY460" i="20"/>
  <c r="BA460" i="20"/>
  <c r="BC460" i="20"/>
  <c r="BD460" i="20"/>
  <c r="BG460" i="20"/>
  <c r="A461" i="20"/>
  <c r="AR461" i="20"/>
  <c r="BB461" i="20"/>
  <c r="AO461" i="20"/>
  <c r="AQ461" i="20"/>
  <c r="AS461" i="20"/>
  <c r="AT461" i="20"/>
  <c r="AU461" i="20"/>
  <c r="AV461" i="20"/>
  <c r="AX461" i="20"/>
  <c r="AY461" i="20"/>
  <c r="BA461" i="20"/>
  <c r="BC461" i="20"/>
  <c r="BD461" i="20"/>
  <c r="BG461" i="20"/>
  <c r="A462" i="20"/>
  <c r="AR462" i="20"/>
  <c r="BB462" i="20"/>
  <c r="AO462" i="20"/>
  <c r="AQ462" i="20"/>
  <c r="AS462" i="20"/>
  <c r="AT462" i="20"/>
  <c r="AU462" i="20"/>
  <c r="AV462" i="20"/>
  <c r="AX462" i="20"/>
  <c r="AY462" i="20"/>
  <c r="BA462" i="20"/>
  <c r="BC462" i="20"/>
  <c r="BD462" i="20"/>
  <c r="BG462" i="20"/>
  <c r="A463" i="20"/>
  <c r="AR463" i="20"/>
  <c r="BB463" i="20"/>
  <c r="AO463" i="20"/>
  <c r="AQ463" i="20"/>
  <c r="AS463" i="20"/>
  <c r="AT463" i="20"/>
  <c r="AU463" i="20"/>
  <c r="AV463" i="20"/>
  <c r="AX463" i="20"/>
  <c r="BA463" i="20"/>
  <c r="BC463" i="20"/>
  <c r="BD463" i="20"/>
  <c r="BG463" i="20"/>
  <c r="A464" i="20"/>
  <c r="AO464" i="20"/>
  <c r="AQ464" i="20"/>
  <c r="AR464" i="20"/>
  <c r="AT464" i="20"/>
  <c r="A465" i="20"/>
  <c r="BG465" i="20"/>
  <c r="AO465" i="20"/>
  <c r="AQ465" i="20"/>
  <c r="AR465" i="20"/>
  <c r="AS465" i="20"/>
  <c r="AT465" i="20"/>
  <c r="AU465" i="20"/>
  <c r="AX465" i="20"/>
  <c r="A466" i="20"/>
  <c r="AR466" i="20"/>
  <c r="AO466" i="20"/>
  <c r="AQ466" i="20"/>
  <c r="AT466" i="20"/>
  <c r="AU466" i="20"/>
  <c r="A467" i="20"/>
  <c r="AS467" i="20"/>
  <c r="AO467" i="20"/>
  <c r="AQ467" i="20"/>
  <c r="AR467" i="20"/>
  <c r="AT467" i="20"/>
  <c r="AU467" i="20"/>
  <c r="A468" i="20"/>
  <c r="AX468" i="20"/>
  <c r="AO468" i="20"/>
  <c r="AQ468" i="20"/>
  <c r="AR468" i="20"/>
  <c r="AT468" i="20"/>
  <c r="AU468" i="20"/>
  <c r="BG468" i="20"/>
  <c r="A469" i="20"/>
  <c r="AO469" i="20"/>
  <c r="AQ469" i="20"/>
  <c r="AR469" i="20"/>
  <c r="AS469" i="20"/>
  <c r="AT469" i="20"/>
  <c r="AU469" i="20"/>
  <c r="AX469" i="20"/>
  <c r="BG469" i="20"/>
  <c r="A470" i="20"/>
  <c r="AR470" i="20"/>
  <c r="AO470" i="20"/>
  <c r="AQ470" i="20"/>
  <c r="AS470" i="20"/>
  <c r="AT470" i="20"/>
  <c r="AU470" i="20"/>
  <c r="BG470" i="20"/>
  <c r="A471" i="20"/>
  <c r="AR471" i="20"/>
  <c r="AO471" i="20"/>
  <c r="AQ471" i="20"/>
  <c r="AS471" i="20"/>
  <c r="AT471" i="20"/>
  <c r="AU471" i="20"/>
  <c r="AX471" i="20"/>
  <c r="BG471" i="20"/>
  <c r="A472" i="20"/>
  <c r="AR472" i="20"/>
  <c r="AO472" i="20"/>
  <c r="AQ472" i="20"/>
  <c r="AS472" i="20"/>
  <c r="AT472" i="20"/>
  <c r="AU472" i="20"/>
  <c r="A473" i="20"/>
  <c r="BG473" i="20"/>
  <c r="AO473" i="20"/>
  <c r="AQ473" i="20"/>
  <c r="AR473" i="20"/>
  <c r="AS473" i="20"/>
  <c r="AT473" i="20"/>
  <c r="AU473" i="20"/>
  <c r="AX473" i="20"/>
  <c r="A474" i="20"/>
  <c r="AO474" i="20"/>
  <c r="AQ474" i="20"/>
  <c r="AR474" i="20"/>
  <c r="AS474" i="20"/>
  <c r="AT474" i="20"/>
  <c r="A475" i="20"/>
  <c r="AO475" i="20"/>
  <c r="AQ475" i="20"/>
  <c r="AR475" i="20"/>
  <c r="AS475" i="20"/>
  <c r="AT475" i="20"/>
  <c r="A476" i="20"/>
  <c r="AR476" i="20"/>
  <c r="AO476" i="20"/>
  <c r="AQ476" i="20"/>
  <c r="AS476" i="20"/>
  <c r="AT476" i="20"/>
  <c r="A477" i="20"/>
  <c r="AO477" i="20"/>
  <c r="AQ477" i="20"/>
  <c r="AR477" i="20"/>
  <c r="AS477" i="20"/>
  <c r="AT477" i="20"/>
  <c r="A478" i="20"/>
  <c r="AR478" i="20"/>
  <c r="AO478" i="20"/>
  <c r="AQ478" i="20"/>
  <c r="AS478" i="20"/>
  <c r="AT478" i="20"/>
  <c r="A479" i="20"/>
  <c r="AR479" i="20"/>
  <c r="AO479" i="20"/>
  <c r="AQ479" i="20"/>
  <c r="AS479" i="20"/>
  <c r="AT479" i="20"/>
  <c r="A480" i="20"/>
  <c r="AR480" i="20"/>
  <c r="AU480" i="20"/>
  <c r="AO480" i="20"/>
  <c r="AQ480" i="20"/>
  <c r="AS480" i="20"/>
  <c r="AT480" i="20"/>
  <c r="A481" i="20"/>
  <c r="AR481" i="20"/>
  <c r="AO481" i="20"/>
  <c r="AQ481" i="20"/>
  <c r="AS481" i="20"/>
  <c r="AT481" i="20"/>
  <c r="A482" i="20"/>
  <c r="AR482" i="20"/>
  <c r="AO482" i="20"/>
  <c r="AQ482" i="20"/>
  <c r="AS482" i="20"/>
  <c r="AT482" i="20"/>
  <c r="A483" i="20"/>
  <c r="AR483" i="20"/>
  <c r="AO483" i="20"/>
  <c r="AQ483" i="20"/>
  <c r="AS483" i="20"/>
  <c r="AT483" i="20"/>
  <c r="AU483" i="20" s="1"/>
  <c r="A484" i="20"/>
  <c r="AR484" i="20"/>
  <c r="AO484" i="20"/>
  <c r="AQ484" i="20"/>
  <c r="AS484" i="20"/>
  <c r="AT484" i="20"/>
  <c r="A485" i="20"/>
  <c r="AR485" i="20"/>
  <c r="AO485" i="20"/>
  <c r="AQ485" i="20"/>
  <c r="AS485" i="20"/>
  <c r="AT485" i="20"/>
  <c r="A486" i="20"/>
  <c r="AO486" i="20"/>
  <c r="AQ486" i="20"/>
  <c r="AR486" i="20"/>
  <c r="AS486" i="20"/>
  <c r="AT486" i="20"/>
  <c r="A487" i="20"/>
  <c r="AR487" i="20"/>
  <c r="AO487" i="20"/>
  <c r="AQ487" i="20"/>
  <c r="AT487" i="20"/>
  <c r="A488" i="20"/>
  <c r="AO488" i="20"/>
  <c r="AQ488" i="20"/>
  <c r="AR488" i="20"/>
  <c r="AS488" i="20"/>
  <c r="AT488" i="20"/>
  <c r="A489" i="20"/>
  <c r="AO489" i="20"/>
  <c r="AQ489" i="20"/>
  <c r="AR489" i="20"/>
  <c r="AT489" i="20"/>
  <c r="A490" i="20"/>
  <c r="AO490" i="20"/>
  <c r="AQ490" i="20"/>
  <c r="AR490" i="20"/>
  <c r="AS490" i="20"/>
  <c r="AT490" i="20"/>
  <c r="A491" i="20"/>
  <c r="AO491" i="20"/>
  <c r="AQ491" i="20"/>
  <c r="AR491" i="20"/>
  <c r="AS491" i="20"/>
  <c r="AT491" i="20"/>
  <c r="A492" i="20"/>
  <c r="AO492" i="20"/>
  <c r="AQ492" i="20"/>
  <c r="AR492" i="20"/>
  <c r="AS492" i="20"/>
  <c r="AT492" i="20"/>
  <c r="A493" i="20"/>
  <c r="AO493" i="20"/>
  <c r="AQ493" i="20"/>
  <c r="AR493" i="20"/>
  <c r="AS493" i="20"/>
  <c r="AT493" i="20"/>
  <c r="A494" i="20"/>
  <c r="AO494" i="20"/>
  <c r="AQ494" i="20"/>
  <c r="AR494" i="20"/>
  <c r="AS494" i="20"/>
  <c r="AT494" i="20"/>
  <c r="AU494" i="20" s="1"/>
  <c r="A495" i="20"/>
  <c r="AR495" i="20"/>
  <c r="AO495" i="20"/>
  <c r="AQ495" i="20"/>
  <c r="AS495" i="20"/>
  <c r="AT495" i="20"/>
  <c r="A496" i="20"/>
  <c r="AR496" i="20"/>
  <c r="AS496" i="20"/>
  <c r="AO496" i="20"/>
  <c r="AQ496" i="20"/>
  <c r="AT496" i="20"/>
  <c r="A497" i="20"/>
  <c r="AO497" i="20"/>
  <c r="AQ497" i="20"/>
  <c r="AR497" i="20"/>
  <c r="AS497" i="20"/>
  <c r="AT497" i="20"/>
  <c r="A498" i="20"/>
  <c r="AR498" i="20"/>
  <c r="AO498" i="20"/>
  <c r="AQ498" i="20"/>
  <c r="AS498" i="20"/>
  <c r="AT498" i="20"/>
  <c r="A499" i="20"/>
  <c r="AR499" i="20"/>
  <c r="AO499" i="20"/>
  <c r="AQ499" i="20"/>
  <c r="AS499" i="20"/>
  <c r="AT499" i="20"/>
  <c r="A500" i="20"/>
  <c r="AR500" i="20"/>
  <c r="AO500" i="20"/>
  <c r="AQ500" i="20"/>
  <c r="AS500" i="20"/>
  <c r="AT500" i="20"/>
  <c r="A501" i="20"/>
  <c r="AR501" i="20"/>
  <c r="AO501" i="20"/>
  <c r="AQ501" i="20"/>
  <c r="AS501" i="20"/>
  <c r="AT501" i="20"/>
  <c r="A502" i="20"/>
  <c r="AR502" i="20"/>
  <c r="AS502" i="20"/>
  <c r="AO502" i="20"/>
  <c r="AQ502" i="20"/>
  <c r="AT502" i="20"/>
  <c r="A503" i="20"/>
  <c r="AR503" i="20"/>
  <c r="AO503" i="20"/>
  <c r="AQ503" i="20"/>
  <c r="AS503" i="20"/>
  <c r="AT503" i="20"/>
  <c r="A504" i="20"/>
  <c r="AR504" i="20"/>
  <c r="AO504" i="20"/>
  <c r="AQ504" i="20"/>
  <c r="AS504" i="20"/>
  <c r="AT504" i="20"/>
  <c r="A505" i="20"/>
  <c r="AR505" i="20"/>
  <c r="AO505" i="20"/>
  <c r="AQ505" i="20"/>
  <c r="AS505" i="20"/>
  <c r="AT505" i="20"/>
  <c r="A506" i="20"/>
  <c r="AS506" i="20"/>
  <c r="AO506" i="20"/>
  <c r="AQ506" i="20"/>
  <c r="AR506" i="20"/>
  <c r="AT506" i="20"/>
  <c r="AU506" i="20"/>
  <c r="AV506" i="20"/>
  <c r="AW506" i="20"/>
  <c r="AX506" i="20"/>
  <c r="AZ506" i="20"/>
  <c r="BC506" i="20"/>
  <c r="BD506" i="20"/>
  <c r="BE506" i="20" s="1"/>
  <c r="BF506" i="20" s="1"/>
  <c r="BH506" i="20"/>
  <c r="A507" i="20"/>
  <c r="AS507" i="20"/>
  <c r="AO507" i="20"/>
  <c r="AQ507" i="20"/>
  <c r="AR507" i="20"/>
  <c r="AT507" i="20"/>
  <c r="AU507" i="20"/>
  <c r="AV507" i="20"/>
  <c r="AW507" i="20" s="1"/>
  <c r="AX507" i="20"/>
  <c r="AZ507" i="20"/>
  <c r="BC507" i="20"/>
  <c r="BD507" i="20"/>
  <c r="BE507" i="20" s="1"/>
  <c r="BF507" i="20" s="1"/>
  <c r="BH507" i="20"/>
  <c r="A508" i="20"/>
  <c r="AS508" i="20"/>
  <c r="AO508" i="20"/>
  <c r="AQ508" i="20"/>
  <c r="AR508" i="20"/>
  <c r="AT508" i="20"/>
  <c r="AU508" i="20"/>
  <c r="AV508" i="20" s="1"/>
  <c r="AW508" i="20"/>
  <c r="AX508" i="20"/>
  <c r="AZ508" i="20"/>
  <c r="BC508" i="20"/>
  <c r="BD508" i="20"/>
  <c r="BE508" i="20"/>
  <c r="BF508" i="20"/>
  <c r="BH508" i="20"/>
  <c r="A509" i="20"/>
  <c r="AS509" i="20"/>
  <c r="AO509" i="20"/>
  <c r="AQ509" i="20"/>
  <c r="AR509" i="20"/>
  <c r="AT509" i="20"/>
  <c r="AU509" i="20"/>
  <c r="AV509" i="20"/>
  <c r="AW509" i="20" s="1"/>
  <c r="AX509" i="20"/>
  <c r="AZ509" i="20"/>
  <c r="BC509" i="20"/>
  <c r="BD509" i="20"/>
  <c r="BE509" i="20"/>
  <c r="BF509" i="20" s="1"/>
  <c r="BH509" i="20"/>
  <c r="A510" i="20"/>
  <c r="AS510" i="20"/>
  <c r="AO510" i="20"/>
  <c r="AQ510" i="20"/>
  <c r="AR510" i="20"/>
  <c r="AT510" i="20"/>
  <c r="AU510" i="20"/>
  <c r="AV510" i="20"/>
  <c r="AW510" i="20" s="1"/>
  <c r="AX510" i="20"/>
  <c r="AZ510" i="20"/>
  <c r="BC510" i="20"/>
  <c r="BD510" i="20"/>
  <c r="BE510" i="20" s="1"/>
  <c r="BF510" i="20"/>
  <c r="BH510" i="20"/>
  <c r="A511" i="20"/>
  <c r="AR511" i="20"/>
  <c r="AU511" i="20"/>
  <c r="AV511" i="20" s="1"/>
  <c r="AO511" i="20"/>
  <c r="AQ511" i="20"/>
  <c r="AS511" i="20"/>
  <c r="AT511" i="20"/>
  <c r="A512" i="20"/>
  <c r="AS512" i="20"/>
  <c r="AO512" i="20"/>
  <c r="AQ512" i="20"/>
  <c r="AR512" i="20"/>
  <c r="AT512" i="20"/>
  <c r="A513" i="20"/>
  <c r="AR513" i="20"/>
  <c r="AO513" i="20"/>
  <c r="AQ513" i="20"/>
  <c r="AT513" i="20"/>
  <c r="A514" i="20"/>
  <c r="AR514" i="20"/>
  <c r="AU514" i="20"/>
  <c r="AO514" i="20"/>
  <c r="AQ514" i="20"/>
  <c r="AS514" i="20"/>
  <c r="AT514" i="20"/>
  <c r="AV514" i="20"/>
  <c r="AW514" i="20" s="1"/>
  <c r="A515" i="20"/>
  <c r="AR515" i="20"/>
  <c r="AU515" i="20"/>
  <c r="AO515" i="20"/>
  <c r="AQ515" i="20"/>
  <c r="AS515" i="20"/>
  <c r="AT515" i="20"/>
  <c r="AV515" i="20"/>
  <c r="A516" i="20"/>
  <c r="AR516" i="20"/>
  <c r="AO516" i="20"/>
  <c r="AQ516" i="20"/>
  <c r="AS516" i="20"/>
  <c r="AT516" i="20"/>
  <c r="AU516" i="20" s="1"/>
  <c r="AV516" i="20" s="1"/>
  <c r="AW516" i="20" s="1"/>
  <c r="A517" i="20"/>
  <c r="AO517" i="20"/>
  <c r="AQ517" i="20"/>
  <c r="AR517" i="20"/>
  <c r="AS517" i="20"/>
  <c r="AT517" i="20"/>
  <c r="AU517" i="20" s="1"/>
  <c r="A518" i="20"/>
  <c r="AR518" i="20"/>
  <c r="AO518" i="20"/>
  <c r="AQ518" i="20"/>
  <c r="AS518" i="20"/>
  <c r="AT518" i="20"/>
  <c r="AU518" i="20" s="1"/>
  <c r="AV518" i="20"/>
  <c r="A519" i="20"/>
  <c r="AR519" i="20"/>
  <c r="AO519" i="20"/>
  <c r="AQ519" i="20"/>
  <c r="AS519" i="20"/>
  <c r="AT519" i="20"/>
  <c r="AU519" i="20" s="1"/>
  <c r="AV519" i="20" s="1"/>
  <c r="A520" i="20"/>
  <c r="AO520" i="20"/>
  <c r="AQ520" i="20"/>
  <c r="AR520" i="20"/>
  <c r="AS520" i="20"/>
  <c r="AT520" i="20"/>
  <c r="AU520" i="20" s="1"/>
  <c r="A521" i="20"/>
  <c r="AO521" i="20"/>
  <c r="AQ521" i="20"/>
  <c r="AR521" i="20"/>
  <c r="AS521" i="20"/>
  <c r="AT521" i="20"/>
  <c r="A522" i="20"/>
  <c r="AO522" i="20"/>
  <c r="AQ522" i="20"/>
  <c r="AR522" i="20"/>
  <c r="AS522" i="20"/>
  <c r="AT522" i="20"/>
  <c r="A523" i="20"/>
  <c r="AO523" i="20"/>
  <c r="AQ523" i="20"/>
  <c r="AR523" i="20"/>
  <c r="AS523" i="20"/>
  <c r="AT523" i="20"/>
  <c r="A524" i="20"/>
  <c r="AO524" i="20"/>
  <c r="AQ524" i="20"/>
  <c r="AR524" i="20"/>
  <c r="AS524" i="20"/>
  <c r="AT524" i="20"/>
  <c r="A525" i="20"/>
  <c r="AO525" i="20"/>
  <c r="AQ525" i="20"/>
  <c r="AR525" i="20"/>
  <c r="AS525" i="20"/>
  <c r="AT525" i="20"/>
  <c r="A526" i="20"/>
  <c r="AO526" i="20"/>
  <c r="AQ526" i="20"/>
  <c r="AR526" i="20"/>
  <c r="AS526" i="20"/>
  <c r="AT526" i="20"/>
  <c r="A527" i="20"/>
  <c r="AR527" i="20"/>
  <c r="AO527" i="20"/>
  <c r="AQ527" i="20"/>
  <c r="AT527" i="20"/>
  <c r="AX527" i="20"/>
  <c r="A528" i="20"/>
  <c r="AR528" i="20"/>
  <c r="AO528" i="20"/>
  <c r="AQ528" i="20"/>
  <c r="AT528" i="20"/>
  <c r="AW528" i="20"/>
  <c r="A529" i="20"/>
  <c r="AR529" i="20"/>
  <c r="AY529" i="20"/>
  <c r="AO529" i="20"/>
  <c r="AQ529" i="20"/>
  <c r="AT529" i="20"/>
  <c r="AV529" i="20"/>
  <c r="AW529" i="20"/>
  <c r="AX529" i="20"/>
  <c r="BG529" i="20"/>
  <c r="A530" i="20"/>
  <c r="AR530" i="20"/>
  <c r="AW530" i="20"/>
  <c r="AO530" i="20"/>
  <c r="AQ530" i="20"/>
  <c r="AS530" i="20"/>
  <c r="AT530" i="20"/>
  <c r="A531" i="20"/>
  <c r="AR531" i="20"/>
  <c r="AX531" i="20"/>
  <c r="AO531" i="20"/>
  <c r="AQ531" i="20"/>
  <c r="AS531" i="20"/>
  <c r="AT531" i="20"/>
  <c r="AV531" i="20"/>
  <c r="AW531" i="20"/>
  <c r="AY531" i="20"/>
  <c r="BD531" i="20"/>
  <c r="BE531" i="20" s="1"/>
  <c r="BF531" i="20" s="1"/>
  <c r="BG531" i="20"/>
  <c r="A532" i="20"/>
  <c r="AR532" i="20"/>
  <c r="AU532" i="20"/>
  <c r="AO532" i="20"/>
  <c r="AQ532" i="20"/>
  <c r="AS532" i="20"/>
  <c r="AT532" i="20"/>
  <c r="A533" i="20"/>
  <c r="AS533" i="20"/>
  <c r="AO533" i="20"/>
  <c r="AQ533" i="20"/>
  <c r="AR533" i="20"/>
  <c r="AT533" i="20"/>
  <c r="A534" i="20"/>
  <c r="AR534" i="20"/>
  <c r="AO534" i="20"/>
  <c r="AQ534" i="20"/>
  <c r="AS534" i="20"/>
  <c r="AT534" i="20"/>
  <c r="A535" i="20"/>
  <c r="AR535" i="20"/>
  <c r="AO535" i="20"/>
  <c r="AQ535" i="20"/>
  <c r="AS535" i="20"/>
  <c r="AT535" i="20"/>
  <c r="A536" i="20"/>
  <c r="AR536" i="20"/>
  <c r="AU536" i="20"/>
  <c r="AO536" i="20"/>
  <c r="AQ536" i="20"/>
  <c r="AS536" i="20"/>
  <c r="AT536" i="20"/>
  <c r="A537" i="20"/>
  <c r="AR537" i="20"/>
  <c r="AO537" i="20"/>
  <c r="AQ537" i="20"/>
  <c r="AS537" i="20"/>
  <c r="AT537" i="20"/>
  <c r="AU537" i="20"/>
  <c r="AZ537" i="20"/>
  <c r="A538" i="20"/>
  <c r="AO538" i="20"/>
  <c r="AQ538" i="20"/>
  <c r="AR538" i="20"/>
  <c r="AT538" i="20"/>
  <c r="A539" i="20"/>
  <c r="AR539" i="20"/>
  <c r="AO539" i="20"/>
  <c r="AQ539" i="20"/>
  <c r="AS539" i="20"/>
  <c r="AT539" i="20"/>
  <c r="AU539" i="20"/>
  <c r="AZ539" i="20"/>
  <c r="A540" i="20"/>
  <c r="AO540" i="20"/>
  <c r="AQ540" i="20"/>
  <c r="AR540" i="20"/>
  <c r="AT540" i="20"/>
  <c r="A541" i="20"/>
  <c r="AR541" i="20"/>
  <c r="AO541" i="20"/>
  <c r="AQ541" i="20"/>
  <c r="AS541" i="20"/>
  <c r="AT541" i="20"/>
  <c r="AU541" i="20"/>
  <c r="AZ541" i="20"/>
  <c r="A542" i="20"/>
  <c r="AO542" i="20"/>
  <c r="AQ542" i="20"/>
  <c r="AR542" i="20"/>
  <c r="AT542" i="20"/>
  <c r="A543" i="20"/>
  <c r="AO543" i="20"/>
  <c r="AQ543" i="20"/>
  <c r="AR543" i="20"/>
  <c r="AS543" i="20"/>
  <c r="AT543" i="20"/>
  <c r="AU543" i="20"/>
  <c r="AZ543" i="20"/>
  <c r="BA543" i="20" s="1"/>
  <c r="BG543" i="20"/>
  <c r="A544" i="20"/>
  <c r="AO544" i="20"/>
  <c r="AQ544" i="20"/>
  <c r="AR544" i="20"/>
  <c r="AS544" i="20"/>
  <c r="AT544" i="20"/>
  <c r="AU544" i="20"/>
  <c r="AZ544" i="20"/>
  <c r="BA544" i="20" s="1"/>
  <c r="BG544" i="20"/>
  <c r="A545" i="20"/>
  <c r="AR545" i="20"/>
  <c r="AO545" i="20"/>
  <c r="AQ545" i="20"/>
  <c r="AS545" i="20"/>
  <c r="AT545" i="20"/>
  <c r="AU545" i="20"/>
  <c r="AV545" i="20"/>
  <c r="A546" i="20"/>
  <c r="AR546" i="20"/>
  <c r="AO546" i="20"/>
  <c r="AQ546" i="20"/>
  <c r="AS546" i="20"/>
  <c r="AT546" i="20"/>
  <c r="AU546" i="20"/>
  <c r="AZ546" i="20"/>
  <c r="BA546" i="20"/>
  <c r="BG546" i="20"/>
  <c r="A547" i="20"/>
  <c r="AR547" i="20"/>
  <c r="BG547" i="20"/>
  <c r="AO547" i="20"/>
  <c r="AQ547" i="20"/>
  <c r="AT547" i="20"/>
  <c r="A548" i="20"/>
  <c r="AU548" i="20"/>
  <c r="AO548" i="20"/>
  <c r="AQ548" i="20"/>
  <c r="AR548" i="20"/>
  <c r="AS548" i="20"/>
  <c r="AT548" i="20"/>
  <c r="AZ548" i="20"/>
  <c r="A549" i="20"/>
  <c r="AO549" i="20"/>
  <c r="AQ549" i="20"/>
  <c r="AR549" i="20"/>
  <c r="AT549" i="20"/>
  <c r="AU549" i="20"/>
  <c r="A550" i="20"/>
  <c r="AU550" i="20"/>
  <c r="AO550" i="20"/>
  <c r="AQ550" i="20"/>
  <c r="AR550" i="20"/>
  <c r="AS550" i="20"/>
  <c r="AT550" i="20"/>
  <c r="AZ550" i="20"/>
  <c r="A551" i="20"/>
  <c r="AU551" i="20"/>
  <c r="AO551" i="20"/>
  <c r="AQ551" i="20"/>
  <c r="AR551" i="20"/>
  <c r="AT551" i="20"/>
  <c r="A552" i="20"/>
  <c r="AV552" i="20"/>
  <c r="AO552" i="20"/>
  <c r="AQ552" i="20"/>
  <c r="AR552" i="20"/>
  <c r="AS552" i="20"/>
  <c r="AT552" i="20"/>
  <c r="AU552" i="20"/>
  <c r="AZ552" i="20"/>
  <c r="BA552" i="20" s="1"/>
  <c r="BG552" i="20"/>
  <c r="A553" i="20"/>
  <c r="AO553" i="20"/>
  <c r="AQ553" i="20"/>
  <c r="AR553" i="20"/>
  <c r="AS553" i="20"/>
  <c r="AT553" i="20"/>
  <c r="AU553" i="20"/>
  <c r="AZ553" i="20"/>
  <c r="BA553" i="20" s="1"/>
  <c r="BG553" i="20"/>
  <c r="A554" i="20"/>
  <c r="AR554" i="20"/>
  <c r="AS554" i="20"/>
  <c r="AO554" i="20"/>
  <c r="AQ554" i="20"/>
  <c r="AT554" i="20"/>
  <c r="A555" i="20"/>
  <c r="AO555" i="20"/>
  <c r="AQ555" i="20"/>
  <c r="AR555" i="20"/>
  <c r="AS555" i="20"/>
  <c r="AT555" i="20"/>
  <c r="AU555" i="20"/>
  <c r="AX555" i="20"/>
  <c r="A556" i="20"/>
  <c r="AS556" i="20"/>
  <c r="AO556" i="20"/>
  <c r="AQ556" i="20"/>
  <c r="AR556" i="20"/>
  <c r="AT556" i="20"/>
  <c r="A557" i="20"/>
  <c r="AO557" i="20"/>
  <c r="AQ557" i="20"/>
  <c r="AR557" i="20"/>
  <c r="AS557" i="20"/>
  <c r="AT557" i="20"/>
  <c r="AU557" i="20"/>
  <c r="AX557" i="20"/>
  <c r="A558" i="20"/>
  <c r="AS558" i="20"/>
  <c r="AO558" i="20"/>
  <c r="AQ558" i="20"/>
  <c r="AR558" i="20"/>
  <c r="AT558" i="20"/>
  <c r="A559" i="20"/>
  <c r="AR559" i="20"/>
  <c r="AX559" i="20"/>
  <c r="AO559" i="20"/>
  <c r="AQ559" i="20"/>
  <c r="AT559" i="20"/>
  <c r="A560" i="20"/>
  <c r="AR560" i="20"/>
  <c r="AU560" i="20"/>
  <c r="AO560" i="20"/>
  <c r="AQ560" i="20"/>
  <c r="AS560" i="20"/>
  <c r="AT560" i="20"/>
  <c r="A561" i="20"/>
  <c r="AR561" i="20"/>
  <c r="AO561" i="20"/>
  <c r="AQ561" i="20"/>
  <c r="AS561" i="20"/>
  <c r="AT561" i="20"/>
  <c r="AU561" i="20" s="1"/>
  <c r="A562" i="20"/>
  <c r="AR562" i="20"/>
  <c r="AU562" i="20"/>
  <c r="AO562" i="20"/>
  <c r="AQ562" i="20"/>
  <c r="AS562" i="20"/>
  <c r="AT562" i="20"/>
  <c r="A563" i="20"/>
  <c r="AR563" i="20"/>
  <c r="AS563" i="20"/>
  <c r="AO563" i="20"/>
  <c r="AQ563" i="20"/>
  <c r="AT563" i="20"/>
  <c r="A564" i="20"/>
  <c r="AO564" i="20"/>
  <c r="AQ564" i="20"/>
  <c r="AR564" i="20"/>
  <c r="AT564" i="20"/>
  <c r="A565" i="20"/>
  <c r="AR565" i="20"/>
  <c r="AO565" i="20"/>
  <c r="AQ565" i="20"/>
  <c r="AS565" i="20"/>
  <c r="AT565" i="20"/>
  <c r="A566" i="20"/>
  <c r="AR566" i="20"/>
  <c r="AO566" i="20"/>
  <c r="AQ566" i="20"/>
  <c r="AS566" i="20"/>
  <c r="AT566" i="20"/>
  <c r="AU566" i="20" s="1"/>
  <c r="AZ566" i="20"/>
  <c r="A567" i="20"/>
  <c r="AR567" i="20"/>
  <c r="AU567" i="20"/>
  <c r="AO567" i="20"/>
  <c r="AQ567" i="20"/>
  <c r="AS567" i="20"/>
  <c r="AT567" i="20"/>
  <c r="AZ567" i="20"/>
  <c r="A568" i="20"/>
  <c r="AO568" i="20"/>
  <c r="AQ568" i="20"/>
  <c r="AR568" i="20"/>
  <c r="AS568" i="20"/>
  <c r="AT568" i="20"/>
  <c r="AZ568" i="20"/>
  <c r="A569" i="20"/>
  <c r="AO569" i="20"/>
  <c r="AQ569" i="20"/>
  <c r="AR569" i="20"/>
  <c r="AS569" i="20"/>
  <c r="AT569" i="20"/>
  <c r="AZ569" i="20"/>
  <c r="A570" i="20"/>
  <c r="AO570" i="20"/>
  <c r="AQ570" i="20"/>
  <c r="AR570" i="20"/>
  <c r="AT570" i="20"/>
  <c r="AZ570" i="20"/>
  <c r="A571" i="20"/>
  <c r="BB571" i="20"/>
  <c r="AO571" i="20"/>
  <c r="AQ571" i="20"/>
  <c r="AR571" i="20"/>
  <c r="AS571" i="20"/>
  <c r="AT571" i="20"/>
  <c r="AU571" i="20"/>
  <c r="AX571" i="20"/>
  <c r="AZ571" i="20"/>
  <c r="BA571" i="20"/>
  <c r="BC571" i="20"/>
  <c r="BH571" i="20"/>
  <c r="A572" i="20"/>
  <c r="BB572" i="20"/>
  <c r="AO572" i="20"/>
  <c r="AQ572" i="20"/>
  <c r="AR572" i="20"/>
  <c r="AS572" i="20"/>
  <c r="AT572" i="20"/>
  <c r="AU572" i="20"/>
  <c r="AX572" i="20"/>
  <c r="AZ572" i="20"/>
  <c r="BA572" i="20"/>
  <c r="BC572" i="20"/>
  <c r="BH572" i="20"/>
  <c r="A573" i="20"/>
  <c r="BB573" i="20"/>
  <c r="AO573" i="20"/>
  <c r="AQ573" i="20"/>
  <c r="AR573" i="20"/>
  <c r="AS573" i="20"/>
  <c r="AT573" i="20"/>
  <c r="AU573" i="20"/>
  <c r="AX573" i="20"/>
  <c r="AZ573" i="20"/>
  <c r="BA573" i="20"/>
  <c r="BC573" i="20"/>
  <c r="BH573" i="20"/>
  <c r="A574" i="20"/>
  <c r="BB574" i="20"/>
  <c r="AO574" i="20"/>
  <c r="AQ574" i="20"/>
  <c r="AR574" i="20"/>
  <c r="AS574" i="20"/>
  <c r="AT574" i="20"/>
  <c r="AU574" i="20"/>
  <c r="AX574" i="20"/>
  <c r="AZ574" i="20"/>
  <c r="BA574" i="20"/>
  <c r="BC574" i="20"/>
  <c r="BH574" i="20"/>
  <c r="A575" i="20"/>
  <c r="AS575" i="20"/>
  <c r="AU575" i="20"/>
  <c r="AO575" i="20"/>
  <c r="AQ575" i="20"/>
  <c r="AR575" i="20"/>
  <c r="AT575" i="20"/>
  <c r="A576" i="20"/>
  <c r="AS576" i="20"/>
  <c r="AO576" i="20"/>
  <c r="AQ576" i="20"/>
  <c r="AR576" i="20"/>
  <c r="AT576" i="20"/>
  <c r="A577" i="20"/>
  <c r="AR577" i="20"/>
  <c r="AU577" i="20"/>
  <c r="AO577" i="20"/>
  <c r="AQ577" i="20"/>
  <c r="AS577" i="20"/>
  <c r="AT577" i="20"/>
  <c r="A578" i="20"/>
  <c r="AO578" i="20"/>
  <c r="AQ578" i="20"/>
  <c r="AR578" i="20"/>
  <c r="AT578" i="20"/>
  <c r="A579" i="20"/>
  <c r="AS579" i="20"/>
  <c r="AO579" i="20"/>
  <c r="AQ579" i="20"/>
  <c r="AR579" i="20"/>
  <c r="AT579" i="20"/>
  <c r="AU579" i="20" s="1"/>
  <c r="A580" i="20"/>
  <c r="AS580" i="20"/>
  <c r="AO580" i="20"/>
  <c r="AQ580" i="20"/>
  <c r="AR580" i="20"/>
  <c r="AT580" i="20"/>
  <c r="A581" i="20"/>
  <c r="AR581" i="20"/>
  <c r="AO581" i="20"/>
  <c r="AQ581" i="20"/>
  <c r="AS581" i="20"/>
  <c r="AT581" i="20"/>
  <c r="AU581" i="20" s="1"/>
  <c r="A582" i="20"/>
  <c r="AO582" i="20"/>
  <c r="AQ582" i="20"/>
  <c r="AR582" i="20"/>
  <c r="AT582" i="20"/>
  <c r="AW582" i="20"/>
  <c r="AX582" i="20"/>
  <c r="A583" i="20"/>
  <c r="AX583" i="20"/>
  <c r="AO583" i="20"/>
  <c r="AQ583" i="20"/>
  <c r="AR583" i="20"/>
  <c r="AT583" i="20"/>
  <c r="AW583" i="20"/>
  <c r="BH583" i="20"/>
  <c r="A584" i="20"/>
  <c r="AX584" i="20"/>
  <c r="AO584" i="20"/>
  <c r="AQ584" i="20"/>
  <c r="AR584" i="20"/>
  <c r="AT584" i="20"/>
  <c r="AW584" i="20"/>
  <c r="BH584" i="20"/>
  <c r="A585" i="20"/>
  <c r="AX585" i="20"/>
  <c r="AO585" i="20"/>
  <c r="AQ585" i="20"/>
  <c r="AR585" i="20"/>
  <c r="AT585" i="20"/>
  <c r="AW585" i="20"/>
  <c r="BH585" i="20"/>
  <c r="A586" i="20"/>
  <c r="AX586" i="20"/>
  <c r="AO586" i="20"/>
  <c r="AQ586" i="20"/>
  <c r="AR586" i="20"/>
  <c r="AT586" i="20"/>
  <c r="AW586" i="20"/>
  <c r="BH586" i="20"/>
  <c r="A587" i="20"/>
  <c r="AX587" i="20"/>
  <c r="AO587" i="20"/>
  <c r="AQ587" i="20"/>
  <c r="AR587" i="20"/>
  <c r="AT587" i="20"/>
  <c r="AW587" i="20"/>
  <c r="BH587" i="20"/>
  <c r="A588" i="20"/>
  <c r="AO588" i="20"/>
  <c r="AQ588" i="20"/>
  <c r="AR588" i="20"/>
  <c r="AS588" i="20"/>
  <c r="AT588" i="20"/>
  <c r="AU588" i="20" s="1"/>
  <c r="AV588" i="20" s="1"/>
  <c r="AZ588" i="20"/>
  <c r="A589" i="20"/>
  <c r="AZ589" i="20"/>
  <c r="AO589" i="20"/>
  <c r="AQ589" i="20"/>
  <c r="AR589" i="20"/>
  <c r="AT589" i="20"/>
  <c r="AU589" i="20" s="1"/>
  <c r="AV589" i="20" s="1"/>
  <c r="A590" i="20"/>
  <c r="AV590" i="20"/>
  <c r="BB590" i="20"/>
  <c r="AO590" i="20"/>
  <c r="AQ590" i="20"/>
  <c r="AR590" i="20"/>
  <c r="AS590" i="20"/>
  <c r="AT590" i="20"/>
  <c r="AU590" i="20" s="1"/>
  <c r="AZ590" i="20"/>
  <c r="BA590" i="20" s="1"/>
  <c r="A591" i="20"/>
  <c r="AZ591" i="20"/>
  <c r="AO591" i="20"/>
  <c r="AQ591" i="20"/>
  <c r="AR591" i="20"/>
  <c r="AT591" i="20"/>
  <c r="AU591" i="20" s="1"/>
  <c r="AV591" i="20" s="1"/>
  <c r="A592" i="20"/>
  <c r="AO592" i="20"/>
  <c r="AQ592" i="20"/>
  <c r="AR592" i="20"/>
  <c r="AS592" i="20"/>
  <c r="AT592" i="20"/>
  <c r="AU592" i="20" s="1"/>
  <c r="AV592" i="20" s="1"/>
  <c r="AZ592" i="20"/>
  <c r="A593" i="20"/>
  <c r="AZ593" i="20"/>
  <c r="AO593" i="20"/>
  <c r="AQ593" i="20"/>
  <c r="AR593" i="20"/>
  <c r="AT593" i="20"/>
  <c r="AU593" i="20" s="1"/>
  <c r="AV593" i="20" s="1"/>
  <c r="A594" i="20"/>
  <c r="AU594" i="20"/>
  <c r="AO594" i="20"/>
  <c r="AQ594" i="20"/>
  <c r="AR594" i="20"/>
  <c r="AS594" i="20"/>
  <c r="AT594" i="20"/>
  <c r="BG594" i="20"/>
  <c r="A595" i="20"/>
  <c r="BG595" i="20"/>
  <c r="AO595" i="20"/>
  <c r="AQ595" i="20"/>
  <c r="AR595" i="20"/>
  <c r="AS595" i="20"/>
  <c r="AT595" i="20"/>
  <c r="A596" i="20"/>
  <c r="AO596" i="20"/>
  <c r="AQ596" i="20"/>
  <c r="AR596" i="20"/>
  <c r="AS596" i="20"/>
  <c r="AT596" i="20"/>
  <c r="BG596" i="20"/>
  <c r="A597" i="20"/>
  <c r="BG597" i="20"/>
  <c r="AO597" i="20"/>
  <c r="AQ597" i="20"/>
  <c r="AR597" i="20"/>
  <c r="AS597" i="20"/>
  <c r="AT597" i="20"/>
  <c r="A598" i="20"/>
  <c r="AR598" i="20"/>
  <c r="BG598" i="20"/>
  <c r="AO598" i="20"/>
  <c r="AQ598" i="20"/>
  <c r="AS598" i="20"/>
  <c r="AT598" i="20"/>
  <c r="A599" i="20"/>
  <c r="AR599" i="20"/>
  <c r="AO599" i="20"/>
  <c r="AQ599" i="20"/>
  <c r="AS599" i="20"/>
  <c r="AT599" i="20"/>
  <c r="BG599" i="20"/>
  <c r="A600" i="20"/>
  <c r="AR600" i="20"/>
  <c r="AO600" i="20"/>
  <c r="AQ600" i="20"/>
  <c r="AT600" i="20"/>
  <c r="A601" i="20"/>
  <c r="AR601" i="20"/>
  <c r="AO601" i="20"/>
  <c r="AQ601" i="20"/>
  <c r="AS601" i="20"/>
  <c r="AT601" i="20"/>
  <c r="BG601" i="20"/>
  <c r="A602" i="20"/>
  <c r="AR602" i="20"/>
  <c r="AO602" i="20"/>
  <c r="AQ602" i="20"/>
  <c r="AS602" i="20"/>
  <c r="AT602" i="20"/>
  <c r="BG602" i="20"/>
  <c r="A603" i="20"/>
  <c r="BG603" i="20"/>
  <c r="AO603" i="20"/>
  <c r="AQ603" i="20"/>
  <c r="AR603" i="20"/>
  <c r="AS603" i="20"/>
  <c r="AT603" i="20"/>
  <c r="A604" i="20"/>
  <c r="AO604" i="20"/>
  <c r="AQ604" i="20"/>
  <c r="AR604" i="20"/>
  <c r="AS604" i="20"/>
  <c r="AT604" i="20"/>
  <c r="BG604" i="20"/>
  <c r="A605" i="20"/>
  <c r="BG605" i="20"/>
  <c r="AO605" i="20"/>
  <c r="AQ605" i="20"/>
  <c r="AR605" i="20"/>
  <c r="AT605" i="20"/>
  <c r="A606" i="20"/>
  <c r="AR606" i="20"/>
  <c r="BG606" i="20"/>
  <c r="AO606" i="20"/>
  <c r="AQ606" i="20"/>
  <c r="AS606" i="20"/>
  <c r="AT606" i="20"/>
  <c r="A607" i="20"/>
  <c r="AR607" i="20"/>
  <c r="AO607" i="20"/>
  <c r="AQ607" i="20"/>
  <c r="AT607" i="20"/>
  <c r="A608" i="20"/>
  <c r="AO608" i="20"/>
  <c r="AQ608" i="20"/>
  <c r="AR608" i="20"/>
  <c r="AS608" i="20"/>
  <c r="AT608" i="20"/>
  <c r="A609" i="20"/>
  <c r="AR609" i="20"/>
  <c r="AO609" i="20"/>
  <c r="AQ609" i="20"/>
  <c r="AT609" i="20"/>
  <c r="A610" i="20"/>
  <c r="AR610" i="20"/>
  <c r="AO610" i="20"/>
  <c r="AQ610" i="20"/>
  <c r="AS610" i="20"/>
  <c r="AT610" i="20"/>
  <c r="A611" i="20"/>
  <c r="AR611" i="20"/>
  <c r="AO611" i="20"/>
  <c r="AQ611" i="20"/>
  <c r="AS611" i="20"/>
  <c r="AT611" i="20"/>
  <c r="A612" i="20"/>
  <c r="AR612" i="20"/>
  <c r="AO612" i="20"/>
  <c r="AQ612" i="20"/>
  <c r="AS612" i="20"/>
  <c r="AT612" i="20"/>
  <c r="A613" i="20"/>
  <c r="AO613" i="20"/>
  <c r="AQ613" i="20"/>
  <c r="AR613" i="20"/>
  <c r="AS613" i="20"/>
  <c r="AT613" i="20"/>
  <c r="A614" i="20"/>
  <c r="AO614" i="20"/>
  <c r="AQ614" i="20"/>
  <c r="AR614" i="20"/>
  <c r="AS614" i="20"/>
  <c r="AT614" i="20"/>
  <c r="AO615" i="20"/>
  <c r="AQ615" i="20"/>
  <c r="AR615" i="20"/>
  <c r="AS615" i="20"/>
  <c r="AT615" i="20"/>
  <c r="AU615" i="20" s="1"/>
  <c r="AV615" i="20" s="1"/>
  <c r="AW615" i="20" s="1"/>
  <c r="AX615" i="20" s="1"/>
  <c r="AY615" i="20" s="1"/>
  <c r="AZ615" i="20" s="1"/>
  <c r="BA615" i="20" s="1"/>
  <c r="BB615" i="20" s="1"/>
  <c r="BC615" i="20" s="1"/>
  <c r="BD615" i="20" s="1"/>
  <c r="BE615" i="20" s="1"/>
  <c r="BF615" i="20" s="1"/>
  <c r="BG615" i="20" s="1"/>
  <c r="BH615" i="20" s="1"/>
  <c r="BI615" i="20" s="1"/>
  <c r="BJ615" i="20" s="1"/>
  <c r="BK615" i="20" s="1"/>
  <c r="BL615" i="20" s="1"/>
  <c r="BM615" i="20" s="1"/>
  <c r="BN615" i="20" s="1"/>
  <c r="BO615" i="20" s="1"/>
  <c r="BP615" i="20" s="1"/>
  <c r="BQ615" i="20" s="1"/>
  <c r="BR615" i="20" s="1"/>
  <c r="AO616" i="20"/>
  <c r="AQ616" i="20"/>
  <c r="AR616" i="20"/>
  <c r="AS616" i="20"/>
  <c r="AT616" i="20"/>
  <c r="AU616" i="20" s="1"/>
  <c r="AV616" i="20" s="1"/>
  <c r="AW616" i="20" s="1"/>
  <c r="AX616" i="20" s="1"/>
  <c r="AY616" i="20" s="1"/>
  <c r="AZ616" i="20" s="1"/>
  <c r="BA616" i="20" s="1"/>
  <c r="BB616" i="20" s="1"/>
  <c r="BC616" i="20" s="1"/>
  <c r="BD616" i="20" s="1"/>
  <c r="BE616" i="20" s="1"/>
  <c r="BF616" i="20" s="1"/>
  <c r="BG616" i="20" s="1"/>
  <c r="BH616" i="20" s="1"/>
  <c r="BI616" i="20" s="1"/>
  <c r="BJ616" i="20" s="1"/>
  <c r="BK616" i="20" s="1"/>
  <c r="BL616" i="20" s="1"/>
  <c r="BM616" i="20" s="1"/>
  <c r="BN616" i="20" s="1"/>
  <c r="BO616" i="20" s="1"/>
  <c r="BP616" i="20" s="1"/>
  <c r="BQ616" i="20" s="1"/>
  <c r="BR616" i="20" s="1"/>
  <c r="AO617" i="20"/>
  <c r="AQ617" i="20"/>
  <c r="AR617" i="20"/>
  <c r="AS617" i="20"/>
  <c r="AT617" i="20"/>
  <c r="AU617" i="20" s="1"/>
  <c r="AV617" i="20" s="1"/>
  <c r="AW617" i="20" s="1"/>
  <c r="AX617" i="20" s="1"/>
  <c r="AY617" i="20" s="1"/>
  <c r="AZ617" i="20" s="1"/>
  <c r="BA617" i="20" s="1"/>
  <c r="BB617" i="20" s="1"/>
  <c r="BC617" i="20" s="1"/>
  <c r="BD617" i="20" s="1"/>
  <c r="BE617" i="20" s="1"/>
  <c r="BF617" i="20" s="1"/>
  <c r="BG617" i="20" s="1"/>
  <c r="BH617" i="20" s="1"/>
  <c r="BI617" i="20" s="1"/>
  <c r="BJ617" i="20" s="1"/>
  <c r="BK617" i="20" s="1"/>
  <c r="BL617" i="20" s="1"/>
  <c r="BM617" i="20" s="1"/>
  <c r="BN617" i="20" s="1"/>
  <c r="BO617" i="20" s="1"/>
  <c r="BP617" i="20" s="1"/>
  <c r="BQ617" i="20" s="1"/>
  <c r="BR617" i="20" s="1"/>
  <c r="AO618" i="20"/>
  <c r="AQ618" i="20"/>
  <c r="AR618" i="20"/>
  <c r="AS618" i="20"/>
  <c r="AT618" i="20"/>
  <c r="AU618" i="20" s="1"/>
  <c r="AV618" i="20" s="1"/>
  <c r="AW618" i="20" s="1"/>
  <c r="AX618" i="20" s="1"/>
  <c r="AY618" i="20" s="1"/>
  <c r="AZ618" i="20" s="1"/>
  <c r="BA618" i="20" s="1"/>
  <c r="BB618" i="20" s="1"/>
  <c r="BC618" i="20" s="1"/>
  <c r="BD618" i="20" s="1"/>
  <c r="BE618" i="20" s="1"/>
  <c r="BF618" i="20" s="1"/>
  <c r="BG618" i="20" s="1"/>
  <c r="BH618" i="20" s="1"/>
  <c r="BI618" i="20" s="1"/>
  <c r="BJ618" i="20" s="1"/>
  <c r="BK618" i="20" s="1"/>
  <c r="BL618" i="20" s="1"/>
  <c r="BM618" i="20" s="1"/>
  <c r="BN618" i="20" s="1"/>
  <c r="BO618" i="20" s="1"/>
  <c r="BP618" i="20" s="1"/>
  <c r="BQ618" i="20" s="1"/>
  <c r="BR618" i="20" s="1"/>
  <c r="AO619" i="20"/>
  <c r="AQ619" i="20"/>
  <c r="AR619" i="20"/>
  <c r="AS619" i="20"/>
  <c r="AT619" i="20"/>
  <c r="AU619" i="20" s="1"/>
  <c r="AV619" i="20" s="1"/>
  <c r="AW619" i="20" s="1"/>
  <c r="AX619" i="20" s="1"/>
  <c r="AY619" i="20" s="1"/>
  <c r="AZ619" i="20" s="1"/>
  <c r="BA619" i="20" s="1"/>
  <c r="BB619" i="20" s="1"/>
  <c r="BC619" i="20" s="1"/>
  <c r="BD619" i="20" s="1"/>
  <c r="BE619" i="20" s="1"/>
  <c r="BF619" i="20" s="1"/>
  <c r="BG619" i="20" s="1"/>
  <c r="BH619" i="20" s="1"/>
  <c r="BI619" i="20" s="1"/>
  <c r="BJ619" i="20" s="1"/>
  <c r="BK619" i="20" s="1"/>
  <c r="BL619" i="20" s="1"/>
  <c r="BM619" i="20" s="1"/>
  <c r="BN619" i="20" s="1"/>
  <c r="BO619" i="20" s="1"/>
  <c r="BP619" i="20" s="1"/>
  <c r="BQ619" i="20" s="1"/>
  <c r="BR619" i="20" s="1"/>
  <c r="AO620" i="20"/>
  <c r="AQ620" i="20"/>
  <c r="AR620" i="20"/>
  <c r="AS620" i="20"/>
  <c r="AT620" i="20"/>
  <c r="AU620" i="20"/>
  <c r="AV620" i="20" s="1"/>
  <c r="AW620" i="20" s="1"/>
  <c r="AX620" i="20" s="1"/>
  <c r="AY620" i="20" s="1"/>
  <c r="AZ620" i="20" s="1"/>
  <c r="BA620" i="20" s="1"/>
  <c r="BB620" i="20" s="1"/>
  <c r="BC620" i="20" s="1"/>
  <c r="BD620" i="20" s="1"/>
  <c r="BE620" i="20" s="1"/>
  <c r="BF620" i="20" s="1"/>
  <c r="BG620" i="20" s="1"/>
  <c r="BH620" i="20" s="1"/>
  <c r="BI620" i="20" s="1"/>
  <c r="BJ620" i="20" s="1"/>
  <c r="BK620" i="20" s="1"/>
  <c r="BL620" i="20" s="1"/>
  <c r="BM620" i="20" s="1"/>
  <c r="BN620" i="20" s="1"/>
  <c r="BO620" i="20" s="1"/>
  <c r="BP620" i="20" s="1"/>
  <c r="BQ620" i="20" s="1"/>
  <c r="BR620" i="20" s="1"/>
  <c r="AO621" i="20"/>
  <c r="AQ621" i="20"/>
  <c r="AR621" i="20"/>
  <c r="AS621" i="20"/>
  <c r="AT621" i="20"/>
  <c r="AU621" i="20" s="1"/>
  <c r="AV621" i="20" s="1"/>
  <c r="AW621" i="20" s="1"/>
  <c r="AX621" i="20" s="1"/>
  <c r="AY621" i="20" s="1"/>
  <c r="AZ621" i="20" s="1"/>
  <c r="BA621" i="20" s="1"/>
  <c r="BB621" i="20" s="1"/>
  <c r="BC621" i="20" s="1"/>
  <c r="BD621" i="20" s="1"/>
  <c r="BE621" i="20" s="1"/>
  <c r="BF621" i="20" s="1"/>
  <c r="BG621" i="20" s="1"/>
  <c r="BH621" i="20" s="1"/>
  <c r="BI621" i="20" s="1"/>
  <c r="BJ621" i="20" s="1"/>
  <c r="BK621" i="20" s="1"/>
  <c r="BL621" i="20" s="1"/>
  <c r="BM621" i="20" s="1"/>
  <c r="BN621" i="20" s="1"/>
  <c r="BO621" i="20" s="1"/>
  <c r="BP621" i="20" s="1"/>
  <c r="BQ621" i="20" s="1"/>
  <c r="BR621" i="20" s="1"/>
  <c r="AO622" i="20"/>
  <c r="AQ622" i="20"/>
  <c r="AR622" i="20"/>
  <c r="AS622" i="20"/>
  <c r="AT622" i="20"/>
  <c r="AU622" i="20" s="1"/>
  <c r="AV622" i="20" s="1"/>
  <c r="AW622" i="20" s="1"/>
  <c r="AX622" i="20" s="1"/>
  <c r="AY622" i="20" s="1"/>
  <c r="AZ622" i="20" s="1"/>
  <c r="BA622" i="20" s="1"/>
  <c r="BB622" i="20" s="1"/>
  <c r="BC622" i="20" s="1"/>
  <c r="BD622" i="20" s="1"/>
  <c r="BE622" i="20" s="1"/>
  <c r="BF622" i="20" s="1"/>
  <c r="BG622" i="20" s="1"/>
  <c r="BH622" i="20" s="1"/>
  <c r="BI622" i="20" s="1"/>
  <c r="BJ622" i="20" s="1"/>
  <c r="BK622" i="20" s="1"/>
  <c r="BL622" i="20" s="1"/>
  <c r="BM622" i="20" s="1"/>
  <c r="BN622" i="20" s="1"/>
  <c r="BO622" i="20" s="1"/>
  <c r="BP622" i="20" s="1"/>
  <c r="BQ622" i="20" s="1"/>
  <c r="BR622" i="20" s="1"/>
  <c r="AO623" i="20"/>
  <c r="AQ623" i="20"/>
  <c r="AR623" i="20"/>
  <c r="AS623" i="20"/>
  <c r="AT623" i="20"/>
  <c r="AU623" i="20" s="1"/>
  <c r="AV623" i="20" s="1"/>
  <c r="AW623" i="20" s="1"/>
  <c r="AX623" i="20" s="1"/>
  <c r="AY623" i="20" s="1"/>
  <c r="AZ623" i="20" s="1"/>
  <c r="BA623" i="20" s="1"/>
  <c r="BB623" i="20" s="1"/>
  <c r="BC623" i="20" s="1"/>
  <c r="BD623" i="20" s="1"/>
  <c r="BE623" i="20" s="1"/>
  <c r="BF623" i="20" s="1"/>
  <c r="BG623" i="20" s="1"/>
  <c r="BH623" i="20" s="1"/>
  <c r="BI623" i="20" s="1"/>
  <c r="BJ623" i="20" s="1"/>
  <c r="BK623" i="20" s="1"/>
  <c r="BL623" i="20" s="1"/>
  <c r="BM623" i="20" s="1"/>
  <c r="BN623" i="20" s="1"/>
  <c r="BO623" i="20" s="1"/>
  <c r="BP623" i="20" s="1"/>
  <c r="BQ623" i="20" s="1"/>
  <c r="BR623" i="20" s="1"/>
  <c r="AO624" i="20"/>
  <c r="AQ624" i="20"/>
  <c r="AR624" i="20"/>
  <c r="AS624" i="20"/>
  <c r="AT624" i="20"/>
  <c r="AU624" i="20" s="1"/>
  <c r="AV624" i="20" s="1"/>
  <c r="AW624" i="20" s="1"/>
  <c r="AX624" i="20" s="1"/>
  <c r="AY624" i="20" s="1"/>
  <c r="AZ624" i="20"/>
  <c r="BA624" i="20" s="1"/>
  <c r="BB624" i="20" s="1"/>
  <c r="BC624" i="20" s="1"/>
  <c r="BD624" i="20" s="1"/>
  <c r="BE624" i="20" s="1"/>
  <c r="BF624" i="20" s="1"/>
  <c r="BG624" i="20" s="1"/>
  <c r="BH624" i="20" s="1"/>
  <c r="BI624" i="20" s="1"/>
  <c r="BJ624" i="20" s="1"/>
  <c r="BK624" i="20" s="1"/>
  <c r="BL624" i="20" s="1"/>
  <c r="BM624" i="20" s="1"/>
  <c r="BN624" i="20" s="1"/>
  <c r="BO624" i="20" s="1"/>
  <c r="BP624" i="20" s="1"/>
  <c r="BQ624" i="20" s="1"/>
  <c r="BR624" i="20" s="1"/>
  <c r="AO625" i="20"/>
  <c r="AQ625" i="20"/>
  <c r="AR625" i="20"/>
  <c r="AS625" i="20"/>
  <c r="AT625" i="20"/>
  <c r="AU625" i="20" s="1"/>
  <c r="AV625" i="20" s="1"/>
  <c r="AW625" i="20" s="1"/>
  <c r="AX625" i="20" s="1"/>
  <c r="AY625" i="20" s="1"/>
  <c r="AZ625" i="20" s="1"/>
  <c r="BA625" i="20" s="1"/>
  <c r="BB625" i="20" s="1"/>
  <c r="BC625" i="20" s="1"/>
  <c r="BD625" i="20" s="1"/>
  <c r="BE625" i="20" s="1"/>
  <c r="BF625" i="20" s="1"/>
  <c r="BG625" i="20" s="1"/>
  <c r="BH625" i="20" s="1"/>
  <c r="BI625" i="20" s="1"/>
  <c r="BJ625" i="20" s="1"/>
  <c r="BK625" i="20" s="1"/>
  <c r="BL625" i="20" s="1"/>
  <c r="BM625" i="20" s="1"/>
  <c r="BN625" i="20" s="1"/>
  <c r="BO625" i="20" s="1"/>
  <c r="BP625" i="20" s="1"/>
  <c r="BQ625" i="20" s="1"/>
  <c r="BR625" i="20" s="1"/>
  <c r="AO626" i="20"/>
  <c r="AQ626" i="20"/>
  <c r="AR626" i="20"/>
  <c r="AS626" i="20"/>
  <c r="AT626" i="20"/>
  <c r="AU626" i="20" s="1"/>
  <c r="AV626" i="20" s="1"/>
  <c r="AW626" i="20" s="1"/>
  <c r="AX626" i="20" s="1"/>
  <c r="AY626" i="20" s="1"/>
  <c r="AZ626" i="20" s="1"/>
  <c r="BA626" i="20" s="1"/>
  <c r="BB626" i="20" s="1"/>
  <c r="BC626" i="20" s="1"/>
  <c r="BD626" i="20" s="1"/>
  <c r="BE626" i="20" s="1"/>
  <c r="BF626" i="20" s="1"/>
  <c r="BG626" i="20" s="1"/>
  <c r="BH626" i="20" s="1"/>
  <c r="BI626" i="20" s="1"/>
  <c r="BJ626" i="20" s="1"/>
  <c r="BK626" i="20" s="1"/>
  <c r="BL626" i="20" s="1"/>
  <c r="BM626" i="20" s="1"/>
  <c r="BN626" i="20" s="1"/>
  <c r="BO626" i="20" s="1"/>
  <c r="BP626" i="20" s="1"/>
  <c r="BQ626" i="20" s="1"/>
  <c r="BR626" i="20" s="1"/>
  <c r="AO627" i="20"/>
  <c r="AQ627" i="20"/>
  <c r="AR627" i="20"/>
  <c r="AS627" i="20"/>
  <c r="AT627" i="20"/>
  <c r="AU627" i="20" s="1"/>
  <c r="AV627" i="20" s="1"/>
  <c r="AW627" i="20" s="1"/>
  <c r="AX627" i="20" s="1"/>
  <c r="AY627" i="20" s="1"/>
  <c r="AZ627" i="20" s="1"/>
  <c r="BA627" i="20" s="1"/>
  <c r="BB627" i="20" s="1"/>
  <c r="BC627" i="20" s="1"/>
  <c r="BD627" i="20" s="1"/>
  <c r="BE627" i="20" s="1"/>
  <c r="BF627" i="20" s="1"/>
  <c r="BG627" i="20" s="1"/>
  <c r="BH627" i="20" s="1"/>
  <c r="BI627" i="20" s="1"/>
  <c r="BJ627" i="20" s="1"/>
  <c r="BK627" i="20" s="1"/>
  <c r="BL627" i="20" s="1"/>
  <c r="BM627" i="20" s="1"/>
  <c r="BN627" i="20" s="1"/>
  <c r="BO627" i="20" s="1"/>
  <c r="BP627" i="20" s="1"/>
  <c r="BQ627" i="20" s="1"/>
  <c r="BR627" i="20" s="1"/>
  <c r="AO628" i="20"/>
  <c r="AQ628" i="20"/>
  <c r="AR628" i="20"/>
  <c r="AS628" i="20"/>
  <c r="AT628" i="20"/>
  <c r="AU628" i="20" s="1"/>
  <c r="AV628" i="20" s="1"/>
  <c r="AW628" i="20" s="1"/>
  <c r="AX628" i="20" s="1"/>
  <c r="AY628" i="20" s="1"/>
  <c r="AZ628" i="20" s="1"/>
  <c r="BA628" i="20" s="1"/>
  <c r="BB628" i="20" s="1"/>
  <c r="BC628" i="20" s="1"/>
  <c r="BD628" i="20" s="1"/>
  <c r="BE628" i="20" s="1"/>
  <c r="BF628" i="20" s="1"/>
  <c r="BG628" i="20" s="1"/>
  <c r="BH628" i="20" s="1"/>
  <c r="BI628" i="20" s="1"/>
  <c r="BJ628" i="20" s="1"/>
  <c r="BK628" i="20" s="1"/>
  <c r="BL628" i="20" s="1"/>
  <c r="BM628" i="20" s="1"/>
  <c r="BN628" i="20" s="1"/>
  <c r="BO628" i="20" s="1"/>
  <c r="BP628" i="20" s="1"/>
  <c r="BQ628" i="20" s="1"/>
  <c r="BR628" i="20" s="1"/>
  <c r="AO629" i="20"/>
  <c r="AQ629" i="20"/>
  <c r="AR629" i="20"/>
  <c r="AS629" i="20"/>
  <c r="AT629" i="20"/>
  <c r="AU629" i="20" s="1"/>
  <c r="AV629" i="20" s="1"/>
  <c r="AW629" i="20" s="1"/>
  <c r="AX629" i="20" s="1"/>
  <c r="AY629" i="20"/>
  <c r="AZ629" i="20" s="1"/>
  <c r="BA629" i="20" s="1"/>
  <c r="BB629" i="20" s="1"/>
  <c r="BC629" i="20" s="1"/>
  <c r="BD629" i="20" s="1"/>
  <c r="BE629" i="20" s="1"/>
  <c r="BF629" i="20" s="1"/>
  <c r="BG629" i="20" s="1"/>
  <c r="BH629" i="20" s="1"/>
  <c r="BI629" i="20" s="1"/>
  <c r="BJ629" i="20" s="1"/>
  <c r="BK629" i="20" s="1"/>
  <c r="BL629" i="20" s="1"/>
  <c r="BM629" i="20" s="1"/>
  <c r="BN629" i="20" s="1"/>
  <c r="BO629" i="20" s="1"/>
  <c r="BP629" i="20" s="1"/>
  <c r="BQ629" i="20" s="1"/>
  <c r="BR629" i="20" s="1"/>
  <c r="AO630" i="20"/>
  <c r="AQ630" i="20"/>
  <c r="AR630" i="20"/>
  <c r="AS630" i="20"/>
  <c r="AT630" i="20"/>
  <c r="AU630" i="20"/>
  <c r="AV630" i="20" s="1"/>
  <c r="AW630" i="20" s="1"/>
  <c r="AX630" i="20" s="1"/>
  <c r="AY630" i="20" s="1"/>
  <c r="AZ630" i="20" s="1"/>
  <c r="BA630" i="20" s="1"/>
  <c r="BB630" i="20" s="1"/>
  <c r="BC630" i="20" s="1"/>
  <c r="BD630" i="20" s="1"/>
  <c r="BE630" i="20" s="1"/>
  <c r="BF630" i="20" s="1"/>
  <c r="BG630" i="20" s="1"/>
  <c r="BH630" i="20" s="1"/>
  <c r="BI630" i="20" s="1"/>
  <c r="BJ630" i="20" s="1"/>
  <c r="BK630" i="20" s="1"/>
  <c r="BL630" i="20" s="1"/>
  <c r="BM630" i="20" s="1"/>
  <c r="BN630" i="20" s="1"/>
  <c r="BO630" i="20" s="1"/>
  <c r="BP630" i="20" s="1"/>
  <c r="BQ630" i="20" s="1"/>
  <c r="BR630" i="20" s="1"/>
  <c r="AO631" i="20"/>
  <c r="AQ631" i="20"/>
  <c r="AR631" i="20"/>
  <c r="AS631" i="20"/>
  <c r="AT631" i="20"/>
  <c r="AU631" i="20" s="1"/>
  <c r="AV631" i="20" s="1"/>
  <c r="AW631" i="20" s="1"/>
  <c r="AX631" i="20" s="1"/>
  <c r="AY631" i="20" s="1"/>
  <c r="AZ631" i="20" s="1"/>
  <c r="BA631" i="20" s="1"/>
  <c r="BB631" i="20" s="1"/>
  <c r="BC631" i="20" s="1"/>
  <c r="BD631" i="20" s="1"/>
  <c r="BE631" i="20" s="1"/>
  <c r="BF631" i="20" s="1"/>
  <c r="BG631" i="20" s="1"/>
  <c r="BH631" i="20" s="1"/>
  <c r="BI631" i="20" s="1"/>
  <c r="BJ631" i="20" s="1"/>
  <c r="BK631" i="20" s="1"/>
  <c r="BL631" i="20" s="1"/>
  <c r="BM631" i="20" s="1"/>
  <c r="BN631" i="20" s="1"/>
  <c r="BO631" i="20" s="1"/>
  <c r="BP631" i="20" s="1"/>
  <c r="BQ631" i="20" s="1"/>
  <c r="BR631" i="20" s="1"/>
  <c r="AO632" i="20"/>
  <c r="AQ632" i="20"/>
  <c r="AR632" i="20"/>
  <c r="AS632" i="20"/>
  <c r="AT632" i="20"/>
  <c r="AU632" i="20" s="1"/>
  <c r="AV632" i="20" s="1"/>
  <c r="AW632" i="20" s="1"/>
  <c r="AX632" i="20" s="1"/>
  <c r="AY632" i="20" s="1"/>
  <c r="AZ632" i="20" s="1"/>
  <c r="BA632" i="20" s="1"/>
  <c r="BB632" i="20" s="1"/>
  <c r="BC632" i="20" s="1"/>
  <c r="BD632" i="20" s="1"/>
  <c r="BE632" i="20" s="1"/>
  <c r="BF632" i="20" s="1"/>
  <c r="BG632" i="20" s="1"/>
  <c r="BH632" i="20" s="1"/>
  <c r="BI632" i="20" s="1"/>
  <c r="BJ632" i="20" s="1"/>
  <c r="BK632" i="20" s="1"/>
  <c r="BL632" i="20" s="1"/>
  <c r="BM632" i="20" s="1"/>
  <c r="BN632" i="20" s="1"/>
  <c r="BO632" i="20" s="1"/>
  <c r="BP632" i="20" s="1"/>
  <c r="BQ632" i="20" s="1"/>
  <c r="BR632" i="20" s="1"/>
  <c r="AO633" i="20"/>
  <c r="AQ633" i="20"/>
  <c r="AR633" i="20"/>
  <c r="AS633" i="20"/>
  <c r="AT633" i="20"/>
  <c r="AU633" i="20" s="1"/>
  <c r="AV633" i="20" s="1"/>
  <c r="AW633" i="20" s="1"/>
  <c r="AX633" i="20" s="1"/>
  <c r="AY633" i="20" s="1"/>
  <c r="AZ633" i="20" s="1"/>
  <c r="BA633" i="20" s="1"/>
  <c r="BB633" i="20" s="1"/>
  <c r="BC633" i="20" s="1"/>
  <c r="BD633" i="20" s="1"/>
  <c r="BE633" i="20" s="1"/>
  <c r="BF633" i="20" s="1"/>
  <c r="BG633" i="20" s="1"/>
  <c r="BH633" i="20" s="1"/>
  <c r="BI633" i="20" s="1"/>
  <c r="BJ633" i="20" s="1"/>
  <c r="BK633" i="20" s="1"/>
  <c r="BL633" i="20" s="1"/>
  <c r="BM633" i="20" s="1"/>
  <c r="BN633" i="20" s="1"/>
  <c r="BO633" i="20" s="1"/>
  <c r="BP633" i="20" s="1"/>
  <c r="BQ633" i="20" s="1"/>
  <c r="BR633" i="20" s="1"/>
  <c r="AO634" i="20"/>
  <c r="AQ634" i="20"/>
  <c r="AR634" i="20"/>
  <c r="AS634" i="20"/>
  <c r="AT634" i="20"/>
  <c r="AU634" i="20"/>
  <c r="AV634" i="20" s="1"/>
  <c r="AW634" i="20" s="1"/>
  <c r="AX634" i="20" s="1"/>
  <c r="AY634" i="20" s="1"/>
  <c r="AZ634" i="20" s="1"/>
  <c r="BA634" i="20" s="1"/>
  <c r="BB634" i="20" s="1"/>
  <c r="BC634" i="20" s="1"/>
  <c r="BD634" i="20" s="1"/>
  <c r="BE634" i="20" s="1"/>
  <c r="BF634" i="20" s="1"/>
  <c r="BG634" i="20" s="1"/>
  <c r="BH634" i="20" s="1"/>
  <c r="BI634" i="20" s="1"/>
  <c r="BJ634" i="20" s="1"/>
  <c r="BK634" i="20" s="1"/>
  <c r="BL634" i="20" s="1"/>
  <c r="BM634" i="20" s="1"/>
  <c r="BN634" i="20" s="1"/>
  <c r="BO634" i="20" s="1"/>
  <c r="BP634" i="20" s="1"/>
  <c r="BQ634" i="20" s="1"/>
  <c r="BR634" i="20" s="1"/>
  <c r="BH607" i="20" l="1"/>
  <c r="BH604" i="20"/>
  <c r="BH465" i="20"/>
  <c r="BI424" i="20"/>
  <c r="BH413" i="20"/>
  <c r="BH146" i="20"/>
  <c r="BH131" i="20"/>
  <c r="BH85" i="20"/>
  <c r="BH22" i="20"/>
  <c r="BI572" i="20"/>
  <c r="BI529" i="20"/>
  <c r="BI528" i="20"/>
  <c r="BH473" i="20"/>
  <c r="BJ472" i="20"/>
  <c r="BH274" i="20"/>
  <c r="BI186" i="20"/>
  <c r="BI287" i="20"/>
  <c r="BH174" i="20"/>
  <c r="BI126" i="20"/>
  <c r="BK117" i="20"/>
  <c r="BI86" i="20"/>
  <c r="BH63" i="20"/>
  <c r="BH19" i="20"/>
  <c r="BI573" i="20"/>
  <c r="BH543" i="20"/>
  <c r="BI463" i="20"/>
  <c r="BI462" i="20"/>
  <c r="BI459" i="20"/>
  <c r="BI458" i="20"/>
  <c r="BJ444" i="20"/>
  <c r="BJ438" i="20"/>
  <c r="BH422" i="20"/>
  <c r="BH361" i="20"/>
  <c r="BH272" i="20"/>
  <c r="BH180" i="20"/>
  <c r="BK167" i="20"/>
  <c r="BI161" i="20"/>
  <c r="BH81" i="20"/>
  <c r="BH65" i="20"/>
  <c r="BH470" i="20"/>
  <c r="BH451" i="20"/>
  <c r="BH431" i="20"/>
  <c r="BH421" i="20"/>
  <c r="BI416" i="20"/>
  <c r="BK390" i="20"/>
  <c r="BH270" i="20"/>
  <c r="BI175" i="20"/>
  <c r="BI163" i="20"/>
  <c r="BH67" i="20"/>
  <c r="BH16" i="20"/>
  <c r="BH14" i="20"/>
  <c r="BI600" i="20"/>
  <c r="BI595" i="20"/>
  <c r="BI574" i="20"/>
  <c r="BH454" i="20"/>
  <c r="BH445" i="20"/>
  <c r="BH396" i="20"/>
  <c r="BH181" i="20"/>
  <c r="BH160" i="20"/>
  <c r="BH149" i="20"/>
  <c r="BI128" i="20"/>
  <c r="BH15" i="20"/>
  <c r="BH596" i="20"/>
  <c r="BH594" i="20"/>
  <c r="BH552" i="20"/>
  <c r="BI545" i="20"/>
  <c r="BI531" i="20"/>
  <c r="BH447" i="20"/>
  <c r="BH415" i="20"/>
  <c r="BI385" i="20"/>
  <c r="BH359" i="20"/>
  <c r="BK317" i="20"/>
  <c r="BJ296" i="20"/>
  <c r="BH266" i="20"/>
  <c r="BH262" i="20"/>
  <c r="BH258" i="20"/>
  <c r="BH158" i="20"/>
  <c r="BH89" i="20"/>
  <c r="BH83" i="20"/>
  <c r="BJ606" i="20"/>
  <c r="BJ605" i="20"/>
  <c r="BI603" i="20"/>
  <c r="BI571" i="20"/>
  <c r="BH469" i="20"/>
  <c r="BH467" i="20"/>
  <c r="BH441" i="20"/>
  <c r="BH264" i="20"/>
  <c r="BH260" i="20"/>
  <c r="BI189" i="20"/>
  <c r="BI187" i="20"/>
  <c r="BH182" i="20"/>
  <c r="BH156" i="20"/>
  <c r="BH91" i="20"/>
  <c r="BH69" i="20"/>
  <c r="AU477" i="20"/>
  <c r="AU300" i="20"/>
  <c r="AV104" i="20"/>
  <c r="AV102" i="20"/>
  <c r="AW102" i="20" s="1"/>
  <c r="AU8" i="20"/>
  <c r="AV350" i="20"/>
  <c r="AW350" i="20" s="1"/>
  <c r="AV79" i="20"/>
  <c r="AW79" i="20" s="1"/>
  <c r="AV149" i="20"/>
  <c r="BH185" i="20"/>
  <c r="AV184" i="20"/>
  <c r="BH130" i="20"/>
  <c r="AW593" i="20"/>
  <c r="BH448" i="20"/>
  <c r="AV352" i="20"/>
  <c r="AW352" i="20" s="1"/>
  <c r="AV87" i="20"/>
  <c r="AU13" i="20"/>
  <c r="AV353" i="20"/>
  <c r="AV186" i="20"/>
  <c r="AW186" i="20" s="1"/>
  <c r="AX186" i="20" s="1"/>
  <c r="T28" i="23"/>
  <c r="T27" i="23"/>
  <c r="W27" i="23"/>
  <c r="AV364" i="20"/>
  <c r="AV145" i="20"/>
  <c r="AV294" i="20"/>
  <c r="AW294" i="20" s="1"/>
  <c r="AX294" i="20" s="1"/>
  <c r="AW224" i="20"/>
  <c r="AV351" i="20"/>
  <c r="AV120" i="20"/>
  <c r="AV354" i="20"/>
  <c r="BH351" i="20"/>
  <c r="BH166" i="20"/>
  <c r="BH17" i="20"/>
  <c r="AW219" i="20"/>
  <c r="AX219" i="20" s="1"/>
  <c r="AV424" i="20"/>
  <c r="BH187" i="20"/>
  <c r="AU311" i="20"/>
  <c r="BI53" i="20"/>
  <c r="AV360" i="20"/>
  <c r="AV270" i="20"/>
  <c r="AW270" i="20" s="1"/>
  <c r="AU526" i="20"/>
  <c r="AV526" i="20" s="1"/>
  <c r="BH362" i="20"/>
  <c r="BI56" i="20"/>
  <c r="BH88" i="20"/>
  <c r="BH440" i="20"/>
  <c r="BH273" i="20"/>
  <c r="AU331" i="20"/>
  <c r="AU104" i="20"/>
  <c r="BH471" i="20"/>
  <c r="AW438" i="20"/>
  <c r="BH141" i="20"/>
  <c r="AV86" i="20"/>
  <c r="AW86" i="20" s="1"/>
  <c r="BJ166" i="20"/>
  <c r="AV414" i="20"/>
  <c r="BA401" i="20"/>
  <c r="BA369" i="20"/>
  <c r="BB369" i="20" s="1"/>
  <c r="BH287" i="20"/>
  <c r="BH257" i="20"/>
  <c r="AU604" i="20"/>
  <c r="AV604" i="20" s="1"/>
  <c r="AW604" i="20" s="1"/>
  <c r="AX604" i="20" s="1"/>
  <c r="AY604" i="20" s="1"/>
  <c r="BA368" i="20"/>
  <c r="BA35" i="20"/>
  <c r="AU409" i="20"/>
  <c r="AV409" i="20" s="1"/>
  <c r="BH393" i="20"/>
  <c r="AU306" i="20"/>
  <c r="BH259" i="20"/>
  <c r="AV245" i="20"/>
  <c r="BH120" i="20"/>
  <c r="BJ285" i="20"/>
  <c r="BI285" i="20"/>
  <c r="AV580" i="20"/>
  <c r="AU492" i="20"/>
  <c r="BH124" i="20"/>
  <c r="BH419" i="20"/>
  <c r="AW301" i="20"/>
  <c r="BH269" i="20"/>
  <c r="AU48" i="20"/>
  <c r="AU229" i="20"/>
  <c r="AU228" i="20"/>
  <c r="BH442" i="20"/>
  <c r="BA346" i="20"/>
  <c r="AU35" i="20"/>
  <c r="AV355" i="20"/>
  <c r="BH285" i="20"/>
  <c r="BH296" i="20"/>
  <c r="BH142" i="20"/>
  <c r="BA568" i="20"/>
  <c r="AV469" i="20"/>
  <c r="AW469" i="20" s="1"/>
  <c r="BH437" i="20"/>
  <c r="AU401" i="20"/>
  <c r="AU614" i="20"/>
  <c r="AV614" i="20" s="1"/>
  <c r="AW614" i="20" s="1"/>
  <c r="AU595" i="20"/>
  <c r="AV595" i="20" s="1"/>
  <c r="AV547" i="20"/>
  <c r="AW547" i="20" s="1"/>
  <c r="AU523" i="20"/>
  <c r="AV451" i="20"/>
  <c r="AV69" i="20"/>
  <c r="AW69" i="20" s="1"/>
  <c r="AV59" i="20"/>
  <c r="AW59" i="20" s="1"/>
  <c r="AV255" i="20"/>
  <c r="AU319" i="20"/>
  <c r="BH186" i="20"/>
  <c r="AV179" i="20"/>
  <c r="AW179" i="20" s="1"/>
  <c r="AV167" i="20"/>
  <c r="AW167" i="20" s="1"/>
  <c r="AU490" i="20"/>
  <c r="AU606" i="20"/>
  <c r="AV606" i="20" s="1"/>
  <c r="BI443" i="20"/>
  <c r="AV435" i="20"/>
  <c r="BA402" i="20"/>
  <c r="AU379" i="20"/>
  <c r="AV264" i="20"/>
  <c r="AW264" i="20" s="1"/>
  <c r="AU98" i="20"/>
  <c r="AU95" i="20"/>
  <c r="AV95" i="20" s="1"/>
  <c r="AW95" i="20" s="1"/>
  <c r="BA43" i="20"/>
  <c r="BB43" i="20" s="1"/>
  <c r="BC43" i="20" s="1"/>
  <c r="BA541" i="20"/>
  <c r="AU476" i="20"/>
  <c r="BH438" i="20"/>
  <c r="AU347" i="20"/>
  <c r="AU339" i="20"/>
  <c r="AU332" i="20"/>
  <c r="AV332" i="20" s="1"/>
  <c r="AW332" i="20" s="1"/>
  <c r="AU249" i="20"/>
  <c r="AV249" i="20" s="1"/>
  <c r="AU248" i="20"/>
  <c r="AU247" i="20"/>
  <c r="BH157" i="20"/>
  <c r="AV357" i="20"/>
  <c r="AV544" i="20"/>
  <c r="AW544" i="20" s="1"/>
  <c r="AX544" i="20" s="1"/>
  <c r="AV431" i="20"/>
  <c r="AU307" i="20"/>
  <c r="AU293" i="20"/>
  <c r="AV293" i="20" s="1"/>
  <c r="AV279" i="20"/>
  <c r="AU109" i="20"/>
  <c r="BG427" i="20"/>
  <c r="BJ132" i="20"/>
  <c r="BI132" i="20"/>
  <c r="BJ598" i="20"/>
  <c r="BM598" i="20"/>
  <c r="BI560" i="20"/>
  <c r="BH164" i="20"/>
  <c r="AV147" i="20"/>
  <c r="BH132" i="20"/>
  <c r="BH86" i="20"/>
  <c r="BA47" i="20"/>
  <c r="BA38" i="20"/>
  <c r="BB38" i="20" s="1"/>
  <c r="AV13" i="20"/>
  <c r="AU522" i="20"/>
  <c r="AV455" i="20"/>
  <c r="AV454" i="20"/>
  <c r="AV259" i="20"/>
  <c r="AW259" i="20" s="1"/>
  <c r="BH123" i="20"/>
  <c r="AU50" i="20"/>
  <c r="AU570" i="20"/>
  <c r="AU488" i="20"/>
  <c r="BH468" i="20"/>
  <c r="AU342" i="20"/>
  <c r="AV342" i="20" s="1"/>
  <c r="AW342" i="20" s="1"/>
  <c r="AX342" i="20" s="1"/>
  <c r="AY342" i="20" s="1"/>
  <c r="AV274" i="20"/>
  <c r="AW274" i="20" s="1"/>
  <c r="AW591" i="20"/>
  <c r="AW589" i="20"/>
  <c r="BH560" i="20"/>
  <c r="AU404" i="20"/>
  <c r="BA403" i="20"/>
  <c r="BB403" i="20" s="1"/>
  <c r="AU603" i="20"/>
  <c r="AV603" i="20" s="1"/>
  <c r="AU499" i="20"/>
  <c r="BE429" i="20"/>
  <c r="BA408" i="20"/>
  <c r="BA399" i="20"/>
  <c r="BA349" i="20"/>
  <c r="BB349" i="20" s="1"/>
  <c r="AU325" i="20"/>
  <c r="AV299" i="20"/>
  <c r="BH271" i="20"/>
  <c r="BH265" i="20"/>
  <c r="AU242" i="20"/>
  <c r="AU140" i="20"/>
  <c r="AV140" i="20" s="1"/>
  <c r="BA39" i="20"/>
  <c r="AV15" i="20"/>
  <c r="BE427" i="20"/>
  <c r="BF427" i="20" s="1"/>
  <c r="AU377" i="20"/>
  <c r="AV301" i="20"/>
  <c r="AV276" i="20"/>
  <c r="AW276" i="20" s="1"/>
  <c r="AV268" i="20"/>
  <c r="AW268" i="20" s="1"/>
  <c r="AV258" i="20"/>
  <c r="AU214" i="20"/>
  <c r="BH159" i="20"/>
  <c r="AU102" i="20"/>
  <c r="AU99" i="20"/>
  <c r="AV99" i="20" s="1"/>
  <c r="BI58" i="20"/>
  <c r="BA566" i="20"/>
  <c r="BA550" i="20"/>
  <c r="AV272" i="20"/>
  <c r="AW272" i="20" s="1"/>
  <c r="AW515" i="20"/>
  <c r="AW289" i="20"/>
  <c r="AU225" i="20"/>
  <c r="AV225" i="20" s="1"/>
  <c r="AU208" i="20"/>
  <c r="BH169" i="20"/>
  <c r="BH122" i="20"/>
  <c r="BH70" i="20"/>
  <c r="BI57" i="20"/>
  <c r="AV27" i="20"/>
  <c r="AU565" i="20"/>
  <c r="BH601" i="20"/>
  <c r="AU501" i="20"/>
  <c r="AU498" i="20"/>
  <c r="BE450" i="20"/>
  <c r="BF450" i="20" s="1"/>
  <c r="BA431" i="20"/>
  <c r="BB431" i="20" s="1"/>
  <c r="BC431" i="20" s="1"/>
  <c r="BD431" i="20" s="1"/>
  <c r="BE431" i="20" s="1"/>
  <c r="BF431" i="20" s="1"/>
  <c r="BA410" i="20"/>
  <c r="BB410" i="20" s="1"/>
  <c r="BH275" i="20"/>
  <c r="AU207" i="20"/>
  <c r="AV207" i="20" s="1"/>
  <c r="AW184" i="20"/>
  <c r="AU39" i="20"/>
  <c r="AV39" i="20" s="1"/>
  <c r="AW39" i="20" s="1"/>
  <c r="AU491" i="20"/>
  <c r="AU605" i="20"/>
  <c r="AV605" i="20" s="1"/>
  <c r="BH599" i="20"/>
  <c r="AV559" i="20"/>
  <c r="AW559" i="20" s="1"/>
  <c r="AU484" i="20"/>
  <c r="AV484" i="20" s="1"/>
  <c r="BA451" i="20"/>
  <c r="BB427" i="20"/>
  <c r="BC427" i="20" s="1"/>
  <c r="AU49" i="20"/>
  <c r="AV49" i="20" s="1"/>
  <c r="AW49" i="20" s="1"/>
  <c r="AU7" i="20"/>
  <c r="BJ58" i="20"/>
  <c r="BB36" i="20"/>
  <c r="BC36" i="20" s="1"/>
  <c r="AV50" i="20"/>
  <c r="BB402" i="20"/>
  <c r="AV7" i="20"/>
  <c r="BB346" i="20"/>
  <c r="AW545" i="20"/>
  <c r="AX545" i="20" s="1"/>
  <c r="BI358" i="20"/>
  <c r="AW21" i="20"/>
  <c r="AX21" i="20" s="1"/>
  <c r="BH603" i="20"/>
  <c r="AU495" i="20"/>
  <c r="AU475" i="20"/>
  <c r="AV475" i="20" s="1"/>
  <c r="AY468" i="20"/>
  <c r="BA455" i="20"/>
  <c r="BB455" i="20" s="1"/>
  <c r="BC455" i="20" s="1"/>
  <c r="BD455" i="20" s="1"/>
  <c r="BE436" i="20"/>
  <c r="BF436" i="20" s="1"/>
  <c r="BH394" i="20"/>
  <c r="BJ390" i="20"/>
  <c r="BA367" i="20"/>
  <c r="AU338" i="20"/>
  <c r="AV262" i="20"/>
  <c r="AW262" i="20" s="1"/>
  <c r="AW241" i="20"/>
  <c r="AV119" i="20"/>
  <c r="AU61" i="20"/>
  <c r="BI19" i="20"/>
  <c r="AU596" i="20"/>
  <c r="BK545" i="20"/>
  <c r="BA405" i="20"/>
  <c r="AU403" i="20"/>
  <c r="AU328" i="20"/>
  <c r="AW217" i="20"/>
  <c r="AX217" i="20" s="1"/>
  <c r="AU213" i="20"/>
  <c r="BH190" i="20"/>
  <c r="AU138" i="20"/>
  <c r="AV130" i="20"/>
  <c r="AW130" i="20" s="1"/>
  <c r="BH121" i="20"/>
  <c r="AU108" i="20"/>
  <c r="AV108" i="20" s="1"/>
  <c r="BI91" i="20"/>
  <c r="BJ56" i="20"/>
  <c r="BE42" i="20"/>
  <c r="BB41" i="20"/>
  <c r="AW563" i="20"/>
  <c r="BI470" i="20"/>
  <c r="BH417" i="20"/>
  <c r="AW222" i="20"/>
  <c r="BK187" i="20"/>
  <c r="BH155" i="20"/>
  <c r="BI124" i="20"/>
  <c r="BI438" i="20"/>
  <c r="AU405" i="20"/>
  <c r="AV405" i="20" s="1"/>
  <c r="AY294" i="20"/>
  <c r="BB42" i="20"/>
  <c r="BA569" i="20"/>
  <c r="BB409" i="20"/>
  <c r="BC409" i="20" s="1"/>
  <c r="BD409" i="20" s="1"/>
  <c r="AV407" i="20"/>
  <c r="AU232" i="20"/>
  <c r="BI156" i="20"/>
  <c r="BE41" i="20"/>
  <c r="AV443" i="20"/>
  <c r="AV439" i="20"/>
  <c r="AW439" i="20" s="1"/>
  <c r="BE434" i="20"/>
  <c r="BF434" i="20" s="1"/>
  <c r="BE433" i="20"/>
  <c r="BF433" i="20" s="1"/>
  <c r="BB429" i="20"/>
  <c r="BC429" i="20" s="1"/>
  <c r="BB425" i="20"/>
  <c r="BC425" i="20" s="1"/>
  <c r="AV413" i="20"/>
  <c r="AW413" i="20" s="1"/>
  <c r="BA409" i="20"/>
  <c r="BH145" i="20"/>
  <c r="BH129" i="20"/>
  <c r="AV124" i="20"/>
  <c r="AW124" i="20" s="1"/>
  <c r="AX124" i="20" s="1"/>
  <c r="BB13" i="20"/>
  <c r="BB11" i="20"/>
  <c r="BC11" i="20" s="1"/>
  <c r="AV581" i="20"/>
  <c r="AW581" i="20" s="1"/>
  <c r="AX581" i="20" s="1"/>
  <c r="AU487" i="20"/>
  <c r="AV487" i="20" s="1"/>
  <c r="AY471" i="20"/>
  <c r="AZ471" i="20" s="1"/>
  <c r="BF435" i="20"/>
  <c r="BH291" i="20"/>
  <c r="BE39" i="20"/>
  <c r="BI15" i="20"/>
  <c r="BC408" i="20"/>
  <c r="BB408" i="20"/>
  <c r="BJ436" i="20"/>
  <c r="BI436" i="20"/>
  <c r="BB567" i="20"/>
  <c r="AV362" i="20"/>
  <c r="BH357" i="20"/>
  <c r="BI472" i="20"/>
  <c r="AV415" i="20"/>
  <c r="AU412" i="20"/>
  <c r="BI364" i="20"/>
  <c r="BH364" i="20"/>
  <c r="BH290" i="20"/>
  <c r="AV266" i="20"/>
  <c r="AW266" i="20" s="1"/>
  <c r="BE35" i="20"/>
  <c r="BF35" i="20" s="1"/>
  <c r="BI598" i="20"/>
  <c r="BB568" i="20"/>
  <c r="BC568" i="20" s="1"/>
  <c r="AU525" i="20"/>
  <c r="BA432" i="20"/>
  <c r="AV397" i="20"/>
  <c r="AW397" i="20" s="1"/>
  <c r="BI393" i="20"/>
  <c r="BK386" i="20"/>
  <c r="BJ386" i="20"/>
  <c r="AU367" i="20"/>
  <c r="AU310" i="20"/>
  <c r="AW237" i="20"/>
  <c r="AV236" i="20"/>
  <c r="AU236" i="20"/>
  <c r="AV208" i="20"/>
  <c r="BH188" i="20"/>
  <c r="AU96" i="20"/>
  <c r="BK84" i="20"/>
  <c r="BJ84" i="20"/>
  <c r="BI64" i="20"/>
  <c r="BH64" i="20"/>
  <c r="BA567" i="20"/>
  <c r="BA406" i="20"/>
  <c r="AU607" i="20"/>
  <c r="AU602" i="20"/>
  <c r="AV602" i="20" s="1"/>
  <c r="AU601" i="20"/>
  <c r="AV565" i="20"/>
  <c r="AW565" i="20" s="1"/>
  <c r="AY555" i="20"/>
  <c r="AV553" i="20"/>
  <c r="AV543" i="20"/>
  <c r="AU474" i="20"/>
  <c r="BJ435" i="20"/>
  <c r="BI435" i="20"/>
  <c r="BH423" i="20"/>
  <c r="AV422" i="20"/>
  <c r="AV404" i="20"/>
  <c r="AW404" i="20" s="1"/>
  <c r="BI392" i="20"/>
  <c r="BK392" i="20"/>
  <c r="BH356" i="20"/>
  <c r="AU334" i="20"/>
  <c r="AU209" i="20"/>
  <c r="BA412" i="20"/>
  <c r="AU496" i="20"/>
  <c r="AV442" i="20"/>
  <c r="AU47" i="20"/>
  <c r="BA45" i="20"/>
  <c r="AU613" i="20"/>
  <c r="AV613" i="20" s="1"/>
  <c r="AW613" i="20" s="1"/>
  <c r="AU612" i="20"/>
  <c r="AV612" i="20" s="1"/>
  <c r="AW555" i="20"/>
  <c r="AV555" i="20"/>
  <c r="BB548" i="20"/>
  <c r="BA548" i="20"/>
  <c r="BA537" i="20"/>
  <c r="BB537" i="20" s="1"/>
  <c r="AU524" i="20"/>
  <c r="AV524" i="20" s="1"/>
  <c r="AU489" i="20"/>
  <c r="AV489" i="20" s="1"/>
  <c r="AU479" i="20"/>
  <c r="AY469" i="20"/>
  <c r="BI414" i="20"/>
  <c r="BA400" i="20"/>
  <c r="BB399" i="20"/>
  <c r="BC399" i="20" s="1"/>
  <c r="BA372" i="20"/>
  <c r="BI360" i="20"/>
  <c r="BH360" i="20"/>
  <c r="BA347" i="20"/>
  <c r="AU346" i="20"/>
  <c r="AW255" i="20"/>
  <c r="BH152" i="20"/>
  <c r="AU105" i="20"/>
  <c r="BH162" i="20"/>
  <c r="AV557" i="20"/>
  <c r="AW557" i="20" s="1"/>
  <c r="AV306" i="20"/>
  <c r="AW612" i="20"/>
  <c r="AX612" i="20" s="1"/>
  <c r="AW611" i="20"/>
  <c r="AX611" i="20" s="1"/>
  <c r="BI605" i="20"/>
  <c r="BA592" i="20"/>
  <c r="BB592" i="20" s="1"/>
  <c r="AU568" i="20"/>
  <c r="BH546" i="20"/>
  <c r="AW450" i="20"/>
  <c r="AV450" i="20"/>
  <c r="AV441" i="20"/>
  <c r="BJ439" i="20"/>
  <c r="BI439" i="20"/>
  <c r="BF437" i="20"/>
  <c r="BE430" i="20"/>
  <c r="AV423" i="20"/>
  <c r="BH414" i="20"/>
  <c r="BH395" i="20"/>
  <c r="BI391" i="20"/>
  <c r="BJ387" i="20"/>
  <c r="BI387" i="20"/>
  <c r="BA375" i="20"/>
  <c r="AU369" i="20"/>
  <c r="BK113" i="20"/>
  <c r="BJ112" i="20"/>
  <c r="BJ111" i="20"/>
  <c r="BJ110" i="20"/>
  <c r="AW470" i="20"/>
  <c r="AV470" i="20"/>
  <c r="BH434" i="20"/>
  <c r="BA539" i="20"/>
  <c r="BB539" i="20" s="1"/>
  <c r="BA381" i="20"/>
  <c r="BB381" i="20" s="1"/>
  <c r="AU610" i="20"/>
  <c r="BJ546" i="20"/>
  <c r="BI546" i="20"/>
  <c r="AU534" i="20"/>
  <c r="BI471" i="20"/>
  <c r="AU464" i="20"/>
  <c r="AU429" i="20"/>
  <c r="BK414" i="20"/>
  <c r="BJ414" i="20"/>
  <c r="AU410" i="20"/>
  <c r="BB405" i="20"/>
  <c r="BC405" i="20" s="1"/>
  <c r="BA377" i="20"/>
  <c r="BB377" i="20" s="1"/>
  <c r="AU375" i="20"/>
  <c r="BI355" i="20"/>
  <c r="BH355" i="20"/>
  <c r="BH289" i="20"/>
  <c r="BH286" i="20"/>
  <c r="BJ286" i="20"/>
  <c r="AW119" i="20"/>
  <c r="AX119" i="20" s="1"/>
  <c r="AY557" i="20"/>
  <c r="BJ291" i="20"/>
  <c r="BK291" i="20"/>
  <c r="BH288" i="20"/>
  <c r="AU497" i="20"/>
  <c r="AU381" i="20"/>
  <c r="BI606" i="20"/>
  <c r="BH597" i="20"/>
  <c r="BH595" i="20"/>
  <c r="BB593" i="20"/>
  <c r="BC593" i="20" s="1"/>
  <c r="BA588" i="20"/>
  <c r="BB588" i="20" s="1"/>
  <c r="AU578" i="20"/>
  <c r="AU569" i="20"/>
  <c r="BB566" i="20"/>
  <c r="BC566" i="20" s="1"/>
  <c r="BH553" i="20"/>
  <c r="AU535" i="20"/>
  <c r="AW518" i="20"/>
  <c r="AU493" i="20"/>
  <c r="AZ469" i="20"/>
  <c r="BA469" i="20" s="1"/>
  <c r="BA436" i="20"/>
  <c r="BH433" i="20"/>
  <c r="AV421" i="20"/>
  <c r="BJ419" i="20"/>
  <c r="AV416" i="20"/>
  <c r="AW416" i="20" s="1"/>
  <c r="BB401" i="20"/>
  <c r="BI386" i="20"/>
  <c r="BA370" i="20"/>
  <c r="BI352" i="20"/>
  <c r="BH352" i="20"/>
  <c r="AU308" i="20"/>
  <c r="AW258" i="20"/>
  <c r="AX258" i="20" s="1"/>
  <c r="AU408" i="20"/>
  <c r="BA373" i="20"/>
  <c r="BB373" i="20" s="1"/>
  <c r="BC373" i="20" s="1"/>
  <c r="AV331" i="20"/>
  <c r="AU327" i="20"/>
  <c r="BI263" i="20"/>
  <c r="BH263" i="20"/>
  <c r="AV247" i="20"/>
  <c r="AV128" i="20"/>
  <c r="AW128" i="20" s="1"/>
  <c r="AV471" i="20"/>
  <c r="AW471" i="20" s="1"/>
  <c r="AV328" i="20"/>
  <c r="BK322" i="20"/>
  <c r="BJ322" i="20"/>
  <c r="AU277" i="20"/>
  <c r="BH184" i="20"/>
  <c r="AV156" i="20"/>
  <c r="AW156" i="20" s="1"/>
  <c r="BJ147" i="20"/>
  <c r="BH147" i="20"/>
  <c r="AV143" i="20"/>
  <c r="AU106" i="20"/>
  <c r="BH79" i="20"/>
  <c r="BJ55" i="20"/>
  <c r="BH21" i="20"/>
  <c r="BK321" i="20"/>
  <c r="BJ321" i="20"/>
  <c r="BK320" i="20"/>
  <c r="BJ320" i="20"/>
  <c r="AV260" i="20"/>
  <c r="AV213" i="20"/>
  <c r="BH170" i="20"/>
  <c r="BI167" i="20"/>
  <c r="BI133" i="20"/>
  <c r="BH133" i="20"/>
  <c r="BJ115" i="20"/>
  <c r="BK82" i="20"/>
  <c r="BJ82" i="20"/>
  <c r="BJ57" i="20"/>
  <c r="BJ53" i="20"/>
  <c r="AV300" i="20"/>
  <c r="AW300" i="20" s="1"/>
  <c r="AX259" i="20"/>
  <c r="AV158" i="20"/>
  <c r="AW158" i="20" s="1"/>
  <c r="AV61" i="20"/>
  <c r="AW61" i="20" s="1"/>
  <c r="BA40" i="20"/>
  <c r="BH18" i="20"/>
  <c r="BJ80" i="20"/>
  <c r="AU62" i="20"/>
  <c r="BI59" i="20"/>
  <c r="BK56" i="20"/>
  <c r="BH544" i="20"/>
  <c r="BH297" i="20"/>
  <c r="AV295" i="20"/>
  <c r="BH261" i="20"/>
  <c r="AU211" i="20"/>
  <c r="BJ190" i="20"/>
  <c r="BI190" i="20"/>
  <c r="BI88" i="20"/>
  <c r="BI54" i="20"/>
  <c r="BB47" i="20"/>
  <c r="AU215" i="20"/>
  <c r="AV215" i="20" s="1"/>
  <c r="AU100" i="20"/>
  <c r="BE37" i="20"/>
  <c r="BF37" i="20" s="1"/>
  <c r="AU30" i="20"/>
  <c r="AV30" i="20" s="1"/>
  <c r="AU9" i="20"/>
  <c r="AV254" i="20"/>
  <c r="AW254" i="20" s="1"/>
  <c r="BH68" i="20"/>
  <c r="AV8" i="20"/>
  <c r="AW8" i="20" s="1"/>
  <c r="BH87" i="20"/>
  <c r="AU41" i="20"/>
  <c r="BH267" i="20"/>
  <c r="BI122" i="20"/>
  <c r="BI120" i="20"/>
  <c r="AX86" i="20"/>
  <c r="AU31" i="20"/>
  <c r="AV151" i="20"/>
  <c r="BH66" i="20"/>
  <c r="BC38" i="20"/>
  <c r="AU37" i="20"/>
  <c r="AU6" i="20"/>
  <c r="AU304" i="20"/>
  <c r="BI597" i="20"/>
  <c r="AY581" i="20"/>
  <c r="BG600" i="20"/>
  <c r="BH600" i="20"/>
  <c r="AV570" i="20"/>
  <c r="BI601" i="20"/>
  <c r="AZ587" i="20"/>
  <c r="AZ586" i="20"/>
  <c r="AZ585" i="20"/>
  <c r="AZ584" i="20"/>
  <c r="AZ583" i="20"/>
  <c r="BB551" i="20"/>
  <c r="AY550" i="20"/>
  <c r="BI544" i="20"/>
  <c r="AV542" i="20"/>
  <c r="BG542" i="20"/>
  <c r="AZ542" i="20"/>
  <c r="BA542" i="20" s="1"/>
  <c r="BH542" i="20"/>
  <c r="AS542" i="20"/>
  <c r="AU540" i="20"/>
  <c r="AV540" i="20" s="1"/>
  <c r="AW540" i="20" s="1"/>
  <c r="AS540" i="20"/>
  <c r="AZ540" i="20"/>
  <c r="BA540" i="20" s="1"/>
  <c r="BB540" i="20" s="1"/>
  <c r="BC540" i="20" s="1"/>
  <c r="AU538" i="20"/>
  <c r="AV538" i="20"/>
  <c r="AW538" i="20" s="1"/>
  <c r="BA538" i="20"/>
  <c r="BB538" i="20" s="1"/>
  <c r="BC538" i="20" s="1"/>
  <c r="AZ538" i="20"/>
  <c r="AS538" i="20"/>
  <c r="BK510" i="20"/>
  <c r="BK509" i="20"/>
  <c r="BK506" i="20"/>
  <c r="AS600" i="20"/>
  <c r="BI551" i="20"/>
  <c r="BB550" i="20"/>
  <c r="AU611" i="20"/>
  <c r="AV611" i="20" s="1"/>
  <c r="AS607" i="20"/>
  <c r="AS605" i="20"/>
  <c r="AX593" i="20"/>
  <c r="AX591" i="20"/>
  <c r="AY591" i="20"/>
  <c r="AX589" i="20"/>
  <c r="AY589" i="20"/>
  <c r="AY582" i="20"/>
  <c r="BG582" i="20"/>
  <c r="AZ582" i="20"/>
  <c r="BH582" i="20"/>
  <c r="AS582" i="20"/>
  <c r="BA582" i="20"/>
  <c r="BI582" i="20"/>
  <c r="BB582" i="20"/>
  <c r="AU582" i="20"/>
  <c r="BC582" i="20"/>
  <c r="AV582" i="20"/>
  <c r="BD582" i="20"/>
  <c r="BE582" i="20" s="1"/>
  <c r="BF582" i="20" s="1"/>
  <c r="AV578" i="20"/>
  <c r="BA570" i="20"/>
  <c r="BB570" i="20" s="1"/>
  <c r="BB569" i="20"/>
  <c r="BJ559" i="20"/>
  <c r="BB541" i="20"/>
  <c r="AW551" i="20"/>
  <c r="BB546" i="20"/>
  <c r="BI542" i="20"/>
  <c r="AW539" i="20"/>
  <c r="AW537" i="20"/>
  <c r="BH455" i="20"/>
  <c r="AU609" i="20"/>
  <c r="AV609" i="20" s="1"/>
  <c r="AW609" i="20" s="1"/>
  <c r="AX609" i="20" s="1"/>
  <c r="AY609" i="20" s="1"/>
  <c r="AV608" i="20"/>
  <c r="AW608" i="20" s="1"/>
  <c r="AX608" i="20" s="1"/>
  <c r="AV598" i="20"/>
  <c r="BJ583" i="20"/>
  <c r="AV564" i="20"/>
  <c r="AV610" i="20"/>
  <c r="AW610" i="20" s="1"/>
  <c r="AX610" i="20" s="1"/>
  <c r="BG607" i="20"/>
  <c r="BH605" i="20"/>
  <c r="BH602" i="20"/>
  <c r="AU599" i="20"/>
  <c r="AU598" i="20"/>
  <c r="AU597" i="20"/>
  <c r="AV597" i="20"/>
  <c r="AW596" i="20"/>
  <c r="AX596" i="20" s="1"/>
  <c r="AV596" i="20"/>
  <c r="BJ587" i="20"/>
  <c r="BJ586" i="20"/>
  <c r="BJ585" i="20"/>
  <c r="BJ584" i="20"/>
  <c r="AV569" i="20"/>
  <c r="AW546" i="20"/>
  <c r="AU542" i="20"/>
  <c r="AV525" i="20"/>
  <c r="BI461" i="20"/>
  <c r="AS570" i="20"/>
  <c r="BB528" i="20"/>
  <c r="AU528" i="20"/>
  <c r="BC528" i="20"/>
  <c r="AZ528" i="20"/>
  <c r="BH528" i="20"/>
  <c r="AX528" i="20"/>
  <c r="AY528" i="20"/>
  <c r="BA528" i="20"/>
  <c r="BD528" i="20"/>
  <c r="AS528" i="20"/>
  <c r="BE528" i="20"/>
  <c r="BF528" i="20"/>
  <c r="AV528" i="20"/>
  <c r="BG528" i="20"/>
  <c r="AU600" i="20"/>
  <c r="BJ599" i="20"/>
  <c r="AU608" i="20"/>
  <c r="AY583" i="20"/>
  <c r="BG583" i="20"/>
  <c r="AS583" i="20"/>
  <c r="BA583" i="20"/>
  <c r="BI583" i="20"/>
  <c r="BB583" i="20"/>
  <c r="AU583" i="20"/>
  <c r="BC583" i="20"/>
  <c r="AV583" i="20"/>
  <c r="BD583" i="20"/>
  <c r="BE583" i="20" s="1"/>
  <c r="AW569" i="20"/>
  <c r="AX569" i="20" s="1"/>
  <c r="AY569" i="20" s="1"/>
  <c r="AS564" i="20"/>
  <c r="AU564" i="20"/>
  <c r="BJ560" i="20"/>
  <c r="BI553" i="20"/>
  <c r="AV551" i="20"/>
  <c r="BG551" i="20"/>
  <c r="AZ551" i="20"/>
  <c r="BA551" i="20" s="1"/>
  <c r="BH551" i="20"/>
  <c r="AS551" i="20"/>
  <c r="BJ547" i="20"/>
  <c r="AW542" i="20"/>
  <c r="BK508" i="20"/>
  <c r="BI442" i="20"/>
  <c r="BI599" i="20"/>
  <c r="AY587" i="20"/>
  <c r="BG587" i="20"/>
  <c r="AS587" i="20"/>
  <c r="BA587" i="20"/>
  <c r="BI587" i="20"/>
  <c r="BB587" i="20"/>
  <c r="AU587" i="20"/>
  <c r="BC587" i="20"/>
  <c r="AV587" i="20"/>
  <c r="BD587" i="20"/>
  <c r="BE587" i="20" s="1"/>
  <c r="BF587" i="20" s="1"/>
  <c r="AY586" i="20"/>
  <c r="BG586" i="20"/>
  <c r="AS586" i="20"/>
  <c r="BA586" i="20"/>
  <c r="BI586" i="20"/>
  <c r="BB586" i="20"/>
  <c r="AU586" i="20"/>
  <c r="BC586" i="20"/>
  <c r="AV586" i="20"/>
  <c r="BD586" i="20"/>
  <c r="BE586" i="20" s="1"/>
  <c r="BF586" i="20" s="1"/>
  <c r="AY585" i="20"/>
  <c r="BG585" i="20"/>
  <c r="AS585" i="20"/>
  <c r="BA585" i="20"/>
  <c r="BI585" i="20"/>
  <c r="BB585" i="20"/>
  <c r="AU585" i="20"/>
  <c r="BC585" i="20"/>
  <c r="AV585" i="20"/>
  <c r="BD585" i="20"/>
  <c r="BE585" i="20" s="1"/>
  <c r="BF585" i="20" s="1"/>
  <c r="AY584" i="20"/>
  <c r="BG584" i="20"/>
  <c r="AS584" i="20"/>
  <c r="BA584" i="20"/>
  <c r="BI584" i="20"/>
  <c r="BB584" i="20"/>
  <c r="AU584" i="20"/>
  <c r="BC584" i="20"/>
  <c r="AV584" i="20"/>
  <c r="BD584" i="20"/>
  <c r="BE584" i="20" s="1"/>
  <c r="BF584" i="20" s="1"/>
  <c r="BF583" i="20"/>
  <c r="BJ582" i="20"/>
  <c r="AS578" i="20"/>
  <c r="AU559" i="20"/>
  <c r="AU533" i="20"/>
  <c r="BB527" i="20"/>
  <c r="AU527" i="20"/>
  <c r="BC527" i="20"/>
  <c r="AZ527" i="20"/>
  <c r="BH527" i="20"/>
  <c r="BJ510" i="20"/>
  <c r="BJ506" i="20"/>
  <c r="AV495" i="20"/>
  <c r="BC452" i="20"/>
  <c r="BD452" i="20" s="1"/>
  <c r="BE452" i="20" s="1"/>
  <c r="BF452" i="20" s="1"/>
  <c r="BB451" i="20"/>
  <c r="BC451" i="20"/>
  <c r="AU580" i="20"/>
  <c r="AU576" i="20"/>
  <c r="AV576" i="20" s="1"/>
  <c r="BG574" i="20"/>
  <c r="AY574" i="20"/>
  <c r="BG573" i="20"/>
  <c r="AY573" i="20"/>
  <c r="BG572" i="20"/>
  <c r="AY572" i="20"/>
  <c r="BG571" i="20"/>
  <c r="AY571" i="20"/>
  <c r="BG560" i="20"/>
  <c r="AW560" i="20"/>
  <c r="AX558" i="20"/>
  <c r="AY558" i="20" s="1"/>
  <c r="AX556" i="20"/>
  <c r="AY556" i="20" s="1"/>
  <c r="AX554" i="20"/>
  <c r="AY554" i="20" s="1"/>
  <c r="AS549" i="20"/>
  <c r="BH545" i="20"/>
  <c r="AZ545" i="20"/>
  <c r="BA545" i="20" s="1"/>
  <c r="AV541" i="20"/>
  <c r="AW541" i="20" s="1"/>
  <c r="AV539" i="20"/>
  <c r="AV537" i="20"/>
  <c r="AZ536" i="20"/>
  <c r="BA536" i="20" s="1"/>
  <c r="BA531" i="20"/>
  <c r="BD530" i="20"/>
  <c r="BE530" i="20" s="1"/>
  <c r="BF530" i="20" s="1"/>
  <c r="AS529" i="20"/>
  <c r="BG527" i="20"/>
  <c r="AV527" i="20"/>
  <c r="AX515" i="20"/>
  <c r="AS513" i="20"/>
  <c r="AU505" i="20"/>
  <c r="AV498" i="20"/>
  <c r="AX435" i="20"/>
  <c r="AY435" i="20" s="1"/>
  <c r="AU563" i="20"/>
  <c r="AV563" i="20" s="1"/>
  <c r="AX560" i="20"/>
  <c r="AY560" i="20" s="1"/>
  <c r="AZ560" i="20" s="1"/>
  <c r="BI559" i="20"/>
  <c r="AS559" i="20"/>
  <c r="AW552" i="20"/>
  <c r="AV550" i="20"/>
  <c r="AW550" i="20" s="1"/>
  <c r="AX550" i="20" s="1"/>
  <c r="AZ549" i="20"/>
  <c r="BA549" i="20" s="1"/>
  <c r="BB549" i="20" s="1"/>
  <c r="AV548" i="20"/>
  <c r="AW548" i="20" s="1"/>
  <c r="AX548" i="20" s="1"/>
  <c r="AY548" i="20" s="1"/>
  <c r="BI547" i="20"/>
  <c r="AS547" i="20"/>
  <c r="AV546" i="20"/>
  <c r="BG545" i="20"/>
  <c r="BA530" i="20"/>
  <c r="BD529" i="20"/>
  <c r="BE529" i="20" s="1"/>
  <c r="BF529" i="20" s="1"/>
  <c r="BJ509" i="20"/>
  <c r="AV504" i="20"/>
  <c r="AW455" i="20"/>
  <c r="BG446" i="20"/>
  <c r="BH446" i="20"/>
  <c r="AS446" i="20"/>
  <c r="BI446" i="20"/>
  <c r="AU446" i="20"/>
  <c r="AV446" i="20" s="1"/>
  <c r="AU547" i="20"/>
  <c r="BI527" i="20"/>
  <c r="AW527" i="20"/>
  <c r="AU512" i="20"/>
  <c r="AV512" i="20" s="1"/>
  <c r="AW512" i="20" s="1"/>
  <c r="AX512" i="20" s="1"/>
  <c r="AS609" i="20"/>
  <c r="BH606" i="20"/>
  <c r="BH598" i="20"/>
  <c r="BA593" i="20"/>
  <c r="AS593" i="20"/>
  <c r="AW592" i="20"/>
  <c r="BA591" i="20"/>
  <c r="BB591" i="20" s="1"/>
  <c r="BC591" i="20" s="1"/>
  <c r="AS591" i="20"/>
  <c r="AW590" i="20"/>
  <c r="BA589" i="20"/>
  <c r="BB589" i="20" s="1"/>
  <c r="BC589" i="20" s="1"/>
  <c r="AS589" i="20"/>
  <c r="AW588" i="20"/>
  <c r="AW574" i="20"/>
  <c r="BE573" i="20"/>
  <c r="BF573" i="20" s="1"/>
  <c r="AW573" i="20"/>
  <c r="AW572" i="20"/>
  <c r="AW571" i="20"/>
  <c r="BH559" i="20"/>
  <c r="AV558" i="20"/>
  <c r="AW558" i="20" s="1"/>
  <c r="AV556" i="20"/>
  <c r="AW556" i="20" s="1"/>
  <c r="BH547" i="20"/>
  <c r="AZ547" i="20"/>
  <c r="BA547" i="20" s="1"/>
  <c r="BB547" i="20" s="1"/>
  <c r="AY530" i="20"/>
  <c r="BA529" i="20"/>
  <c r="BE527" i="20"/>
  <c r="BF527" i="20" s="1"/>
  <c r="AS527" i="20"/>
  <c r="AV523" i="20"/>
  <c r="AW523" i="20" s="1"/>
  <c r="AY515" i="20"/>
  <c r="AZ515" i="20" s="1"/>
  <c r="AU513" i="20"/>
  <c r="AV513" i="20" s="1"/>
  <c r="AW513" i="20" s="1"/>
  <c r="AX513" i="20" s="1"/>
  <c r="AU503" i="20"/>
  <c r="AU502" i="20"/>
  <c r="BI468" i="20"/>
  <c r="AU457" i="20"/>
  <c r="AV457" i="20" s="1"/>
  <c r="AW457" i="20" s="1"/>
  <c r="AX457" i="20" s="1"/>
  <c r="AY457" i="20" s="1"/>
  <c r="BE457" i="20"/>
  <c r="BF457" i="20" s="1"/>
  <c r="BG457" i="20"/>
  <c r="AZ457" i="20"/>
  <c r="BH457" i="20"/>
  <c r="AS457" i="20"/>
  <c r="BD457" i="20"/>
  <c r="BJ446" i="20"/>
  <c r="BD574" i="20"/>
  <c r="BE574" i="20" s="1"/>
  <c r="BF574" i="20" s="1"/>
  <c r="AV574" i="20"/>
  <c r="BD573" i="20"/>
  <c r="AV573" i="20"/>
  <c r="BD572" i="20"/>
  <c r="BE572" i="20" s="1"/>
  <c r="BF572" i="20" s="1"/>
  <c r="AV572" i="20"/>
  <c r="BD571" i="20"/>
  <c r="BE571" i="20" s="1"/>
  <c r="BF571" i="20" s="1"/>
  <c r="AV571" i="20"/>
  <c r="AV560" i="20"/>
  <c r="BG559" i="20"/>
  <c r="AY559" i="20"/>
  <c r="AZ559" i="20" s="1"/>
  <c r="AU558" i="20"/>
  <c r="AU556" i="20"/>
  <c r="AU554" i="20"/>
  <c r="AV554" i="20" s="1"/>
  <c r="AW554" i="20" s="1"/>
  <c r="BB531" i="20"/>
  <c r="AU531" i="20"/>
  <c r="BC531" i="20"/>
  <c r="AZ531" i="20"/>
  <c r="BH531" i="20"/>
  <c r="AX530" i="20"/>
  <c r="BD527" i="20"/>
  <c r="AV522" i="20"/>
  <c r="AW522" i="20" s="1"/>
  <c r="AU521" i="20"/>
  <c r="BJ508" i="20"/>
  <c r="BK507" i="20"/>
  <c r="AV488" i="20"/>
  <c r="AZ468" i="20"/>
  <c r="BJ466" i="20"/>
  <c r="BI448" i="20"/>
  <c r="BA434" i="20"/>
  <c r="AV396" i="20"/>
  <c r="BI530" i="20"/>
  <c r="BA527" i="20"/>
  <c r="BL507" i="20"/>
  <c r="AU504" i="20"/>
  <c r="AV501" i="20"/>
  <c r="AU500" i="20"/>
  <c r="AV492" i="20"/>
  <c r="BL456" i="20"/>
  <c r="BJ452" i="20"/>
  <c r="BG452" i="20"/>
  <c r="AZ452" i="20"/>
  <c r="BH452" i="20"/>
  <c r="AS452" i="20"/>
  <c r="BA452" i="20"/>
  <c r="BB452" i="20" s="1"/>
  <c r="BI452" i="20"/>
  <c r="AU452" i="20"/>
  <c r="AV452" i="20" s="1"/>
  <c r="AW452" i="20" s="1"/>
  <c r="BH450" i="20"/>
  <c r="AV433" i="20"/>
  <c r="BI431" i="20"/>
  <c r="AV536" i="20"/>
  <c r="AW536" i="20" s="1"/>
  <c r="BB530" i="20"/>
  <c r="AU530" i="20"/>
  <c r="BC530" i="20"/>
  <c r="AZ530" i="20"/>
  <c r="BH530" i="20"/>
  <c r="AV568" i="20"/>
  <c r="AV549" i="20"/>
  <c r="BG530" i="20"/>
  <c r="AV530" i="20"/>
  <c r="BB529" i="20"/>
  <c r="AU529" i="20"/>
  <c r="BC529" i="20"/>
  <c r="AZ529" i="20"/>
  <c r="BH529" i="20"/>
  <c r="AY527" i="20"/>
  <c r="AW519" i="20"/>
  <c r="BJ507" i="20"/>
  <c r="AV499" i="20"/>
  <c r="BI460" i="20"/>
  <c r="AV520" i="20"/>
  <c r="AW520" i="20" s="1"/>
  <c r="AV517" i="20"/>
  <c r="AW517" i="20" s="1"/>
  <c r="BG510" i="20"/>
  <c r="AY510" i="20"/>
  <c r="BG509" i="20"/>
  <c r="AY509" i="20"/>
  <c r="BG508" i="20"/>
  <c r="AY508" i="20"/>
  <c r="BG507" i="20"/>
  <c r="AY507" i="20"/>
  <c r="BG506" i="20"/>
  <c r="AY506" i="20"/>
  <c r="AU482" i="20"/>
  <c r="AY473" i="20"/>
  <c r="AY467" i="20"/>
  <c r="BE456" i="20"/>
  <c r="BF456" i="20"/>
  <c r="BJ443" i="20"/>
  <c r="BI437" i="20"/>
  <c r="AW435" i="20"/>
  <c r="BI432" i="20"/>
  <c r="BF429" i="20"/>
  <c r="AU481" i="20"/>
  <c r="AW473" i="20"/>
  <c r="AV473" i="20"/>
  <c r="AZ472" i="20"/>
  <c r="AU449" i="20"/>
  <c r="AV449" i="20" s="1"/>
  <c r="AW449" i="20" s="1"/>
  <c r="BG449" i="20"/>
  <c r="AZ449" i="20"/>
  <c r="BA449" i="20" s="1"/>
  <c r="BH449" i="20"/>
  <c r="AS449" i="20"/>
  <c r="AU430" i="20"/>
  <c r="AW415" i="20"/>
  <c r="AV491" i="20"/>
  <c r="AW491" i="20" s="1"/>
  <c r="AV486" i="20"/>
  <c r="AW486" i="20" s="1"/>
  <c r="AY465" i="20"/>
  <c r="AV444" i="20"/>
  <c r="AW444" i="20" s="1"/>
  <c r="BG444" i="20"/>
  <c r="BH444" i="20"/>
  <c r="AX440" i="20"/>
  <c r="AY440" i="20" s="1"/>
  <c r="AZ440" i="20" s="1"/>
  <c r="BA440" i="20" s="1"/>
  <c r="BI433" i="20"/>
  <c r="AW423" i="20"/>
  <c r="AV418" i="20"/>
  <c r="AV476" i="20"/>
  <c r="AW472" i="20"/>
  <c r="AV465" i="20"/>
  <c r="AW465" i="20" s="1"/>
  <c r="AU453" i="20"/>
  <c r="AV453" i="20" s="1"/>
  <c r="AW453" i="20" s="1"/>
  <c r="BG453" i="20"/>
  <c r="AZ453" i="20"/>
  <c r="BA453" i="20" s="1"/>
  <c r="BH453" i="20"/>
  <c r="AS453" i="20"/>
  <c r="BF451" i="20"/>
  <c r="BE451" i="20"/>
  <c r="AS444" i="20"/>
  <c r="AV436" i="20"/>
  <c r="BB400" i="20"/>
  <c r="BH398" i="20"/>
  <c r="BE428" i="20"/>
  <c r="AV401" i="20"/>
  <c r="AW511" i="20"/>
  <c r="AX511" i="20" s="1"/>
  <c r="BB510" i="20"/>
  <c r="BB509" i="20"/>
  <c r="BB508" i="20"/>
  <c r="BB507" i="20"/>
  <c r="BB506" i="20"/>
  <c r="AV490" i="20"/>
  <c r="AW490" i="20" s="1"/>
  <c r="AX490" i="20" s="1"/>
  <c r="AU485" i="20"/>
  <c r="AU478" i="20"/>
  <c r="BJ471" i="20"/>
  <c r="AX466" i="20"/>
  <c r="AY466" i="20" s="1"/>
  <c r="BG466" i="20"/>
  <c r="BH466" i="20"/>
  <c r="AS466" i="20"/>
  <c r="BI466" i="20"/>
  <c r="BK456" i="20"/>
  <c r="BE455" i="20"/>
  <c r="BF455" i="20" s="1"/>
  <c r="AW454" i="20"/>
  <c r="AW451" i="20"/>
  <c r="AV445" i="20"/>
  <c r="AW443" i="20"/>
  <c r="AV437" i="20"/>
  <c r="BJ432" i="20"/>
  <c r="AV432" i="20"/>
  <c r="AW431" i="20"/>
  <c r="BI510" i="20"/>
  <c r="BA510" i="20"/>
  <c r="BI509" i="20"/>
  <c r="BA509" i="20"/>
  <c r="BI508" i="20"/>
  <c r="BA508" i="20"/>
  <c r="BI507" i="20"/>
  <c r="BA507" i="20"/>
  <c r="BI506" i="20"/>
  <c r="BA506" i="20"/>
  <c r="AS489" i="20"/>
  <c r="AS487" i="20"/>
  <c r="AV472" i="20"/>
  <c r="AX472" i="20"/>
  <c r="AY472" i="20"/>
  <c r="BG472" i="20"/>
  <c r="BH472" i="20"/>
  <c r="BA457" i="20"/>
  <c r="BB457" i="20" s="1"/>
  <c r="BC457" i="20" s="1"/>
  <c r="BG456" i="20"/>
  <c r="AZ456" i="20"/>
  <c r="BH456" i="20"/>
  <c r="AS456" i="20"/>
  <c r="BA456" i="20"/>
  <c r="BB456" i="20" s="1"/>
  <c r="BC456" i="20" s="1"/>
  <c r="BI456" i="20"/>
  <c r="BJ456" i="20"/>
  <c r="AU456" i="20"/>
  <c r="AV456" i="20" s="1"/>
  <c r="AW456" i="20" s="1"/>
  <c r="BD449" i="20"/>
  <c r="BE449" i="20" s="1"/>
  <c r="BF449" i="20" s="1"/>
  <c r="BI444" i="20"/>
  <c r="AW440" i="20"/>
  <c r="BI440" i="20"/>
  <c r="BA438" i="20"/>
  <c r="AX470" i="20"/>
  <c r="AY470" i="20" s="1"/>
  <c r="AZ470" i="20" s="1"/>
  <c r="AV468" i="20"/>
  <c r="AW468" i="20" s="1"/>
  <c r="BG467" i="20"/>
  <c r="AS464" i="20"/>
  <c r="BH463" i="20"/>
  <c r="AZ463" i="20"/>
  <c r="BH462" i="20"/>
  <c r="AZ462" i="20"/>
  <c r="BH461" i="20"/>
  <c r="AZ461" i="20"/>
  <c r="BH460" i="20"/>
  <c r="AZ460" i="20"/>
  <c r="BH459" i="20"/>
  <c r="AZ459" i="20"/>
  <c r="BH458" i="20"/>
  <c r="AZ458" i="20"/>
  <c r="AV448" i="20"/>
  <c r="AW448" i="20" s="1"/>
  <c r="AX448" i="20" s="1"/>
  <c r="BG447" i="20"/>
  <c r="AV440" i="20"/>
  <c r="BH439" i="20"/>
  <c r="AZ439" i="20"/>
  <c r="BA439" i="20" s="1"/>
  <c r="BB439" i="20" s="1"/>
  <c r="BH435" i="20"/>
  <c r="AZ435" i="20"/>
  <c r="BA435" i="20" s="1"/>
  <c r="BB435" i="20" s="1"/>
  <c r="BI418" i="20"/>
  <c r="BG418" i="20"/>
  <c r="BH418" i="20"/>
  <c r="AS418" i="20"/>
  <c r="AX413" i="20"/>
  <c r="AY413" i="20" s="1"/>
  <c r="AZ413" i="20" s="1"/>
  <c r="BA413" i="20" s="1"/>
  <c r="BI389" i="20"/>
  <c r="AY387" i="20"/>
  <c r="BG387" i="20"/>
  <c r="AU387" i="20"/>
  <c r="BC387" i="20"/>
  <c r="AV387" i="20"/>
  <c r="BD387" i="20"/>
  <c r="BE387" i="20" s="1"/>
  <c r="BF387" i="20" s="1"/>
  <c r="AS387" i="20"/>
  <c r="BH387" i="20"/>
  <c r="AX387" i="20"/>
  <c r="AZ387" i="20"/>
  <c r="BA387" i="20"/>
  <c r="BB387" i="20"/>
  <c r="BI384" i="20"/>
  <c r="BI383" i="20"/>
  <c r="AX467" i="20"/>
  <c r="AY463" i="20"/>
  <c r="BG435" i="20"/>
  <c r="BL419" i="20"/>
  <c r="AU395" i="20"/>
  <c r="BG395" i="20"/>
  <c r="AU390" i="20"/>
  <c r="BC390" i="20"/>
  <c r="AY390" i="20"/>
  <c r="BH390" i="20"/>
  <c r="AZ390" i="20"/>
  <c r="BI390" i="20"/>
  <c r="AS390" i="20"/>
  <c r="BB390" i="20"/>
  <c r="BD390" i="20"/>
  <c r="AV390" i="20"/>
  <c r="BE390" i="20"/>
  <c r="BF390" i="20" s="1"/>
  <c r="AW390" i="20"/>
  <c r="BJ383" i="20"/>
  <c r="AZ382" i="20"/>
  <c r="AU382" i="20"/>
  <c r="BA382" i="20"/>
  <c r="BB382" i="20" s="1"/>
  <c r="AS382" i="20"/>
  <c r="AV377" i="20"/>
  <c r="AU372" i="20"/>
  <c r="AU486" i="20"/>
  <c r="AS426" i="20"/>
  <c r="BA426" i="20"/>
  <c r="BB426" i="20" s="1"/>
  <c r="BC426" i="20" s="1"/>
  <c r="BD426" i="20"/>
  <c r="BE426" i="20" s="1"/>
  <c r="BF426" i="20" s="1"/>
  <c r="AS419" i="20"/>
  <c r="BG419" i="20"/>
  <c r="AV417" i="20"/>
  <c r="AV408" i="20"/>
  <c r="AU373" i="20"/>
  <c r="AW353" i="20"/>
  <c r="AX301" i="20"/>
  <c r="AV477" i="20"/>
  <c r="AV474" i="20"/>
  <c r="AS468" i="20"/>
  <c r="AV467" i="20"/>
  <c r="AW467" i="20" s="1"/>
  <c r="AW466" i="20"/>
  <c r="BE463" i="20"/>
  <c r="BF463" i="20" s="1"/>
  <c r="AW463" i="20"/>
  <c r="BE462" i="20"/>
  <c r="BF462" i="20" s="1"/>
  <c r="AW462" i="20"/>
  <c r="BE461" i="20"/>
  <c r="BF461" i="20" s="1"/>
  <c r="AW461" i="20"/>
  <c r="BE460" i="20"/>
  <c r="BF460" i="20" s="1"/>
  <c r="AW460" i="20"/>
  <c r="BE459" i="20"/>
  <c r="BF459" i="20" s="1"/>
  <c r="AW459" i="20"/>
  <c r="BE458" i="20"/>
  <c r="BF458" i="20" s="1"/>
  <c r="AW458" i="20"/>
  <c r="AV447" i="20"/>
  <c r="BH443" i="20"/>
  <c r="AU436" i="20"/>
  <c r="AU432" i="20"/>
  <c r="AW424" i="20"/>
  <c r="BK419" i="20"/>
  <c r="BI419" i="20"/>
  <c r="AW414" i="20"/>
  <c r="BI397" i="20"/>
  <c r="BI394" i="20"/>
  <c r="AU389" i="20"/>
  <c r="BC389" i="20"/>
  <c r="AS389" i="20"/>
  <c r="BB389" i="20"/>
  <c r="BD389" i="20"/>
  <c r="BE389" i="20" s="1"/>
  <c r="AW389" i="20"/>
  <c r="BF389" i="20"/>
  <c r="AX389" i="20"/>
  <c r="BG389" i="20"/>
  <c r="AY389" i="20"/>
  <c r="BH389" i="20"/>
  <c r="AZ389" i="20"/>
  <c r="BA343" i="20"/>
  <c r="AS428" i="20"/>
  <c r="BA428" i="20"/>
  <c r="BD428" i="20"/>
  <c r="BJ417" i="20"/>
  <c r="BC401" i="20"/>
  <c r="BI388" i="20"/>
  <c r="AY383" i="20"/>
  <c r="BG383" i="20"/>
  <c r="AU383" i="20"/>
  <c r="BC383" i="20"/>
  <c r="AV383" i="20"/>
  <c r="BD383" i="20"/>
  <c r="BE383" i="20" s="1"/>
  <c r="AS383" i="20"/>
  <c r="BF383" i="20"/>
  <c r="BH383" i="20"/>
  <c r="AX383" i="20"/>
  <c r="AZ383" i="20"/>
  <c r="BA383" i="20"/>
  <c r="BB383" i="20"/>
  <c r="AY382" i="20"/>
  <c r="BA380" i="20"/>
  <c r="AV314" i="20"/>
  <c r="BD314" i="20"/>
  <c r="AY314" i="20"/>
  <c r="BG314" i="20"/>
  <c r="AZ314" i="20"/>
  <c r="BH314" i="20"/>
  <c r="AS314" i="20"/>
  <c r="BA314" i="20"/>
  <c r="BI314" i="20"/>
  <c r="BB314" i="20"/>
  <c r="BJ314" i="20"/>
  <c r="BE314" i="20"/>
  <c r="BF314" i="20" s="1"/>
  <c r="AU314" i="20"/>
  <c r="AW314" i="20"/>
  <c r="AX314" i="20"/>
  <c r="BC314" i="20"/>
  <c r="AV412" i="20"/>
  <c r="BG390" i="20"/>
  <c r="BH365" i="20"/>
  <c r="AV466" i="20"/>
  <c r="BH436" i="20"/>
  <c r="BH432" i="20"/>
  <c r="BB428" i="20"/>
  <c r="BC428" i="20" s="1"/>
  <c r="BG424" i="20"/>
  <c r="BH424" i="20"/>
  <c r="BH420" i="20"/>
  <c r="BI417" i="20"/>
  <c r="AV395" i="20"/>
  <c r="BA374" i="20"/>
  <c r="AV420" i="20"/>
  <c r="AW420" i="20" s="1"/>
  <c r="BH416" i="20"/>
  <c r="BH397" i="20"/>
  <c r="BH392" i="20"/>
  <c r="AY392" i="20"/>
  <c r="BB391" i="20"/>
  <c r="AZ388" i="20"/>
  <c r="BF386" i="20"/>
  <c r="AS386" i="20"/>
  <c r="AY385" i="20"/>
  <c r="BG385" i="20"/>
  <c r="AU385" i="20"/>
  <c r="BC385" i="20"/>
  <c r="AV385" i="20"/>
  <c r="BD385" i="20"/>
  <c r="BE385" i="20" s="1"/>
  <c r="BF385" i="20" s="1"/>
  <c r="AZ384" i="20"/>
  <c r="AZ376" i="20"/>
  <c r="BA376" i="20" s="1"/>
  <c r="BB376" i="20" s="1"/>
  <c r="AU376" i="20"/>
  <c r="BB367" i="20"/>
  <c r="AV361" i="20"/>
  <c r="AW357" i="20"/>
  <c r="BH354" i="20"/>
  <c r="BI351" i="20"/>
  <c r="BH350" i="20"/>
  <c r="BA344" i="20"/>
  <c r="AU343" i="20"/>
  <c r="AU340" i="20"/>
  <c r="AU398" i="20"/>
  <c r="AV398" i="20" s="1"/>
  <c r="BG392" i="20"/>
  <c r="AX392" i="20"/>
  <c r="AU391" i="20"/>
  <c r="BC391" i="20"/>
  <c r="AV379" i="20"/>
  <c r="AW379" i="20" s="1"/>
  <c r="AX379" i="20" s="1"/>
  <c r="AY379" i="20" s="1"/>
  <c r="AV366" i="20"/>
  <c r="AV358" i="20"/>
  <c r="AW354" i="20"/>
  <c r="BA348" i="20"/>
  <c r="AU344" i="20"/>
  <c r="AY388" i="20"/>
  <c r="BG388" i="20"/>
  <c r="AU388" i="20"/>
  <c r="BC388" i="20"/>
  <c r="AV388" i="20"/>
  <c r="BD388" i="20"/>
  <c r="BE388" i="20" s="1"/>
  <c r="BF388" i="20" s="1"/>
  <c r="AY384" i="20"/>
  <c r="BG384" i="20"/>
  <c r="AU384" i="20"/>
  <c r="BC384" i="20"/>
  <c r="AV384" i="20"/>
  <c r="BD384" i="20"/>
  <c r="BE384" i="20" s="1"/>
  <c r="BF384" i="20" s="1"/>
  <c r="BB368" i="20"/>
  <c r="AV365" i="20"/>
  <c r="BI356" i="20"/>
  <c r="BK316" i="20"/>
  <c r="AV419" i="20"/>
  <c r="AV402" i="20"/>
  <c r="BE392" i="20"/>
  <c r="BF392" i="20" s="1"/>
  <c r="BH388" i="20"/>
  <c r="BH384" i="20"/>
  <c r="AZ380" i="20"/>
  <c r="AU380" i="20"/>
  <c r="AV380" i="20" s="1"/>
  <c r="AW380" i="20" s="1"/>
  <c r="AX380" i="20" s="1"/>
  <c r="AY380" i="20" s="1"/>
  <c r="AW360" i="20"/>
  <c r="AV359" i="20"/>
  <c r="AW355" i="20"/>
  <c r="AW351" i="20"/>
  <c r="AZ348" i="20"/>
  <c r="AU348" i="20"/>
  <c r="AV348" i="20" s="1"/>
  <c r="AW348" i="20" s="1"/>
  <c r="AZ371" i="20"/>
  <c r="BA371" i="20" s="1"/>
  <c r="BB371" i="20" s="1"/>
  <c r="AU371" i="20"/>
  <c r="BC367" i="20"/>
  <c r="BK358" i="20"/>
  <c r="BI353" i="20"/>
  <c r="AZ344" i="20"/>
  <c r="AS344" i="20"/>
  <c r="AV338" i="20"/>
  <c r="AU335" i="20"/>
  <c r="BC378" i="20"/>
  <c r="AZ378" i="20"/>
  <c r="BA378" i="20" s="1"/>
  <c r="BB378" i="20" s="1"/>
  <c r="AU378" i="20"/>
  <c r="AS372" i="20"/>
  <c r="AS371" i="20"/>
  <c r="AW364" i="20"/>
  <c r="AV363" i="20"/>
  <c r="BJ358" i="20"/>
  <c r="BI357" i="20"/>
  <c r="AW356" i="20"/>
  <c r="BB348" i="20"/>
  <c r="AV403" i="20"/>
  <c r="AW403" i="20" s="1"/>
  <c r="AV394" i="20"/>
  <c r="AU392" i="20"/>
  <c r="BC392" i="20"/>
  <c r="BB388" i="20"/>
  <c r="AY386" i="20"/>
  <c r="BG386" i="20"/>
  <c r="AU386" i="20"/>
  <c r="BC386" i="20"/>
  <c r="AV386" i="20"/>
  <c r="BD386" i="20"/>
  <c r="BE386" i="20" s="1"/>
  <c r="BB384" i="20"/>
  <c r="BH363" i="20"/>
  <c r="BI362" i="20"/>
  <c r="BI354" i="20"/>
  <c r="BH353" i="20"/>
  <c r="BI350" i="20"/>
  <c r="AU349" i="20"/>
  <c r="AS337" i="20"/>
  <c r="AU337" i="20"/>
  <c r="AV337" i="20" s="1"/>
  <c r="AW337" i="20" s="1"/>
  <c r="AX337" i="20" s="1"/>
  <c r="BK324" i="20"/>
  <c r="AS318" i="20"/>
  <c r="AU318" i="20"/>
  <c r="AV318" i="20"/>
  <c r="AW318" i="20" s="1"/>
  <c r="AU315" i="20"/>
  <c r="AZ282" i="20"/>
  <c r="BH282" i="20"/>
  <c r="AS282" i="20"/>
  <c r="BA282" i="20"/>
  <c r="BI282" i="20"/>
  <c r="BB282" i="20"/>
  <c r="BJ282" i="20"/>
  <c r="AU282" i="20"/>
  <c r="BC282" i="20"/>
  <c r="BK282" i="20"/>
  <c r="AV282" i="20"/>
  <c r="BD282" i="20"/>
  <c r="AW282" i="20"/>
  <c r="BE282" i="20"/>
  <c r="BF282" i="20" s="1"/>
  <c r="AX282" i="20"/>
  <c r="AY282" i="20"/>
  <c r="BH268" i="20"/>
  <c r="BI257" i="20"/>
  <c r="BA251" i="20"/>
  <c r="AV371" i="20"/>
  <c r="AW371" i="20" s="1"/>
  <c r="AU345" i="20"/>
  <c r="AV345" i="20" s="1"/>
  <c r="AU336" i="20"/>
  <c r="AV336" i="20" s="1"/>
  <c r="AV307" i="20"/>
  <c r="AW307" i="20" s="1"/>
  <c r="AV304" i="20"/>
  <c r="AS280" i="20"/>
  <c r="AU280" i="20"/>
  <c r="AV280" i="20" s="1"/>
  <c r="AW280" i="20" s="1"/>
  <c r="AV382" i="20"/>
  <c r="AW382" i="20" s="1"/>
  <c r="AX382" i="20" s="1"/>
  <c r="AV378" i="20"/>
  <c r="AV376" i="20"/>
  <c r="AW376" i="20" s="1"/>
  <c r="AX376" i="20" s="1"/>
  <c r="AV374" i="20"/>
  <c r="AW374" i="20" s="1"/>
  <c r="AS342" i="20"/>
  <c r="AS333" i="20"/>
  <c r="AU333" i="20"/>
  <c r="AV333" i="20" s="1"/>
  <c r="AW328" i="20"/>
  <c r="AX328" i="20" s="1"/>
  <c r="BK323" i="20"/>
  <c r="AV317" i="20"/>
  <c r="BD317" i="20"/>
  <c r="BE317" i="20" s="1"/>
  <c r="BF317" i="20" s="1"/>
  <c r="AY317" i="20"/>
  <c r="BG317" i="20"/>
  <c r="AZ317" i="20"/>
  <c r="BH317" i="20"/>
  <c r="AS317" i="20"/>
  <c r="BA317" i="20"/>
  <c r="BI317" i="20"/>
  <c r="BB317" i="20"/>
  <c r="BJ317" i="20"/>
  <c r="BE316" i="20"/>
  <c r="BF316" i="20" s="1"/>
  <c r="BK315" i="20"/>
  <c r="BK312" i="20"/>
  <c r="AW311" i="20"/>
  <c r="AU309" i="20"/>
  <c r="AW299" i="20"/>
  <c r="AV296" i="20"/>
  <c r="AU252" i="20"/>
  <c r="AU374" i="20"/>
  <c r="AU366" i="20"/>
  <c r="BA345" i="20"/>
  <c r="BB345" i="20" s="1"/>
  <c r="AV339" i="20"/>
  <c r="AW339" i="20" s="1"/>
  <c r="AV327" i="20"/>
  <c r="AW327" i="20" s="1"/>
  <c r="AW317" i="20"/>
  <c r="AV312" i="20"/>
  <c r="BD312" i="20"/>
  <c r="BE312" i="20" s="1"/>
  <c r="BF312" i="20" s="1"/>
  <c r="AW312" i="20"/>
  <c r="AY312" i="20"/>
  <c r="BG312" i="20"/>
  <c r="AZ312" i="20"/>
  <c r="BH312" i="20"/>
  <c r="AS312" i="20"/>
  <c r="BA312" i="20"/>
  <c r="BI312" i="20"/>
  <c r="BB312" i="20"/>
  <c r="BJ312" i="20"/>
  <c r="BI295" i="20"/>
  <c r="AU317" i="20"/>
  <c r="AV316" i="20"/>
  <c r="BD316" i="20"/>
  <c r="AY316" i="20"/>
  <c r="BG316" i="20"/>
  <c r="AZ316" i="20"/>
  <c r="BH316" i="20"/>
  <c r="AS316" i="20"/>
  <c r="BA316" i="20"/>
  <c r="BI316" i="20"/>
  <c r="BB316" i="20"/>
  <c r="BJ316" i="20"/>
  <c r="BK314" i="20"/>
  <c r="BK313" i="20"/>
  <c r="AU278" i="20"/>
  <c r="AW316" i="20"/>
  <c r="AV313" i="20"/>
  <c r="BD313" i="20"/>
  <c r="BE313" i="20" s="1"/>
  <c r="BF313" i="20" s="1"/>
  <c r="AW313" i="20"/>
  <c r="AY313" i="20"/>
  <c r="BG313" i="20"/>
  <c r="AZ313" i="20"/>
  <c r="BH313" i="20"/>
  <c r="AS313" i="20"/>
  <c r="BA313" i="20"/>
  <c r="BI313" i="20"/>
  <c r="BB313" i="20"/>
  <c r="BJ313" i="20"/>
  <c r="AX312" i="20"/>
  <c r="AV311" i="20"/>
  <c r="BG282" i="20"/>
  <c r="BH276" i="20"/>
  <c r="AV347" i="20"/>
  <c r="AW347" i="20" s="1"/>
  <c r="AS341" i="20"/>
  <c r="AU341" i="20"/>
  <c r="AV341" i="20" s="1"/>
  <c r="AW341" i="20" s="1"/>
  <c r="AV319" i="20"/>
  <c r="AV315" i="20"/>
  <c r="BD315" i="20"/>
  <c r="BE315" i="20" s="1"/>
  <c r="BF315" i="20" s="1"/>
  <c r="AY315" i="20"/>
  <c r="BG315" i="20"/>
  <c r="AZ315" i="20"/>
  <c r="BH315" i="20"/>
  <c r="AS315" i="20"/>
  <c r="BA315" i="20"/>
  <c r="BI315" i="20"/>
  <c r="BB315" i="20"/>
  <c r="BJ315" i="20"/>
  <c r="AV302" i="20"/>
  <c r="BI269" i="20"/>
  <c r="BD324" i="20"/>
  <c r="BE324" i="20" s="1"/>
  <c r="BF324" i="20" s="1"/>
  <c r="AV324" i="20"/>
  <c r="BD323" i="20"/>
  <c r="BE323" i="20" s="1"/>
  <c r="BF323" i="20" s="1"/>
  <c r="AV323" i="20"/>
  <c r="BD322" i="20"/>
  <c r="BE322" i="20" s="1"/>
  <c r="BF322" i="20" s="1"/>
  <c r="AV322" i="20"/>
  <c r="BD321" i="20"/>
  <c r="BE321" i="20" s="1"/>
  <c r="BF321" i="20" s="1"/>
  <c r="AV321" i="20"/>
  <c r="BD320" i="20"/>
  <c r="BE320" i="20" s="1"/>
  <c r="BF320" i="20" s="1"/>
  <c r="AV320" i="20"/>
  <c r="AV297" i="20"/>
  <c r="AW297" i="20" s="1"/>
  <c r="AX297" i="20" s="1"/>
  <c r="AX289" i="20"/>
  <c r="AV285" i="20"/>
  <c r="AW285" i="20" s="1"/>
  <c r="AX285" i="20" s="1"/>
  <c r="BL281" i="20"/>
  <c r="BC324" i="20"/>
  <c r="AU324" i="20"/>
  <c r="BC323" i="20"/>
  <c r="AU323" i="20"/>
  <c r="BC322" i="20"/>
  <c r="AU322" i="20"/>
  <c r="BC321" i="20"/>
  <c r="AU321" i="20"/>
  <c r="BC320" i="20"/>
  <c r="AU320" i="20"/>
  <c r="AU302" i="20"/>
  <c r="BI296" i="20"/>
  <c r="AZ283" i="20"/>
  <c r="BH283" i="20"/>
  <c r="AS283" i="20"/>
  <c r="BA283" i="20"/>
  <c r="BI283" i="20"/>
  <c r="BB283" i="20"/>
  <c r="BJ283" i="20"/>
  <c r="AU283" i="20"/>
  <c r="BC283" i="20"/>
  <c r="BK283" i="20"/>
  <c r="AV283" i="20"/>
  <c r="BD283" i="20"/>
  <c r="AW283" i="20"/>
  <c r="BE283" i="20"/>
  <c r="BF283" i="20" s="1"/>
  <c r="BI271" i="20"/>
  <c r="AV325" i="20"/>
  <c r="AW325" i="20" s="1"/>
  <c r="BJ324" i="20"/>
  <c r="BB324" i="20"/>
  <c r="BJ323" i="20"/>
  <c r="BB323" i="20"/>
  <c r="AV290" i="20"/>
  <c r="BL282" i="20"/>
  <c r="BI265" i="20"/>
  <c r="AU241" i="20"/>
  <c r="AV241" i="20" s="1"/>
  <c r="BI324" i="20"/>
  <c r="BA324" i="20"/>
  <c r="BI323" i="20"/>
  <c r="BA323" i="20"/>
  <c r="BI322" i="20"/>
  <c r="BA322" i="20"/>
  <c r="BI321" i="20"/>
  <c r="BA321" i="20"/>
  <c r="BI320" i="20"/>
  <c r="BA320" i="20"/>
  <c r="AU292" i="20"/>
  <c r="BI291" i="20"/>
  <c r="AV291" i="20"/>
  <c r="AW291" i="20" s="1"/>
  <c r="BI288" i="20"/>
  <c r="AU284" i="20"/>
  <c r="AV284" i="20" s="1"/>
  <c r="AW284" i="20" s="1"/>
  <c r="AY283" i="20"/>
  <c r="BI273" i="20"/>
  <c r="BH295" i="20"/>
  <c r="AV288" i="20"/>
  <c r="BL283" i="20"/>
  <c r="BJ288" i="20"/>
  <c r="AZ281" i="20"/>
  <c r="BH281" i="20"/>
  <c r="AS281" i="20"/>
  <c r="BA281" i="20"/>
  <c r="BI281" i="20"/>
  <c r="BB281" i="20"/>
  <c r="BJ281" i="20"/>
  <c r="AU281" i="20"/>
  <c r="BC281" i="20"/>
  <c r="BK281" i="20"/>
  <c r="AV281" i="20"/>
  <c r="BD281" i="20"/>
  <c r="AW281" i="20"/>
  <c r="BE281" i="20"/>
  <c r="BI275" i="20"/>
  <c r="BI267" i="20"/>
  <c r="BH294" i="20"/>
  <c r="AX291" i="20"/>
  <c r="BF281" i="20"/>
  <c r="BI259" i="20"/>
  <c r="AX237" i="20"/>
  <c r="AU275" i="20"/>
  <c r="AV275" i="20" s="1"/>
  <c r="AU273" i="20"/>
  <c r="AV273" i="20" s="1"/>
  <c r="AW273" i="20" s="1"/>
  <c r="AX273" i="20" s="1"/>
  <c r="AU271" i="20"/>
  <c r="AV271" i="20" s="1"/>
  <c r="AU269" i="20"/>
  <c r="AV269" i="20" s="1"/>
  <c r="AU267" i="20"/>
  <c r="AV267" i="20" s="1"/>
  <c r="AW267" i="20" s="1"/>
  <c r="AX267" i="20" s="1"/>
  <c r="AU265" i="20"/>
  <c r="AV265" i="20" s="1"/>
  <c r="AW265" i="20" s="1"/>
  <c r="AX265" i="20" s="1"/>
  <c r="AU263" i="20"/>
  <c r="AV263" i="20" s="1"/>
  <c r="AW263" i="20" s="1"/>
  <c r="AX263" i="20" s="1"/>
  <c r="AU261" i="20"/>
  <c r="AV261" i="20" s="1"/>
  <c r="AW261" i="20" s="1"/>
  <c r="AX261" i="20" s="1"/>
  <c r="AU259" i="20"/>
  <c r="BG258" i="20"/>
  <c r="BA252" i="20"/>
  <c r="BB252" i="20" s="1"/>
  <c r="BC252" i="20" s="1"/>
  <c r="AU239" i="20"/>
  <c r="AV239" i="20" s="1"/>
  <c r="AW239" i="20" s="1"/>
  <c r="AX239" i="20" s="1"/>
  <c r="AU212" i="20"/>
  <c r="AU243" i="20"/>
  <c r="BI177" i="20"/>
  <c r="AS263" i="20"/>
  <c r="AS261" i="20"/>
  <c r="AW260" i="20"/>
  <c r="AS259" i="20"/>
  <c r="AV257" i="20"/>
  <c r="AW257" i="20" s="1"/>
  <c r="AU256" i="20"/>
  <c r="AV256" i="20" s="1"/>
  <c r="AW256" i="20" s="1"/>
  <c r="AV248" i="20"/>
  <c r="AW248" i="20" s="1"/>
  <c r="AS240" i="20"/>
  <c r="AV286" i="20"/>
  <c r="AS244" i="20"/>
  <c r="AU244" i="20"/>
  <c r="AV244" i="20"/>
  <c r="AW244" i="20" s="1"/>
  <c r="AY196" i="20"/>
  <c r="BG196" i="20"/>
  <c r="AZ196" i="20"/>
  <c r="BH196" i="20"/>
  <c r="AS196" i="20"/>
  <c r="BA196" i="20"/>
  <c r="BI196" i="20"/>
  <c r="BB196" i="20"/>
  <c r="AU196" i="20"/>
  <c r="BC196" i="20"/>
  <c r="AV196" i="20"/>
  <c r="AW196" i="20"/>
  <c r="AX196" i="20"/>
  <c r="BE196" i="20"/>
  <c r="BF196" i="20" s="1"/>
  <c r="AU250" i="20"/>
  <c r="BD196" i="20"/>
  <c r="AS227" i="20"/>
  <c r="AU227" i="20"/>
  <c r="AV227" i="20" s="1"/>
  <c r="AW227" i="20" s="1"/>
  <c r="AS231" i="20"/>
  <c r="AU231" i="20"/>
  <c r="AV231" i="20" s="1"/>
  <c r="AW231" i="20" s="1"/>
  <c r="AW229" i="20"/>
  <c r="AV228" i="20"/>
  <c r="BJ200" i="20"/>
  <c r="AY198" i="20"/>
  <c r="BG198" i="20"/>
  <c r="AZ198" i="20"/>
  <c r="BH198" i="20"/>
  <c r="AS198" i="20"/>
  <c r="BA198" i="20"/>
  <c r="BI198" i="20"/>
  <c r="BB198" i="20"/>
  <c r="AU198" i="20"/>
  <c r="BC198" i="20"/>
  <c r="BF198" i="20"/>
  <c r="AV198" i="20"/>
  <c r="AW198" i="20"/>
  <c r="AX198" i="20"/>
  <c r="AU240" i="20"/>
  <c r="AV240" i="20" s="1"/>
  <c r="AW240" i="20" s="1"/>
  <c r="AX240" i="20" s="1"/>
  <c r="AV229" i="20"/>
  <c r="AV214" i="20"/>
  <c r="BJ204" i="20"/>
  <c r="AY193" i="20"/>
  <c r="BG193" i="20"/>
  <c r="AZ193" i="20"/>
  <c r="BH193" i="20"/>
  <c r="AS193" i="20"/>
  <c r="BA193" i="20"/>
  <c r="BI193" i="20"/>
  <c r="BB193" i="20"/>
  <c r="AU193" i="20"/>
  <c r="BC193" i="20"/>
  <c r="BF193" i="20"/>
  <c r="AV193" i="20"/>
  <c r="AW193" i="20"/>
  <c r="AX193" i="20"/>
  <c r="AV242" i="20"/>
  <c r="AU218" i="20"/>
  <c r="AV218" i="20" s="1"/>
  <c r="AW218" i="20" s="1"/>
  <c r="AV211" i="20"/>
  <c r="AY199" i="20"/>
  <c r="BG199" i="20"/>
  <c r="AS199" i="20"/>
  <c r="BA199" i="20"/>
  <c r="BI199" i="20"/>
  <c r="BB199" i="20"/>
  <c r="AU199" i="20"/>
  <c r="BC199" i="20"/>
  <c r="AZ199" i="20"/>
  <c r="BD199" i="20"/>
  <c r="BE199" i="20" s="1"/>
  <c r="BF199" i="20" s="1"/>
  <c r="BH199" i="20"/>
  <c r="AV199" i="20"/>
  <c r="AY191" i="20"/>
  <c r="BG191" i="20"/>
  <c r="AZ191" i="20"/>
  <c r="BH191" i="20"/>
  <c r="AS191" i="20"/>
  <c r="BA191" i="20"/>
  <c r="BI191" i="20"/>
  <c r="BB191" i="20"/>
  <c r="AU191" i="20"/>
  <c r="BC191" i="20"/>
  <c r="BF191" i="20"/>
  <c r="AV191" i="20"/>
  <c r="AW191" i="20"/>
  <c r="AX191" i="20"/>
  <c r="AX224" i="20"/>
  <c r="AU205" i="20"/>
  <c r="AV205" i="20" s="1"/>
  <c r="AW205" i="20" s="1"/>
  <c r="AX205" i="20" s="1"/>
  <c r="AY194" i="20"/>
  <c r="BG194" i="20"/>
  <c r="AZ194" i="20"/>
  <c r="BH194" i="20"/>
  <c r="AS194" i="20"/>
  <c r="BA194" i="20"/>
  <c r="BI194" i="20"/>
  <c r="BB194" i="20"/>
  <c r="AU194" i="20"/>
  <c r="BC194" i="20"/>
  <c r="BF194" i="20"/>
  <c r="AV194" i="20"/>
  <c r="AW194" i="20"/>
  <c r="AX194" i="20"/>
  <c r="AU251" i="20"/>
  <c r="AV251" i="20" s="1"/>
  <c r="AW251" i="20" s="1"/>
  <c r="AU235" i="20"/>
  <c r="AV232" i="20"/>
  <c r="AS218" i="20"/>
  <c r="AY197" i="20"/>
  <c r="BG197" i="20"/>
  <c r="AZ197" i="20"/>
  <c r="BH197" i="20"/>
  <c r="AS197" i="20"/>
  <c r="BA197" i="20"/>
  <c r="BI197" i="20"/>
  <c r="BB197" i="20"/>
  <c r="AU197" i="20"/>
  <c r="BC197" i="20"/>
  <c r="BF197" i="20"/>
  <c r="AV197" i="20"/>
  <c r="AW197" i="20"/>
  <c r="AX197" i="20"/>
  <c r="BG189" i="20"/>
  <c r="BH189" i="20"/>
  <c r="AS189" i="20"/>
  <c r="AU189" i="20"/>
  <c r="AW232" i="20"/>
  <c r="AX232" i="20" s="1"/>
  <c r="AU221" i="20"/>
  <c r="AV221" i="20"/>
  <c r="AW221" i="20" s="1"/>
  <c r="AX221" i="20" s="1"/>
  <c r="AS205" i="20"/>
  <c r="AY192" i="20"/>
  <c r="BG192" i="20"/>
  <c r="AZ192" i="20"/>
  <c r="BH192" i="20"/>
  <c r="AS192" i="20"/>
  <c r="BA192" i="20"/>
  <c r="BI192" i="20"/>
  <c r="BB192" i="20"/>
  <c r="AU192" i="20"/>
  <c r="BC192" i="20"/>
  <c r="BF192" i="20"/>
  <c r="AV192" i="20"/>
  <c r="AW192" i="20"/>
  <c r="AX192" i="20"/>
  <c r="AX222" i="20"/>
  <c r="AY217" i="20"/>
  <c r="AS215" i="20"/>
  <c r="AS210" i="20"/>
  <c r="AU210" i="20"/>
  <c r="AV210" i="20"/>
  <c r="AW210" i="20" s="1"/>
  <c r="BJ203" i="20"/>
  <c r="AY195" i="20"/>
  <c r="BG195" i="20"/>
  <c r="AZ195" i="20"/>
  <c r="BH195" i="20"/>
  <c r="AS195" i="20"/>
  <c r="BA195" i="20"/>
  <c r="BI195" i="20"/>
  <c r="BB195" i="20"/>
  <c r="AU195" i="20"/>
  <c r="BC195" i="20"/>
  <c r="BF195" i="20"/>
  <c r="AV195" i="20"/>
  <c r="AW195" i="20"/>
  <c r="AX195" i="20"/>
  <c r="AX241" i="20"/>
  <c r="AY241" i="20" s="1"/>
  <c r="AW238" i="20"/>
  <c r="AX238" i="20" s="1"/>
  <c r="AY238" i="20" s="1"/>
  <c r="AV230" i="20"/>
  <c r="AW230" i="20" s="1"/>
  <c r="AW220" i="20"/>
  <c r="AX220" i="20" s="1"/>
  <c r="AY220" i="20" s="1"/>
  <c r="BJ202" i="20"/>
  <c r="BD201" i="20"/>
  <c r="BE201" i="20" s="1"/>
  <c r="BF201" i="20" s="1"/>
  <c r="BG183" i="20"/>
  <c r="AS183" i="20"/>
  <c r="AU183" i="20"/>
  <c r="AV183" i="20" s="1"/>
  <c r="AW183" i="20" s="1"/>
  <c r="BH168" i="20"/>
  <c r="AV164" i="20"/>
  <c r="AU230" i="20"/>
  <c r="AU226" i="20"/>
  <c r="AV226" i="20" s="1"/>
  <c r="AW226" i="20" s="1"/>
  <c r="AS204" i="20"/>
  <c r="BA204" i="20"/>
  <c r="BI204" i="20"/>
  <c r="BB204" i="20"/>
  <c r="AU204" i="20"/>
  <c r="BC204" i="20"/>
  <c r="AZ201" i="20"/>
  <c r="BJ201" i="20"/>
  <c r="AY200" i="20"/>
  <c r="BG200" i="20"/>
  <c r="AS200" i="20"/>
  <c r="BA200" i="20"/>
  <c r="BI200" i="20"/>
  <c r="BB200" i="20"/>
  <c r="AU200" i="20"/>
  <c r="BC200" i="20"/>
  <c r="BH183" i="20"/>
  <c r="AS209" i="20"/>
  <c r="AU206" i="20"/>
  <c r="AS203" i="20"/>
  <c r="BA203" i="20"/>
  <c r="BI203" i="20"/>
  <c r="BB203" i="20"/>
  <c r="AU203" i="20"/>
  <c r="BC203" i="20"/>
  <c r="AY201" i="20"/>
  <c r="BH176" i="20"/>
  <c r="AW149" i="20"/>
  <c r="BF204" i="20"/>
  <c r="BG203" i="20"/>
  <c r="AV203" i="20"/>
  <c r="AS202" i="20"/>
  <c r="BA202" i="20"/>
  <c r="BI202" i="20"/>
  <c r="BB202" i="20"/>
  <c r="AU202" i="20"/>
  <c r="BC202" i="20"/>
  <c r="AV200" i="20"/>
  <c r="BJ199" i="20"/>
  <c r="BJ198" i="20"/>
  <c r="BJ197" i="20"/>
  <c r="BJ196" i="20"/>
  <c r="BJ195" i="20"/>
  <c r="BJ194" i="20"/>
  <c r="BJ193" i="20"/>
  <c r="BJ192" i="20"/>
  <c r="BJ191" i="20"/>
  <c r="BI179" i="20"/>
  <c r="AS201" i="20"/>
  <c r="BA201" i="20"/>
  <c r="BI201" i="20"/>
  <c r="BB201" i="20"/>
  <c r="AU201" i="20"/>
  <c r="BC201" i="20"/>
  <c r="AV188" i="20"/>
  <c r="AW188" i="20" s="1"/>
  <c r="BH178" i="20"/>
  <c r="BG177" i="20"/>
  <c r="BH177" i="20"/>
  <c r="AS177" i="20"/>
  <c r="AU177" i="20"/>
  <c r="AV177" i="20" s="1"/>
  <c r="AW177" i="20" s="1"/>
  <c r="BI185" i="20"/>
  <c r="BG175" i="20"/>
  <c r="BH175" i="20"/>
  <c r="AS175" i="20"/>
  <c r="AU175" i="20"/>
  <c r="AV175" i="20" s="1"/>
  <c r="AW175" i="20" s="1"/>
  <c r="BI170" i="20"/>
  <c r="BI169" i="20"/>
  <c r="AV168" i="20"/>
  <c r="AV138" i="20"/>
  <c r="AU190" i="20"/>
  <c r="AV190" i="20" s="1"/>
  <c r="AW190" i="20" s="1"/>
  <c r="AU188" i="20"/>
  <c r="AV185" i="20"/>
  <c r="BG181" i="20"/>
  <c r="AS181" i="20"/>
  <c r="AU181" i="20"/>
  <c r="AV181" i="20" s="1"/>
  <c r="AW181" i="20" s="1"/>
  <c r="BH171" i="20"/>
  <c r="AS182" i="20"/>
  <c r="AU182" i="20"/>
  <c r="AV182" i="20" s="1"/>
  <c r="AW182" i="20" s="1"/>
  <c r="BG182" i="20"/>
  <c r="BI173" i="20"/>
  <c r="BG173" i="20"/>
  <c r="BH173" i="20"/>
  <c r="AS173" i="20"/>
  <c r="AU173" i="20"/>
  <c r="AV173" i="20" s="1"/>
  <c r="AW173" i="20" s="1"/>
  <c r="AX184" i="20"/>
  <c r="BI172" i="20"/>
  <c r="AX171" i="20"/>
  <c r="AV169" i="20"/>
  <c r="BI164" i="20"/>
  <c r="AV189" i="20"/>
  <c r="AV187" i="20"/>
  <c r="AW187" i="20" s="1"/>
  <c r="AX187" i="20" s="1"/>
  <c r="BG179" i="20"/>
  <c r="BH179" i="20"/>
  <c r="AS179" i="20"/>
  <c r="AU179" i="20"/>
  <c r="BI165" i="20"/>
  <c r="AX162" i="20"/>
  <c r="AV153" i="20"/>
  <c r="BH144" i="20"/>
  <c r="BG180" i="20"/>
  <c r="BG178" i="20"/>
  <c r="BG176" i="20"/>
  <c r="BG174" i="20"/>
  <c r="AV171" i="20"/>
  <c r="AW171" i="20" s="1"/>
  <c r="AV161" i="20"/>
  <c r="AW161" i="20" s="1"/>
  <c r="AX161" i="20" s="1"/>
  <c r="AV150" i="20"/>
  <c r="AW147" i="20"/>
  <c r="AV172" i="20"/>
  <c r="AW172" i="20" s="1"/>
  <c r="BH165" i="20"/>
  <c r="AU165" i="20"/>
  <c r="AV165" i="20" s="1"/>
  <c r="AV160" i="20"/>
  <c r="AW160" i="20" s="1"/>
  <c r="AU91" i="20"/>
  <c r="AV174" i="20"/>
  <c r="AW174" i="20" s="1"/>
  <c r="BH167" i="20"/>
  <c r="AU167" i="20"/>
  <c r="BI151" i="20"/>
  <c r="BI142" i="20"/>
  <c r="AU180" i="20"/>
  <c r="AV180" i="20" s="1"/>
  <c r="AW180" i="20" s="1"/>
  <c r="AU178" i="20"/>
  <c r="AV178" i="20" s="1"/>
  <c r="AW178" i="20" s="1"/>
  <c r="AU176" i="20"/>
  <c r="AV176" i="20" s="1"/>
  <c r="AW176" i="20" s="1"/>
  <c r="AU174" i="20"/>
  <c r="BH172" i="20"/>
  <c r="BJ167" i="20"/>
  <c r="AS165" i="20"/>
  <c r="BH154" i="20"/>
  <c r="AV152" i="20"/>
  <c r="BH151" i="20"/>
  <c r="BJ114" i="20"/>
  <c r="AV166" i="20"/>
  <c r="AW166" i="20" s="1"/>
  <c r="AX166" i="20" s="1"/>
  <c r="AV162" i="20"/>
  <c r="AW162" i="20" s="1"/>
  <c r="BG161" i="20"/>
  <c r="BH161" i="20"/>
  <c r="AU161" i="20"/>
  <c r="BI155" i="20"/>
  <c r="BH148" i="20"/>
  <c r="BI145" i="20"/>
  <c r="BH143" i="20"/>
  <c r="AS136" i="20"/>
  <c r="AU136" i="20"/>
  <c r="AV136" i="20"/>
  <c r="AW136" i="20" s="1"/>
  <c r="BH127" i="20"/>
  <c r="AV123" i="20"/>
  <c r="AU170" i="20"/>
  <c r="AV170" i="20" s="1"/>
  <c r="AS169" i="20"/>
  <c r="BG167" i="20"/>
  <c r="BI166" i="20"/>
  <c r="AV163" i="20"/>
  <c r="AW163" i="20" s="1"/>
  <c r="AX163" i="20" s="1"/>
  <c r="BH163" i="20"/>
  <c r="AU163" i="20"/>
  <c r="BI159" i="20"/>
  <c r="BI157" i="20"/>
  <c r="BH153" i="20"/>
  <c r="AW151" i="20"/>
  <c r="BI147" i="20"/>
  <c r="AV142" i="20"/>
  <c r="AW142" i="20" s="1"/>
  <c r="AW141" i="20"/>
  <c r="AU134" i="20"/>
  <c r="AV132" i="20"/>
  <c r="AW132" i="20" s="1"/>
  <c r="BI129" i="20"/>
  <c r="AU159" i="20"/>
  <c r="AV159" i="20" s="1"/>
  <c r="AW159" i="20" s="1"/>
  <c r="AU157" i="20"/>
  <c r="AV157" i="20" s="1"/>
  <c r="AW157" i="20" s="1"/>
  <c r="AU155" i="20"/>
  <c r="AV155" i="20" s="1"/>
  <c r="AW155" i="20" s="1"/>
  <c r="AX155" i="20" s="1"/>
  <c r="BI150" i="20"/>
  <c r="AV148" i="20"/>
  <c r="AW148" i="20" s="1"/>
  <c r="AX148" i="20" s="1"/>
  <c r="AU139" i="20"/>
  <c r="BI130" i="20"/>
  <c r="BI121" i="20"/>
  <c r="BJ141" i="20"/>
  <c r="AS155" i="20"/>
  <c r="AX142" i="20"/>
  <c r="AV131" i="20"/>
  <c r="AS127" i="20"/>
  <c r="AU127" i="20"/>
  <c r="BG127" i="20"/>
  <c r="AW145" i="20"/>
  <c r="AV144" i="20"/>
  <c r="AW144" i="20" s="1"/>
  <c r="AX144" i="20" s="1"/>
  <c r="AY144" i="20" s="1"/>
  <c r="BI141" i="20"/>
  <c r="AS135" i="20"/>
  <c r="AU135" i="20"/>
  <c r="AV135" i="20" s="1"/>
  <c r="AW135" i="20" s="1"/>
  <c r="BJ124" i="20"/>
  <c r="BJ120" i="20"/>
  <c r="AV129" i="20"/>
  <c r="AV121" i="20"/>
  <c r="BH119" i="20"/>
  <c r="AV100" i="20"/>
  <c r="AV127" i="20"/>
  <c r="AU125" i="20"/>
  <c r="AV125" i="20" s="1"/>
  <c r="AW125" i="20" s="1"/>
  <c r="BH125" i="20"/>
  <c r="AS125" i="20"/>
  <c r="BI125" i="20"/>
  <c r="BI123" i="20"/>
  <c r="BJ122" i="20"/>
  <c r="AS118" i="20"/>
  <c r="BA118" i="20"/>
  <c r="BI118" i="20"/>
  <c r="AY118" i="20"/>
  <c r="BH118" i="20"/>
  <c r="BB118" i="20"/>
  <c r="BK118" i="20"/>
  <c r="BC118" i="20"/>
  <c r="AU118" i="20"/>
  <c r="BD118" i="20"/>
  <c r="AV118" i="20"/>
  <c r="BE118" i="20"/>
  <c r="BF118" i="20" s="1"/>
  <c r="AW118" i="20"/>
  <c r="BJ90" i="20"/>
  <c r="BH126" i="20"/>
  <c r="AS126" i="20"/>
  <c r="AU126" i="20"/>
  <c r="AV126" i="20" s="1"/>
  <c r="BJ125" i="20"/>
  <c r="AW120" i="20"/>
  <c r="BJ116" i="20"/>
  <c r="AV133" i="20"/>
  <c r="BG125" i="20"/>
  <c r="BJ118" i="20"/>
  <c r="BL118" i="20"/>
  <c r="BK115" i="20"/>
  <c r="BJ117" i="20"/>
  <c r="AS117" i="20"/>
  <c r="BA117" i="20"/>
  <c r="BI117" i="20"/>
  <c r="BG115" i="20"/>
  <c r="AX115" i="20"/>
  <c r="AS123" i="20"/>
  <c r="AS121" i="20"/>
  <c r="BG119" i="20"/>
  <c r="BH117" i="20"/>
  <c r="AY117" i="20"/>
  <c r="AW115" i="20"/>
  <c r="AS114" i="20"/>
  <c r="BA114" i="20"/>
  <c r="BI114" i="20"/>
  <c r="AV98" i="20"/>
  <c r="AV115" i="20"/>
  <c r="AU97" i="20"/>
  <c r="BG90" i="20"/>
  <c r="BH90" i="20"/>
  <c r="AS90" i="20"/>
  <c r="BI90" i="20"/>
  <c r="AU90" i="20"/>
  <c r="AU122" i="20"/>
  <c r="AV122" i="20" s="1"/>
  <c r="AW122" i="20" s="1"/>
  <c r="AX122" i="20" s="1"/>
  <c r="BF117" i="20"/>
  <c r="AW117" i="20"/>
  <c r="AS116" i="20"/>
  <c r="BA116" i="20"/>
  <c r="BI116" i="20"/>
  <c r="BD115" i="20"/>
  <c r="BE115" i="20" s="1"/>
  <c r="BF115" i="20" s="1"/>
  <c r="BG114" i="20"/>
  <c r="AX114" i="20"/>
  <c r="BJ113" i="20"/>
  <c r="AV109" i="20"/>
  <c r="AS115" i="20"/>
  <c r="BA115" i="20"/>
  <c r="BI115" i="20"/>
  <c r="AV90" i="20"/>
  <c r="AV37" i="20"/>
  <c r="AU92" i="20"/>
  <c r="AV92" i="20" s="1"/>
  <c r="AW92" i="20" s="1"/>
  <c r="AX92" i="20" s="1"/>
  <c r="AV88" i="20"/>
  <c r="BK87" i="20"/>
  <c r="BH77" i="20"/>
  <c r="BH71" i="20"/>
  <c r="BD112" i="20"/>
  <c r="BE112" i="20" s="1"/>
  <c r="BF112" i="20" s="1"/>
  <c r="AV112" i="20"/>
  <c r="BD111" i="20"/>
  <c r="BE111" i="20" s="1"/>
  <c r="BF111" i="20" s="1"/>
  <c r="AV111" i="20"/>
  <c r="BD110" i="20"/>
  <c r="BE110" i="20" s="1"/>
  <c r="BF110" i="20" s="1"/>
  <c r="AV110" i="20"/>
  <c r="AU101" i="20"/>
  <c r="BI87" i="20"/>
  <c r="AW77" i="20"/>
  <c r="BJ78" i="20"/>
  <c r="BH76" i="20"/>
  <c r="AS92" i="20"/>
  <c r="AW90" i="20"/>
  <c r="AW87" i="20"/>
  <c r="BI113" i="20"/>
  <c r="BA113" i="20"/>
  <c r="AS113" i="20"/>
  <c r="BI112" i="20"/>
  <c r="BA112" i="20"/>
  <c r="AS112" i="20"/>
  <c r="BI111" i="20"/>
  <c r="BA111" i="20"/>
  <c r="AS111" i="20"/>
  <c r="BI110" i="20"/>
  <c r="BA110" i="20"/>
  <c r="AS110" i="20"/>
  <c r="AU93" i="20"/>
  <c r="BJ87" i="20"/>
  <c r="BH113" i="20"/>
  <c r="BH112" i="20"/>
  <c r="BH111" i="20"/>
  <c r="BH110" i="20"/>
  <c r="BG85" i="20"/>
  <c r="AU84" i="20"/>
  <c r="AV84" i="20" s="1"/>
  <c r="AW84" i="20" s="1"/>
  <c r="BG83" i="20"/>
  <c r="AU82" i="20"/>
  <c r="AV82" i="20" s="1"/>
  <c r="AW82" i="20" s="1"/>
  <c r="BG81" i="20"/>
  <c r="AU80" i="20"/>
  <c r="AV80" i="20" s="1"/>
  <c r="AW80" i="20" s="1"/>
  <c r="AU78" i="20"/>
  <c r="AV78" i="20" s="1"/>
  <c r="BI78" i="20"/>
  <c r="AU76" i="20"/>
  <c r="AV76" i="20" s="1"/>
  <c r="AW76" i="20" s="1"/>
  <c r="AS74" i="20"/>
  <c r="AU74" i="20"/>
  <c r="AV74" i="20" s="1"/>
  <c r="AW74" i="20" s="1"/>
  <c r="BI84" i="20"/>
  <c r="AS84" i="20"/>
  <c r="BI82" i="20"/>
  <c r="AS82" i="20"/>
  <c r="BI80" i="20"/>
  <c r="AS80" i="20"/>
  <c r="BH84" i="20"/>
  <c r="BH82" i="20"/>
  <c r="BH80" i="20"/>
  <c r="AU85" i="20"/>
  <c r="AV85" i="20" s="1"/>
  <c r="AW85" i="20" s="1"/>
  <c r="AU83" i="20"/>
  <c r="AV83" i="20" s="1"/>
  <c r="AW83" i="20" s="1"/>
  <c r="AU81" i="20"/>
  <c r="AV81" i="20" s="1"/>
  <c r="AW81" i="20" s="1"/>
  <c r="BH78" i="20"/>
  <c r="AS75" i="20"/>
  <c r="AU75" i="20"/>
  <c r="AV75" i="20" s="1"/>
  <c r="BI70" i="20"/>
  <c r="AS73" i="20"/>
  <c r="AU73" i="20"/>
  <c r="AV73" i="20" s="1"/>
  <c r="AW73" i="20" s="1"/>
  <c r="AX73" i="20" s="1"/>
  <c r="BI68" i="20"/>
  <c r="AW78" i="20"/>
  <c r="AX78" i="20" s="1"/>
  <c r="AY78" i="20" s="1"/>
  <c r="BI66" i="20"/>
  <c r="AS72" i="20"/>
  <c r="BG71" i="20"/>
  <c r="AU70" i="20"/>
  <c r="AV70" i="20" s="1"/>
  <c r="AW70" i="20" s="1"/>
  <c r="BG69" i="20"/>
  <c r="AU68" i="20"/>
  <c r="AV68" i="20" s="1"/>
  <c r="AW68" i="20" s="1"/>
  <c r="BG67" i="20"/>
  <c r="AU66" i="20"/>
  <c r="AV66" i="20" s="1"/>
  <c r="AW66" i="20" s="1"/>
  <c r="BG65" i="20"/>
  <c r="AU64" i="20"/>
  <c r="AV64" i="20" s="1"/>
  <c r="AW64" i="20" s="1"/>
  <c r="AU60" i="20"/>
  <c r="AV60" i="20" s="1"/>
  <c r="AW60" i="20" s="1"/>
  <c r="AS60" i="20"/>
  <c r="AZ46" i="20"/>
  <c r="AS46" i="20"/>
  <c r="AS70" i="20"/>
  <c r="AS68" i="20"/>
  <c r="AS66" i="20"/>
  <c r="AS64" i="20"/>
  <c r="AW63" i="20"/>
  <c r="BA44" i="20"/>
  <c r="AU71" i="20"/>
  <c r="AV71" i="20" s="1"/>
  <c r="AW71" i="20" s="1"/>
  <c r="AU69" i="20"/>
  <c r="AU67" i="20"/>
  <c r="AV67" i="20" s="1"/>
  <c r="AW67" i="20" s="1"/>
  <c r="AU65" i="20"/>
  <c r="AV65" i="20" s="1"/>
  <c r="AW65" i="20" s="1"/>
  <c r="AU63" i="20"/>
  <c r="AV63" i="20" s="1"/>
  <c r="AU46" i="20"/>
  <c r="AV46" i="20" s="1"/>
  <c r="BA46" i="20"/>
  <c r="BB46" i="20" s="1"/>
  <c r="BC46" i="20" s="1"/>
  <c r="BB39" i="20"/>
  <c r="BC39" i="20"/>
  <c r="BA48" i="20"/>
  <c r="BB48" i="20" s="1"/>
  <c r="BC48" i="20" s="1"/>
  <c r="BD48" i="20" s="1"/>
  <c r="BE48" i="20" s="1"/>
  <c r="AV48" i="20"/>
  <c r="AV44" i="20"/>
  <c r="AW44" i="20" s="1"/>
  <c r="AX44" i="20" s="1"/>
  <c r="BF42" i="20"/>
  <c r="BF41" i="20"/>
  <c r="AV26" i="20"/>
  <c r="BH59" i="20"/>
  <c r="BE58" i="20"/>
  <c r="BF58" i="20" s="1"/>
  <c r="AW58" i="20"/>
  <c r="BE57" i="20"/>
  <c r="BF57" i="20" s="1"/>
  <c r="AW57" i="20"/>
  <c r="BE56" i="20"/>
  <c r="BF56" i="20" s="1"/>
  <c r="AW56" i="20"/>
  <c r="BE55" i="20"/>
  <c r="BF55" i="20" s="1"/>
  <c r="AW55" i="20"/>
  <c r="BE54" i="20"/>
  <c r="BF54" i="20" s="1"/>
  <c r="BE53" i="20"/>
  <c r="BF53" i="20" s="1"/>
  <c r="AU52" i="20"/>
  <c r="AV52" i="20" s="1"/>
  <c r="AW52" i="20" s="1"/>
  <c r="AZ48" i="20"/>
  <c r="AU44" i="20"/>
  <c r="BE40" i="20"/>
  <c r="BC35" i="20"/>
  <c r="BB35" i="20"/>
  <c r="AW29" i="20"/>
  <c r="AU45" i="20"/>
  <c r="AV41" i="20"/>
  <c r="AU38" i="20"/>
  <c r="AU51" i="20"/>
  <c r="BH58" i="20"/>
  <c r="AZ58" i="20"/>
  <c r="BH57" i="20"/>
  <c r="AZ57" i="20"/>
  <c r="BH56" i="20"/>
  <c r="AZ56" i="20"/>
  <c r="BE36" i="20"/>
  <c r="BG58" i="20"/>
  <c r="BG57" i="20"/>
  <c r="BG56" i="20"/>
  <c r="AS50" i="20"/>
  <c r="BD43" i="20"/>
  <c r="BE43" i="20" s="1"/>
  <c r="BF43" i="20" s="1"/>
  <c r="AZ43" i="20"/>
  <c r="AV42" i="20"/>
  <c r="BE38" i="20"/>
  <c r="BF38" i="20" s="1"/>
  <c r="BC37" i="20"/>
  <c r="AV35" i="20"/>
  <c r="BI21" i="20"/>
  <c r="AW27" i="20"/>
  <c r="AV9" i="20"/>
  <c r="AU40" i="20"/>
  <c r="BF39" i="20"/>
  <c r="AU36" i="20"/>
  <c r="AU33" i="20"/>
  <c r="AS31" i="20"/>
  <c r="AS24" i="20"/>
  <c r="AU24" i="20"/>
  <c r="AV24" i="20" s="1"/>
  <c r="AW24" i="20" s="1"/>
  <c r="AV6" i="20"/>
  <c r="AV29" i="20"/>
  <c r="AV31" i="20"/>
  <c r="AV23" i="20"/>
  <c r="AV22" i="20"/>
  <c r="AV28" i="20"/>
  <c r="AW28" i="20" s="1"/>
  <c r="AV19" i="20"/>
  <c r="AU11" i="20"/>
  <c r="AU25" i="20"/>
  <c r="AV25" i="20" s="1"/>
  <c r="BH20" i="20"/>
  <c r="BI20" i="20"/>
  <c r="BI17" i="20"/>
  <c r="AW15" i="20"/>
  <c r="AW13" i="20"/>
  <c r="AV20" i="20"/>
  <c r="AW20" i="20" s="1"/>
  <c r="AU19" i="20"/>
  <c r="AZ12" i="20"/>
  <c r="BA12" i="20" s="1"/>
  <c r="BB12" i="20"/>
  <c r="AS16" i="20"/>
  <c r="AU16" i="20"/>
  <c r="AV16" i="20" s="1"/>
  <c r="AS14" i="20"/>
  <c r="AU14" i="20"/>
  <c r="AV14" i="20" s="1"/>
  <c r="AW14" i="20" s="1"/>
  <c r="O5" i="20"/>
  <c r="AV5" i="20"/>
  <c r="AU5" i="20"/>
  <c r="AV594" i="20" l="1"/>
  <c r="AW598" i="20"/>
  <c r="AW606" i="20"/>
  <c r="AV567" i="20"/>
  <c r="AW526" i="20"/>
  <c r="AX491" i="20"/>
  <c r="AY491" i="20" s="1"/>
  <c r="AW504" i="20"/>
  <c r="AW489" i="20"/>
  <c r="AV427" i="20"/>
  <c r="AW427" i="20" s="1"/>
  <c r="AV400" i="20"/>
  <c r="AX374" i="20"/>
  <c r="AY374" i="20" s="1"/>
  <c r="AV381" i="20"/>
  <c r="AV369" i="20"/>
  <c r="AW378" i="20"/>
  <c r="AX378" i="20" s="1"/>
  <c r="AY378" i="20" s="1"/>
  <c r="AV375" i="20"/>
  <c r="AV367" i="20"/>
  <c r="AV346" i="20"/>
  <c r="AX307" i="20"/>
  <c r="AV308" i="20"/>
  <c r="AW253" i="20"/>
  <c r="AX253" i="20" s="1"/>
  <c r="AW137" i="20"/>
  <c r="AX137" i="20" s="1"/>
  <c r="AV105" i="20"/>
  <c r="AW105" i="20" s="1"/>
  <c r="AV12" i="20"/>
  <c r="AV368" i="20"/>
  <c r="AW368" i="20" s="1"/>
  <c r="AW422" i="20"/>
  <c r="AW140" i="20"/>
  <c r="AV577" i="20"/>
  <c r="AW577" i="20" s="1"/>
  <c r="AX577" i="20" s="1"/>
  <c r="BK296" i="20"/>
  <c r="AV425" i="20"/>
  <c r="AW425" i="20" s="1"/>
  <c r="AX425" i="20" s="1"/>
  <c r="BC592" i="20"/>
  <c r="BD592" i="20" s="1"/>
  <c r="BE592" i="20" s="1"/>
  <c r="BF425" i="20"/>
  <c r="AV277" i="20"/>
  <c r="BG425" i="20"/>
  <c r="BI158" i="20"/>
  <c r="BC369" i="20"/>
  <c r="BC435" i="20"/>
  <c r="BK166" i="20"/>
  <c r="BJ607" i="20"/>
  <c r="BC346" i="20"/>
  <c r="BD346" i="20" s="1"/>
  <c r="BK415" i="20"/>
  <c r="BJ415" i="20"/>
  <c r="AW411" i="20"/>
  <c r="AV411" i="20"/>
  <c r="AY376" i="20"/>
  <c r="BI415" i="20"/>
  <c r="AW17" i="20"/>
  <c r="AX130" i="20"/>
  <c r="AX552" i="20"/>
  <c r="AY552" i="20" s="1"/>
  <c r="AV253" i="20"/>
  <c r="BK387" i="20"/>
  <c r="AW143" i="20"/>
  <c r="AW346" i="20"/>
  <c r="AW442" i="20"/>
  <c r="AX442" i="20" s="1"/>
  <c r="AV464" i="20"/>
  <c r="BB542" i="20"/>
  <c r="AY596" i="20"/>
  <c r="BC549" i="20"/>
  <c r="BD549" i="20" s="1"/>
  <c r="BE549" i="20" s="1"/>
  <c r="BL322" i="20"/>
  <c r="BD399" i="20"/>
  <c r="BC402" i="20"/>
  <c r="BD402" i="20" s="1"/>
  <c r="BE402" i="20" s="1"/>
  <c r="AZ466" i="20"/>
  <c r="AW567" i="20"/>
  <c r="BD373" i="20"/>
  <c r="BE373" i="20" s="1"/>
  <c r="AW345" i="20"/>
  <c r="AX345" i="20" s="1"/>
  <c r="AY345" i="20" s="1"/>
  <c r="AW12" i="20"/>
  <c r="AX158" i="20"/>
  <c r="BB407" i="20"/>
  <c r="BC407" i="20" s="1"/>
  <c r="BD407" i="20" s="1"/>
  <c r="BG35" i="20"/>
  <c r="BB366" i="20"/>
  <c r="BC366" i="20" s="1"/>
  <c r="BD366" i="20" s="1"/>
  <c r="BK435" i="20"/>
  <c r="BJ470" i="20"/>
  <c r="AW580" i="20"/>
  <c r="AX580" i="20" s="1"/>
  <c r="BC567" i="20"/>
  <c r="AV137" i="20"/>
  <c r="AW333" i="20"/>
  <c r="BJ422" i="20"/>
  <c r="AX223" i="20"/>
  <c r="AY223" i="20" s="1"/>
  <c r="AZ223" i="20" s="1"/>
  <c r="BA223" i="20" s="1"/>
  <c r="BC13" i="20"/>
  <c r="BD405" i="20"/>
  <c r="AY448" i="20"/>
  <c r="AZ448" i="20" s="1"/>
  <c r="BA448" i="20" s="1"/>
  <c r="AY545" i="20"/>
  <c r="AW362" i="20"/>
  <c r="BC42" i="20"/>
  <c r="AV62" i="20"/>
  <c r="AW62" i="20" s="1"/>
  <c r="AX62" i="20" s="1"/>
  <c r="AV370" i="20"/>
  <c r="BE346" i="20"/>
  <c r="BJ352" i="20"/>
  <c r="AV534" i="20"/>
  <c r="BC41" i="20"/>
  <c r="AY44" i="20"/>
  <c r="AV410" i="20"/>
  <c r="AW410" i="20" s="1"/>
  <c r="BI422" i="20"/>
  <c r="BB406" i="20"/>
  <c r="BC406" i="20" s="1"/>
  <c r="BF430" i="20"/>
  <c r="AW464" i="20"/>
  <c r="AX464" i="20" s="1"/>
  <c r="AV479" i="20"/>
  <c r="AW534" i="20"/>
  <c r="AX438" i="20"/>
  <c r="AY438" i="20" s="1"/>
  <c r="AW16" i="20"/>
  <c r="AW306" i="20"/>
  <c r="AX306" i="20" s="1"/>
  <c r="BB372" i="20"/>
  <c r="BJ393" i="20"/>
  <c r="AV494" i="20"/>
  <c r="AZ555" i="20"/>
  <c r="AZ557" i="20"/>
  <c r="AV561" i="20"/>
  <c r="AW561" i="20" s="1"/>
  <c r="AV209" i="20"/>
  <c r="AW209" i="20" s="1"/>
  <c r="BI607" i="20"/>
  <c r="BL126" i="20"/>
  <c r="BK126" i="20"/>
  <c r="BK385" i="20"/>
  <c r="BL385" i="20"/>
  <c r="AY140" i="20"/>
  <c r="BK57" i="20"/>
  <c r="AY261" i="20"/>
  <c r="AV493" i="20"/>
  <c r="AW493" i="20" s="1"/>
  <c r="AX514" i="20"/>
  <c r="AY514" i="20"/>
  <c r="AZ514" i="20"/>
  <c r="AW331" i="20"/>
  <c r="BD408" i="20"/>
  <c r="AW75" i="20"/>
  <c r="AX75" i="20" s="1"/>
  <c r="AY75" i="20" s="1"/>
  <c r="AX156" i="20"/>
  <c r="BL187" i="20"/>
  <c r="BI290" i="20"/>
  <c r="AW369" i="20"/>
  <c r="AX518" i="20"/>
  <c r="BK546" i="20"/>
  <c r="BJ385" i="20"/>
  <c r="AY490" i="20"/>
  <c r="BJ545" i="20"/>
  <c r="AX102" i="20"/>
  <c r="AV497" i="20"/>
  <c r="BL598" i="20"/>
  <c r="AV234" i="20"/>
  <c r="AX64" i="20"/>
  <c r="AX339" i="20"/>
  <c r="BJ126" i="20"/>
  <c r="BK598" i="20"/>
  <c r="BJ64" i="20"/>
  <c r="AY518" i="20"/>
  <c r="AZ518" i="20" s="1"/>
  <c r="BA518" i="20" s="1"/>
  <c r="BB379" i="20"/>
  <c r="BF373" i="20"/>
  <c r="BK112" i="20"/>
  <c r="AX140" i="20"/>
  <c r="BK286" i="20"/>
  <c r="BC449" i="20"/>
  <c r="BB449" i="20"/>
  <c r="BJ59" i="20"/>
  <c r="BI152" i="20"/>
  <c r="AX173" i="20"/>
  <c r="AW308" i="20"/>
  <c r="AW543" i="20"/>
  <c r="BJ187" i="20"/>
  <c r="AY285" i="20"/>
  <c r="AX543" i="20"/>
  <c r="AY543" i="20" s="1"/>
  <c r="AY17" i="20"/>
  <c r="AZ17" i="20" s="1"/>
  <c r="BL414" i="20"/>
  <c r="AV566" i="20"/>
  <c r="BC439" i="20"/>
  <c r="BD439" i="20" s="1"/>
  <c r="BE439" i="20" s="1"/>
  <c r="BF439" i="20" s="1"/>
  <c r="AW594" i="20"/>
  <c r="AX563" i="20"/>
  <c r="BC548" i="20"/>
  <c r="AX526" i="20"/>
  <c r="AW50" i="20"/>
  <c r="AX50" i="20" s="1"/>
  <c r="AY50" i="20" s="1"/>
  <c r="AZ50" i="20" s="1"/>
  <c r="BA50" i="20" s="1"/>
  <c r="BB50" i="20" s="1"/>
  <c r="BC50" i="20" s="1"/>
  <c r="BD50" i="20" s="1"/>
  <c r="BE50" i="20" s="1"/>
  <c r="AW18" i="20"/>
  <c r="BI286" i="20"/>
  <c r="BD11" i="20"/>
  <c r="AY273" i="20"/>
  <c r="BL392" i="20"/>
  <c r="AX17" i="20"/>
  <c r="BB453" i="20"/>
  <c r="BC453" i="20" s="1"/>
  <c r="BD453" i="20" s="1"/>
  <c r="BE453" i="20" s="1"/>
  <c r="BF453" i="20" s="1"/>
  <c r="BB253" i="20"/>
  <c r="AY563" i="20"/>
  <c r="AW7" i="20"/>
  <c r="BK58" i="20"/>
  <c r="AW30" i="20"/>
  <c r="BI297" i="20"/>
  <c r="BB40" i="20"/>
  <c r="BC40" i="20"/>
  <c r="BI184" i="20"/>
  <c r="BK472" i="20"/>
  <c r="AV496" i="20"/>
  <c r="BL113" i="20"/>
  <c r="AZ558" i="20"/>
  <c r="AX226" i="20"/>
  <c r="AY226" i="20" s="1"/>
  <c r="AZ226" i="20" s="1"/>
  <c r="BI395" i="20"/>
  <c r="BJ161" i="20"/>
  <c r="BB370" i="20"/>
  <c r="BB436" i="20"/>
  <c r="BC436" i="20"/>
  <c r="BK110" i="20"/>
  <c r="AZ241" i="20"/>
  <c r="BI162" i="20"/>
  <c r="AX255" i="20"/>
  <c r="AV47" i="20"/>
  <c r="BC590" i="20"/>
  <c r="BC377" i="20"/>
  <c r="BJ88" i="20"/>
  <c r="BJ603" i="20"/>
  <c r="BI261" i="20"/>
  <c r="AY544" i="20"/>
  <c r="BG43" i="20"/>
  <c r="AV72" i="20"/>
  <c r="AY186" i="20"/>
  <c r="BK55" i="20"/>
  <c r="AX230" i="20"/>
  <c r="BC381" i="20"/>
  <c r="BI434" i="20"/>
  <c r="BK391" i="20"/>
  <c r="AW553" i="20"/>
  <c r="BB432" i="20"/>
  <c r="BC432" i="20"/>
  <c r="BD432" i="20" s="1"/>
  <c r="BE432" i="20" s="1"/>
  <c r="BF432" i="20" s="1"/>
  <c r="BC345" i="20"/>
  <c r="BJ355" i="20"/>
  <c r="BK80" i="20"/>
  <c r="BK53" i="20"/>
  <c r="BI79" i="20"/>
  <c r="AW421" i="20"/>
  <c r="AZ556" i="20"/>
  <c r="BK111" i="20"/>
  <c r="AZ554" i="20"/>
  <c r="BI423" i="20"/>
  <c r="BI188" i="20"/>
  <c r="AV96" i="20"/>
  <c r="AW99" i="20"/>
  <c r="AW269" i="20"/>
  <c r="BL56" i="20"/>
  <c r="AW213" i="20"/>
  <c r="BJ19" i="20"/>
  <c r="AV310" i="20"/>
  <c r="AV303" i="20"/>
  <c r="BC588" i="20"/>
  <c r="AW271" i="20"/>
  <c r="AX535" i="20"/>
  <c r="AX52" i="20"/>
  <c r="BK190" i="20"/>
  <c r="AV535" i="20"/>
  <c r="BC547" i="20"/>
  <c r="BC47" i="20"/>
  <c r="BI18" i="20"/>
  <c r="AV106" i="20"/>
  <c r="AW277" i="20"/>
  <c r="AW275" i="20"/>
  <c r="AW434" i="20"/>
  <c r="BD566" i="20"/>
  <c r="BB375" i="20"/>
  <c r="AW441" i="20"/>
  <c r="BB347" i="20"/>
  <c r="AV334" i="20"/>
  <c r="AW208" i="20"/>
  <c r="AW247" i="20"/>
  <c r="AV429" i="20"/>
  <c r="AW535" i="20"/>
  <c r="AW279" i="20"/>
  <c r="AX279" i="20" s="1"/>
  <c r="BJ392" i="20"/>
  <c r="BJ391" i="20"/>
  <c r="AX146" i="20"/>
  <c r="BJ54" i="20"/>
  <c r="AW295" i="20"/>
  <c r="AY92" i="20"/>
  <c r="BI289" i="20"/>
  <c r="BB45" i="20"/>
  <c r="BB412" i="20"/>
  <c r="AX333" i="20"/>
  <c r="BL167" i="20"/>
  <c r="AY161" i="20"/>
  <c r="AY162" i="20"/>
  <c r="BK203" i="20"/>
  <c r="AX274" i="20"/>
  <c r="BL315" i="20"/>
  <c r="AX352" i="20"/>
  <c r="AY328" i="20"/>
  <c r="AV372" i="20"/>
  <c r="AW477" i="20"/>
  <c r="BI457" i="20"/>
  <c r="AY513" i="20"/>
  <c r="BB553" i="20"/>
  <c r="BA559" i="20"/>
  <c r="BJ553" i="20"/>
  <c r="BK587" i="20"/>
  <c r="BK583" i="20"/>
  <c r="BK559" i="20"/>
  <c r="BI602" i="20"/>
  <c r="BC550" i="20"/>
  <c r="AX13" i="20"/>
  <c r="AY13" i="20"/>
  <c r="BJ17" i="20"/>
  <c r="BI22" i="20"/>
  <c r="AW6" i="20"/>
  <c r="AV36" i="20"/>
  <c r="AW9" i="20"/>
  <c r="AV34" i="20"/>
  <c r="AX39" i="20"/>
  <c r="AY39" i="20"/>
  <c r="AW46" i="20"/>
  <c r="AW41" i="20"/>
  <c r="BG41" i="20"/>
  <c r="AX81" i="20"/>
  <c r="AY86" i="20"/>
  <c r="AV101" i="20"/>
  <c r="BI85" i="20"/>
  <c r="AW88" i="20"/>
  <c r="AV97" i="20"/>
  <c r="AW98" i="20"/>
  <c r="BK122" i="20"/>
  <c r="AX125" i="20"/>
  <c r="AY130" i="20"/>
  <c r="BI149" i="20"/>
  <c r="BJ157" i="20"/>
  <c r="BI127" i="20"/>
  <c r="BJ145" i="20"/>
  <c r="AW152" i="20"/>
  <c r="AX132" i="20"/>
  <c r="AY171" i="20"/>
  <c r="AX183" i="20"/>
  <c r="BJ169" i="20"/>
  <c r="AX178" i="20"/>
  <c r="BJ185" i="20"/>
  <c r="BI178" i="20"/>
  <c r="AW164" i="20"/>
  <c r="AX231" i="20"/>
  <c r="BK204" i="20"/>
  <c r="AW245" i="20"/>
  <c r="AX264" i="20"/>
  <c r="BD252" i="20"/>
  <c r="BJ267" i="20"/>
  <c r="BI266" i="20"/>
  <c r="AX244" i="20"/>
  <c r="AX257" i="20"/>
  <c r="AV326" i="20"/>
  <c r="BJ290" i="20"/>
  <c r="BL313" i="20"/>
  <c r="AX348" i="20"/>
  <c r="AY348" i="20" s="1"/>
  <c r="BL358" i="20"/>
  <c r="BJ356" i="20"/>
  <c r="BC368" i="20"/>
  <c r="AX350" i="20"/>
  <c r="AW407" i="20"/>
  <c r="AX424" i="20"/>
  <c r="AY424" i="20"/>
  <c r="AZ424" i="20" s="1"/>
  <c r="BA424" i="20" s="1"/>
  <c r="BB424" i="20" s="1"/>
  <c r="BC424" i="20" s="1"/>
  <c r="BD424" i="20" s="1"/>
  <c r="BE424" i="20" s="1"/>
  <c r="BF424" i="20" s="1"/>
  <c r="BJ397" i="20"/>
  <c r="AV428" i="20"/>
  <c r="AV480" i="20"/>
  <c r="AW393" i="20"/>
  <c r="BI441" i="20"/>
  <c r="BI467" i="20"/>
  <c r="AW432" i="20"/>
  <c r="AX451" i="20"/>
  <c r="BF428" i="20"/>
  <c r="BC400" i="20"/>
  <c r="BJ433" i="20"/>
  <c r="AV430" i="20"/>
  <c r="AV482" i="20"/>
  <c r="BJ460" i="20"/>
  <c r="AW494" i="20"/>
  <c r="AY511" i="20"/>
  <c r="AY512" i="20"/>
  <c r="AV532" i="20"/>
  <c r="BB413" i="20"/>
  <c r="AX523" i="20"/>
  <c r="BJ531" i="20"/>
  <c r="AV599" i="20"/>
  <c r="BJ571" i="20"/>
  <c r="BD593" i="20"/>
  <c r="BJ442" i="20"/>
  <c r="AW524" i="20"/>
  <c r="AX542" i="20"/>
  <c r="AY610" i="20"/>
  <c r="AZ609" i="20"/>
  <c r="AX536" i="20"/>
  <c r="BI552" i="20"/>
  <c r="AX541" i="20"/>
  <c r="AX547" i="20"/>
  <c r="AW576" i="20"/>
  <c r="BK605" i="20"/>
  <c r="BA560" i="20"/>
  <c r="BL510" i="20"/>
  <c r="AY611" i="20"/>
  <c r="AY580" i="20"/>
  <c r="AX598" i="20"/>
  <c r="AW42" i="20"/>
  <c r="AX76" i="20"/>
  <c r="AX95" i="20"/>
  <c r="AY142" i="20"/>
  <c r="BI131" i="20"/>
  <c r="BI160" i="20"/>
  <c r="AX179" i="20"/>
  <c r="AW138" i="20"/>
  <c r="AX143" i="20"/>
  <c r="AV206" i="20"/>
  <c r="AV233" i="20"/>
  <c r="BJ271" i="20"/>
  <c r="BL317" i="20"/>
  <c r="BJ357" i="20"/>
  <c r="AW446" i="20"/>
  <c r="BJ431" i="20"/>
  <c r="BG525" i="20"/>
  <c r="BB544" i="20"/>
  <c r="BD538" i="20"/>
  <c r="AW597" i="20"/>
  <c r="AZ604" i="20"/>
  <c r="BI16" i="20"/>
  <c r="AX27" i="20"/>
  <c r="AX59" i="20"/>
  <c r="AX70" i="20"/>
  <c r="AX65" i="20"/>
  <c r="AX69" i="20"/>
  <c r="BI63" i="20"/>
  <c r="AX80" i="20"/>
  <c r="AV89" i="20"/>
  <c r="AY73" i="20"/>
  <c r="BI71" i="20"/>
  <c r="AW37" i="20"/>
  <c r="BL112" i="20"/>
  <c r="AW131" i="20"/>
  <c r="BK141" i="20"/>
  <c r="BJ150" i="20"/>
  <c r="BI146" i="20"/>
  <c r="BI154" i="20"/>
  <c r="AX157" i="20"/>
  <c r="BJ163" i="20"/>
  <c r="BI144" i="20"/>
  <c r="AY163" i="20"/>
  <c r="AX174" i="20"/>
  <c r="BJ156" i="20"/>
  <c r="AX176" i="20"/>
  <c r="AY155" i="20"/>
  <c r="AW165" i="20"/>
  <c r="AY187" i="20"/>
  <c r="BK191" i="20"/>
  <c r="BK195" i="20"/>
  <c r="BK199" i="20"/>
  <c r="BI183" i="20"/>
  <c r="AY205" i="20"/>
  <c r="AZ217" i="20"/>
  <c r="AV216" i="20"/>
  <c r="AV250" i="20"/>
  <c r="AZ220" i="20"/>
  <c r="AX270" i="20"/>
  <c r="BJ261" i="20"/>
  <c r="AX332" i="20"/>
  <c r="AW296" i="20"/>
  <c r="BL314" i="20"/>
  <c r="BL323" i="20"/>
  <c r="AW304" i="20"/>
  <c r="BI268" i="20"/>
  <c r="AV349" i="20"/>
  <c r="BC371" i="20"/>
  <c r="AZ342" i="20"/>
  <c r="BI361" i="20"/>
  <c r="AX351" i="20"/>
  <c r="AW359" i="20"/>
  <c r="AV399" i="20"/>
  <c r="AV343" i="20"/>
  <c r="AW361" i="20"/>
  <c r="AW412" i="20"/>
  <c r="BI396" i="20"/>
  <c r="BB450" i="20"/>
  <c r="BC450" i="20" s="1"/>
  <c r="BB448" i="20"/>
  <c r="AV483" i="20"/>
  <c r="BB433" i="20"/>
  <c r="BC433" i="20"/>
  <c r="BI469" i="20"/>
  <c r="BI473" i="20"/>
  <c r="BK432" i="20"/>
  <c r="AX443" i="20"/>
  <c r="AY443" i="20" s="1"/>
  <c r="AZ443" i="20" s="1"/>
  <c r="BA443" i="20" s="1"/>
  <c r="BB443" i="20" s="1"/>
  <c r="BC443" i="20" s="1"/>
  <c r="AV478" i="20"/>
  <c r="AW475" i="20"/>
  <c r="BI451" i="20"/>
  <c r="AX415" i="20"/>
  <c r="AY415" i="20" s="1"/>
  <c r="AZ415" i="20" s="1"/>
  <c r="BA415" i="20" s="1"/>
  <c r="BB415" i="20" s="1"/>
  <c r="BC415" i="20" s="1"/>
  <c r="BK444" i="20"/>
  <c r="BI445" i="20"/>
  <c r="AW487" i="20"/>
  <c r="AW499" i="20"/>
  <c r="AX517" i="20"/>
  <c r="BJ527" i="20"/>
  <c r="AW396" i="20"/>
  <c r="BJ448" i="20"/>
  <c r="BJ528" i="20"/>
  <c r="BG499" i="20"/>
  <c r="AW479" i="20"/>
  <c r="BA514" i="20"/>
  <c r="BG489" i="20"/>
  <c r="AX519" i="20"/>
  <c r="BI543" i="20"/>
  <c r="BJ595" i="20"/>
  <c r="BC570" i="20"/>
  <c r="BI594" i="20"/>
  <c r="BJ573" i="20"/>
  <c r="AX561" i="20"/>
  <c r="BK585" i="20"/>
  <c r="AW595" i="20"/>
  <c r="BA555" i="20"/>
  <c r="BC537" i="20"/>
  <c r="BB545" i="20"/>
  <c r="AW578" i="20"/>
  <c r="BJ551" i="20"/>
  <c r="AZ563" i="20"/>
  <c r="BD567" i="20"/>
  <c r="P5" i="20"/>
  <c r="AW5" i="20"/>
  <c r="AW109" i="20"/>
  <c r="AX331" i="20"/>
  <c r="BL296" i="20"/>
  <c r="AY337" i="20"/>
  <c r="BK422" i="20"/>
  <c r="AZ467" i="20"/>
  <c r="BJ468" i="20"/>
  <c r="BJ530" i="20"/>
  <c r="BC12" i="20"/>
  <c r="AX15" i="20"/>
  <c r="AV11" i="20"/>
  <c r="BG39" i="20"/>
  <c r="AX24" i="20"/>
  <c r="AV43" i="20"/>
  <c r="AV51" i="20"/>
  <c r="AV45" i="20"/>
  <c r="BF40" i="20"/>
  <c r="BG42" i="20"/>
  <c r="AX61" i="20"/>
  <c r="BK59" i="20"/>
  <c r="AX60" i="20"/>
  <c r="BD46" i="20"/>
  <c r="BJ70" i="20"/>
  <c r="AX79" i="20"/>
  <c r="BI65" i="20"/>
  <c r="BJ86" i="20"/>
  <c r="BI76" i="20"/>
  <c r="AW104" i="20"/>
  <c r="BJ123" i="20"/>
  <c r="AW127" i="20"/>
  <c r="BK125" i="20"/>
  <c r="BL117" i="20"/>
  <c r="AX145" i="20"/>
  <c r="BJ121" i="20"/>
  <c r="BJ159" i="20"/>
  <c r="BJ142" i="20"/>
  <c r="BJ152" i="20"/>
  <c r="BJ164" i="20"/>
  <c r="BJ170" i="20"/>
  <c r="BJ186" i="20"/>
  <c r="AX135" i="20"/>
  <c r="BI176" i="20"/>
  <c r="BK201" i="20"/>
  <c r="AW207" i="20"/>
  <c r="AY232" i="20"/>
  <c r="AX210" i="20"/>
  <c r="AW228" i="20"/>
  <c r="AY239" i="20"/>
  <c r="AV246" i="20"/>
  <c r="AX260" i="20"/>
  <c r="AX276" i="20"/>
  <c r="BJ259" i="20"/>
  <c r="AW293" i="20"/>
  <c r="BK285" i="20"/>
  <c r="BI260" i="20"/>
  <c r="AY289" i="20"/>
  <c r="BL312" i="20"/>
  <c r="AV329" i="20"/>
  <c r="BI276" i="20"/>
  <c r="AV278" i="20"/>
  <c r="AY297" i="20"/>
  <c r="AY339" i="20"/>
  <c r="AX356" i="20"/>
  <c r="AX347" i="20"/>
  <c r="AX360" i="20"/>
  <c r="BL316" i="20"/>
  <c r="AV344" i="20"/>
  <c r="AW402" i="20"/>
  <c r="AX362" i="20"/>
  <c r="BI413" i="20"/>
  <c r="BJ360" i="20"/>
  <c r="AX416" i="20"/>
  <c r="AY416" i="20" s="1"/>
  <c r="AZ416" i="20" s="1"/>
  <c r="BA416" i="20" s="1"/>
  <c r="BB416" i="20" s="1"/>
  <c r="BI365" i="20"/>
  <c r="BL390" i="20"/>
  <c r="BD401" i="20"/>
  <c r="BD406" i="20"/>
  <c r="BG426" i="20"/>
  <c r="BB454" i="20"/>
  <c r="BC454" i="20" s="1"/>
  <c r="BD454" i="20" s="1"/>
  <c r="BE454" i="20" s="1"/>
  <c r="BF454" i="20" s="1"/>
  <c r="BD369" i="20"/>
  <c r="AW398" i="20"/>
  <c r="AW377" i="20"/>
  <c r="AW447" i="20"/>
  <c r="AX411" i="20"/>
  <c r="BJ458" i="20"/>
  <c r="AV485" i="20"/>
  <c r="BJ462" i="20"/>
  <c r="BJ437" i="20"/>
  <c r="AX486" i="20"/>
  <c r="AX516" i="20"/>
  <c r="AW433" i="20"/>
  <c r="BI450" i="20"/>
  <c r="AV500" i="20"/>
  <c r="AW488" i="20"/>
  <c r="BB543" i="20"/>
  <c r="BK446" i="20"/>
  <c r="AW602" i="20"/>
  <c r="AX538" i="20"/>
  <c r="AY538" i="20" s="1"/>
  <c r="AX614" i="20"/>
  <c r="BD540" i="20"/>
  <c r="BJ574" i="20"/>
  <c r="AV575" i="20"/>
  <c r="BI604" i="20"/>
  <c r="BJ542" i="20"/>
  <c r="BK606" i="20"/>
  <c r="AW605" i="20"/>
  <c r="AX159" i="20"/>
  <c r="AX147" i="20"/>
  <c r="AY166" i="20"/>
  <c r="BJ172" i="20"/>
  <c r="AW189" i="20"/>
  <c r="BI171" i="20"/>
  <c r="AX167" i="20"/>
  <c r="BJ179" i="20"/>
  <c r="BK192" i="20"/>
  <c r="BK196" i="20"/>
  <c r="AX227" i="20"/>
  <c r="BJ189" i="20"/>
  <c r="BK200" i="20"/>
  <c r="AY259" i="20"/>
  <c r="AV212" i="20"/>
  <c r="AX266" i="20"/>
  <c r="BI274" i="20"/>
  <c r="BM283" i="20"/>
  <c r="BI294" i="20"/>
  <c r="BI272" i="20"/>
  <c r="BJ265" i="20"/>
  <c r="AZ294" i="20"/>
  <c r="BJ269" i="20"/>
  <c r="BJ295" i="20"/>
  <c r="AV330" i="20"/>
  <c r="AV252" i="20"/>
  <c r="AX299" i="20"/>
  <c r="BJ350" i="20"/>
  <c r="BC372" i="20"/>
  <c r="BC348" i="20"/>
  <c r="BJ362" i="20"/>
  <c r="BI363" i="20"/>
  <c r="AV406" i="20"/>
  <c r="BB344" i="20"/>
  <c r="AX357" i="20"/>
  <c r="BB374" i="20"/>
  <c r="BB380" i="20"/>
  <c r="BK417" i="20"/>
  <c r="BB343" i="20"/>
  <c r="BC382" i="20"/>
  <c r="AX422" i="20"/>
  <c r="BJ384" i="20"/>
  <c r="BJ418" i="20"/>
  <c r="BB438" i="20"/>
  <c r="BC438" i="20"/>
  <c r="BD438" i="20" s="1"/>
  <c r="BE438" i="20" s="1"/>
  <c r="BF438" i="20" s="1"/>
  <c r="BI447" i="20"/>
  <c r="BG430" i="20"/>
  <c r="BK471" i="20"/>
  <c r="AW401" i="20"/>
  <c r="AX410" i="20"/>
  <c r="AW418" i="20"/>
  <c r="AX452" i="20"/>
  <c r="AY452" i="20" s="1"/>
  <c r="AV481" i="20"/>
  <c r="AZ473" i="20"/>
  <c r="BK452" i="20"/>
  <c r="AW501" i="20"/>
  <c r="AV521" i="20"/>
  <c r="AW549" i="20"/>
  <c r="AW568" i="20"/>
  <c r="AV502" i="20"/>
  <c r="BA515" i="20"/>
  <c r="AX455" i="20"/>
  <c r="BH425" i="20"/>
  <c r="AW498" i="20"/>
  <c r="AV607" i="20"/>
  <c r="BK582" i="20"/>
  <c r="BI596" i="20"/>
  <c r="BK560" i="20"/>
  <c r="AV601" i="20"/>
  <c r="AW525" i="20"/>
  <c r="BN598" i="20"/>
  <c r="BI455" i="20"/>
  <c r="AV562" i="20"/>
  <c r="AY593" i="20"/>
  <c r="BA557" i="20"/>
  <c r="BC551" i="20"/>
  <c r="BG522" i="20"/>
  <c r="BD547" i="20"/>
  <c r="AY577" i="20"/>
  <c r="AZ581" i="20"/>
  <c r="AX28" i="20"/>
  <c r="BI69" i="20"/>
  <c r="BI174" i="20"/>
  <c r="BJ175" i="20"/>
  <c r="AX254" i="20"/>
  <c r="BM282" i="20"/>
  <c r="BM419" i="20"/>
  <c r="AW23" i="20"/>
  <c r="AX14" i="20"/>
  <c r="AX83" i="20"/>
  <c r="AV94" i="20"/>
  <c r="AW126" i="20"/>
  <c r="AV139" i="20"/>
  <c r="BI148" i="20"/>
  <c r="AX175" i="20"/>
  <c r="BJ20" i="20"/>
  <c r="AW31" i="20"/>
  <c r="AV33" i="20"/>
  <c r="AW26" i="20"/>
  <c r="BJ66" i="20"/>
  <c r="BK78" i="20"/>
  <c r="AX77" i="20"/>
  <c r="BI77" i="20"/>
  <c r="BI89" i="20"/>
  <c r="BL84" i="20"/>
  <c r="AZ78" i="20"/>
  <c r="AV107" i="20"/>
  <c r="BK90" i="20"/>
  <c r="BK120" i="20"/>
  <c r="BJ129" i="20"/>
  <c r="AX141" i="20"/>
  <c r="AX151" i="20"/>
  <c r="BJ155" i="20"/>
  <c r="BK114" i="20"/>
  <c r="AW154" i="20"/>
  <c r="AW153" i="20"/>
  <c r="BJ165" i="20"/>
  <c r="BJ133" i="20"/>
  <c r="BI181" i="20"/>
  <c r="AW168" i="20"/>
  <c r="AX149" i="20"/>
  <c r="AX182" i="20"/>
  <c r="AX218" i="20"/>
  <c r="BK202" i="20"/>
  <c r="AY222" i="20"/>
  <c r="AY219" i="20"/>
  <c r="AX190" i="20"/>
  <c r="AW214" i="20"/>
  <c r="AX229" i="20"/>
  <c r="AY240" i="20"/>
  <c r="AX284" i="20"/>
  <c r="AV243" i="20"/>
  <c r="AX251" i="20"/>
  <c r="AX272" i="20"/>
  <c r="BJ263" i="20"/>
  <c r="BJ275" i="20"/>
  <c r="AX256" i="20"/>
  <c r="BJ273" i="20"/>
  <c r="AV298" i="20"/>
  <c r="BI264" i="20"/>
  <c r="AX325" i="20"/>
  <c r="AV305" i="20"/>
  <c r="BB251" i="20"/>
  <c r="AW287" i="20"/>
  <c r="BD345" i="20"/>
  <c r="AW363" i="20"/>
  <c r="AV335" i="20"/>
  <c r="BJ353" i="20"/>
  <c r="BD367" i="20"/>
  <c r="AX355" i="20"/>
  <c r="AX354" i="20"/>
  <c r="AW366" i="20"/>
  <c r="AW409" i="20"/>
  <c r="AX403" i="20"/>
  <c r="AY301" i="20"/>
  <c r="BC403" i="20"/>
  <c r="AW408" i="20"/>
  <c r="BE409" i="20"/>
  <c r="AW336" i="20"/>
  <c r="BB437" i="20"/>
  <c r="BC437" i="20"/>
  <c r="BJ440" i="20"/>
  <c r="AX454" i="20"/>
  <c r="AY454" i="20" s="1"/>
  <c r="AW436" i="20"/>
  <c r="AX450" i="20"/>
  <c r="AY450" i="20"/>
  <c r="BK438" i="20"/>
  <c r="BG429" i="20"/>
  <c r="BI465" i="20"/>
  <c r="AW492" i="20"/>
  <c r="BM507" i="20"/>
  <c r="BK466" i="20"/>
  <c r="BB552" i="20"/>
  <c r="AX588" i="20"/>
  <c r="AY588" i="20"/>
  <c r="AY608" i="20"/>
  <c r="AW495" i="20"/>
  <c r="AX504" i="20"/>
  <c r="BK599" i="20"/>
  <c r="AX546" i="20"/>
  <c r="BK586" i="20"/>
  <c r="AW564" i="20"/>
  <c r="AX537" i="20"/>
  <c r="BL506" i="20"/>
  <c r="AV579" i="20"/>
  <c r="BJ601" i="20"/>
  <c r="BJ597" i="20"/>
  <c r="BI67" i="20"/>
  <c r="AV91" i="20"/>
  <c r="AW150" i="20"/>
  <c r="BJ173" i="20"/>
  <c r="AW185" i="20"/>
  <c r="BK198" i="20"/>
  <c r="BD378" i="20"/>
  <c r="AX397" i="20"/>
  <c r="BI421" i="20"/>
  <c r="AX414" i="20"/>
  <c r="AY414" i="20" s="1"/>
  <c r="AZ414" i="20" s="1"/>
  <c r="BA414" i="20" s="1"/>
  <c r="BB414" i="20" s="1"/>
  <c r="AW25" i="20"/>
  <c r="BJ68" i="20"/>
  <c r="AX87" i="20"/>
  <c r="BI81" i="20"/>
  <c r="BK116" i="20"/>
  <c r="BI119" i="20"/>
  <c r="AV134" i="20"/>
  <c r="AW123" i="20"/>
  <c r="AV10" i="20"/>
  <c r="AX8" i="20"/>
  <c r="BI14" i="20"/>
  <c r="AV40" i="20"/>
  <c r="AX49" i="20"/>
  <c r="AV38" i="20"/>
  <c r="AW48" i="20"/>
  <c r="AX66" i="20"/>
  <c r="AX67" i="20"/>
  <c r="AX71" i="20"/>
  <c r="AX74" i="20"/>
  <c r="AX84" i="20"/>
  <c r="AW121" i="20"/>
  <c r="BJ128" i="20"/>
  <c r="BJ130" i="20"/>
  <c r="BK147" i="20"/>
  <c r="BI143" i="20"/>
  <c r="AX177" i="20"/>
  <c r="BJ151" i="20"/>
  <c r="AW170" i="20"/>
  <c r="BJ158" i="20"/>
  <c r="BI180" i="20"/>
  <c r="AX180" i="20"/>
  <c r="BK193" i="20"/>
  <c r="BK197" i="20"/>
  <c r="AY221" i="20"/>
  <c r="BI168" i="20"/>
  <c r="AY224" i="20"/>
  <c r="AW211" i="20"/>
  <c r="AV235" i="20"/>
  <c r="AY263" i="20"/>
  <c r="AW249" i="20"/>
  <c r="AW286" i="20"/>
  <c r="AX262" i="20"/>
  <c r="AW225" i="20"/>
  <c r="AY291" i="20"/>
  <c r="AY258" i="20"/>
  <c r="BJ287" i="20"/>
  <c r="BM281" i="20"/>
  <c r="AV292" i="20"/>
  <c r="AV309" i="20"/>
  <c r="AX311" i="20"/>
  <c r="BL324" i="20"/>
  <c r="BC349" i="20"/>
  <c r="AX364" i="20"/>
  <c r="AX341" i="20"/>
  <c r="AX327" i="20"/>
  <c r="AW394" i="20"/>
  <c r="AW419" i="20"/>
  <c r="AW395" i="20"/>
  <c r="AW381" i="20"/>
  <c r="BJ388" i="20"/>
  <c r="BC376" i="20"/>
  <c r="BK393" i="20"/>
  <c r="AV373" i="20"/>
  <c r="AW417" i="20"/>
  <c r="BA471" i="20"/>
  <c r="BJ389" i="20"/>
  <c r="BJ416" i="20"/>
  <c r="AX420" i="20"/>
  <c r="BI449" i="20"/>
  <c r="BA466" i="20"/>
  <c r="AX431" i="20"/>
  <c r="AW437" i="20"/>
  <c r="AW445" i="20"/>
  <c r="BK436" i="20"/>
  <c r="AX456" i="20"/>
  <c r="AY456" i="20" s="1"/>
  <c r="BA470" i="20"/>
  <c r="BJ459" i="20"/>
  <c r="BK439" i="20"/>
  <c r="BA472" i="20"/>
  <c r="BK443" i="20"/>
  <c r="AX453" i="20"/>
  <c r="AY453" i="20" s="1"/>
  <c r="AX489" i="20"/>
  <c r="AV533" i="20"/>
  <c r="BB434" i="20"/>
  <c r="BG482" i="20"/>
  <c r="AX520" i="20"/>
  <c r="AX590" i="20"/>
  <c r="AY590" i="20"/>
  <c r="AX613" i="20"/>
  <c r="BJ600" i="20"/>
  <c r="AX540" i="20"/>
  <c r="BK547" i="20"/>
  <c r="BJ572" i="20"/>
  <c r="AY535" i="20"/>
  <c r="BB536" i="20"/>
  <c r="BC541" i="20"/>
  <c r="BC569" i="20"/>
  <c r="AW603" i="20"/>
  <c r="BJ544" i="20"/>
  <c r="AW570" i="20"/>
  <c r="AV32" i="20"/>
  <c r="AX20" i="20"/>
  <c r="BG38" i="20"/>
  <c r="BF36" i="20"/>
  <c r="AX68" i="20"/>
  <c r="BL57" i="20"/>
  <c r="AV93" i="20"/>
  <c r="AY119" i="20"/>
  <c r="BI153" i="20"/>
  <c r="AW169" i="20"/>
  <c r="BK194" i="20"/>
  <c r="BI262" i="20"/>
  <c r="AW338" i="20"/>
  <c r="BL386" i="20"/>
  <c r="AW358" i="20"/>
  <c r="AV426" i="20"/>
  <c r="BJ394" i="20"/>
  <c r="AW405" i="20"/>
  <c r="BJ424" i="20"/>
  <c r="AW35" i="20"/>
  <c r="AX82" i="20"/>
  <c r="BM118" i="20"/>
  <c r="AY21" i="20"/>
  <c r="AW19" i="20"/>
  <c r="AW22" i="20"/>
  <c r="AX16" i="20"/>
  <c r="BJ21" i="20"/>
  <c r="AX29" i="20"/>
  <c r="BG37" i="20"/>
  <c r="BF48" i="20"/>
  <c r="BB44" i="20"/>
  <c r="AX63" i="20"/>
  <c r="AX85" i="20"/>
  <c r="BI83" i="20"/>
  <c r="AX90" i="20"/>
  <c r="BL87" i="20"/>
  <c r="AV103" i="20"/>
  <c r="AW108" i="20"/>
  <c r="AW133" i="20"/>
  <c r="AX120" i="20"/>
  <c r="BL115" i="20"/>
  <c r="AW100" i="20"/>
  <c r="AW129" i="20"/>
  <c r="BK124" i="20"/>
  <c r="AX136" i="20"/>
  <c r="AY122" i="20"/>
  <c r="AY148" i="20"/>
  <c r="AX160" i="20"/>
  <c r="AY184" i="20"/>
  <c r="BI182" i="20"/>
  <c r="AX172" i="20"/>
  <c r="BL166" i="20"/>
  <c r="AX188" i="20"/>
  <c r="AW242" i="20"/>
  <c r="AW215" i="20"/>
  <c r="BJ177" i="20"/>
  <c r="AX248" i="20"/>
  <c r="AZ238" i="20"/>
  <c r="AX268" i="20"/>
  <c r="AY237" i="20"/>
  <c r="BK288" i="20"/>
  <c r="BI258" i="20"/>
  <c r="AW288" i="20"/>
  <c r="AX280" i="20"/>
  <c r="AW290" i="20"/>
  <c r="BI270" i="20"/>
  <c r="AW302" i="20"/>
  <c r="AW319" i="20"/>
  <c r="AX318" i="20"/>
  <c r="BJ257" i="20"/>
  <c r="BJ354" i="20"/>
  <c r="AW365" i="20"/>
  <c r="BJ395" i="20"/>
  <c r="AV340" i="20"/>
  <c r="BJ351" i="20"/>
  <c r="BI359" i="20"/>
  <c r="BC410" i="20"/>
  <c r="AX404" i="20"/>
  <c r="BI420" i="20"/>
  <c r="AX353" i="20"/>
  <c r="BK383" i="20"/>
  <c r="BB440" i="20"/>
  <c r="AW474" i="20"/>
  <c r="AX371" i="20"/>
  <c r="BI453" i="20"/>
  <c r="BJ463" i="20"/>
  <c r="AW484" i="20"/>
  <c r="BI398" i="20"/>
  <c r="AW476" i="20"/>
  <c r="AY423" i="20"/>
  <c r="AZ423" i="20" s="1"/>
  <c r="BA423" i="20" s="1"/>
  <c r="BB423" i="20" s="1"/>
  <c r="BC423" i="20" s="1"/>
  <c r="BD423" i="20" s="1"/>
  <c r="AX423" i="20"/>
  <c r="AZ465" i="20"/>
  <c r="BI454" i="20"/>
  <c r="BM456" i="20"/>
  <c r="BG524" i="20"/>
  <c r="BA468" i="20"/>
  <c r="AX439" i="20"/>
  <c r="AV503" i="20"/>
  <c r="BJ529" i="20"/>
  <c r="AW497" i="20"/>
  <c r="AV505" i="20"/>
  <c r="BG521" i="20"/>
  <c r="AX592" i="20"/>
  <c r="AY592" i="20"/>
  <c r="BL508" i="20"/>
  <c r="AV600" i="20"/>
  <c r="BJ461" i="20"/>
  <c r="BC542" i="20"/>
  <c r="BK584" i="20"/>
  <c r="AX606" i="20"/>
  <c r="AX539" i="20"/>
  <c r="BC546" i="20"/>
  <c r="AX551" i="20"/>
  <c r="AY551" i="20"/>
  <c r="AX522" i="20"/>
  <c r="AY612" i="20"/>
  <c r="AX444" i="20"/>
  <c r="BL509" i="20"/>
  <c r="BK607" i="20"/>
  <c r="AX534" i="20"/>
  <c r="AZ596" i="20"/>
  <c r="BD568" i="20"/>
  <c r="BH427" i="20" l="1"/>
  <c r="AY526" i="20"/>
  <c r="AX497" i="20"/>
  <c r="AW496" i="20"/>
  <c r="AW367" i="20"/>
  <c r="AW370" i="20"/>
  <c r="BK470" i="20"/>
  <c r="AX128" i="20"/>
  <c r="BF549" i="20"/>
  <c r="AX181" i="20"/>
  <c r="AX300" i="20"/>
  <c r="AY300" i="20" s="1"/>
  <c r="AZ300" i="20" s="1"/>
  <c r="BA300" i="20" s="1"/>
  <c r="BB300" i="20" s="1"/>
  <c r="BC300" i="20" s="1"/>
  <c r="BL545" i="20"/>
  <c r="BB469" i="20"/>
  <c r="BC469" i="20" s="1"/>
  <c r="AY265" i="20"/>
  <c r="AZ144" i="20"/>
  <c r="BK132" i="20"/>
  <c r="AX567" i="20"/>
  <c r="BD591" i="20"/>
  <c r="BM126" i="20"/>
  <c r="BJ91" i="20"/>
  <c r="BJ364" i="20"/>
  <c r="BC539" i="20"/>
  <c r="BE366" i="20"/>
  <c r="AX565" i="20"/>
  <c r="AY565" i="20" s="1"/>
  <c r="BL291" i="20"/>
  <c r="AX449" i="20"/>
  <c r="AY449" i="20" s="1"/>
  <c r="AY124" i="20"/>
  <c r="AY137" i="20"/>
  <c r="BG481" i="20"/>
  <c r="BM385" i="20"/>
  <c r="BF402" i="20"/>
  <c r="BL321" i="20"/>
  <c r="AW375" i="20"/>
  <c r="AW400" i="20"/>
  <c r="AX400" i="20" s="1"/>
  <c r="AY400" i="20" s="1"/>
  <c r="BL546" i="20"/>
  <c r="AX369" i="20"/>
  <c r="AX427" i="20"/>
  <c r="AY427" i="20" s="1"/>
  <c r="BD548" i="20"/>
  <c r="AZ140" i="20"/>
  <c r="BL320" i="20"/>
  <c r="AY267" i="20"/>
  <c r="BJ15" i="20"/>
  <c r="BL82" i="20"/>
  <c r="AW236" i="20"/>
  <c r="AX236" i="20" s="1"/>
  <c r="AY173" i="20"/>
  <c r="BG478" i="20"/>
  <c r="AW234" i="20"/>
  <c r="BM414" i="20"/>
  <c r="BD589" i="20"/>
  <c r="BM392" i="20"/>
  <c r="BL190" i="20"/>
  <c r="BC379" i="20"/>
  <c r="BL58" i="20"/>
  <c r="AX7" i="20"/>
  <c r="AX18" i="20"/>
  <c r="AW566" i="20"/>
  <c r="BA226" i="20"/>
  <c r="BE11" i="20"/>
  <c r="BC253" i="20"/>
  <c r="AY333" i="20"/>
  <c r="BJ289" i="20"/>
  <c r="AX247" i="20"/>
  <c r="AX441" i="20"/>
  <c r="AY441" i="20" s="1"/>
  <c r="AZ441" i="20" s="1"/>
  <c r="BA441" i="20" s="1"/>
  <c r="BB441" i="20" s="1"/>
  <c r="BC441" i="20" s="1"/>
  <c r="BE52" i="20"/>
  <c r="AZ186" i="20"/>
  <c r="AX208" i="20"/>
  <c r="BC375" i="20"/>
  <c r="AW303" i="20"/>
  <c r="AX213" i="20"/>
  <c r="AW96" i="20"/>
  <c r="BA554" i="20"/>
  <c r="AY421" i="20"/>
  <c r="AZ421" i="20" s="1"/>
  <c r="BA421" i="20" s="1"/>
  <c r="BB421" i="20" s="1"/>
  <c r="BC421" i="20" s="1"/>
  <c r="AX421" i="20"/>
  <c r="BJ434" i="20"/>
  <c r="BD377" i="20"/>
  <c r="BJ162" i="20"/>
  <c r="BC370" i="20"/>
  <c r="BC416" i="20"/>
  <c r="BJ184" i="20"/>
  <c r="AZ92" i="20"/>
  <c r="BF50" i="20"/>
  <c r="AX295" i="20"/>
  <c r="BM56" i="20"/>
  <c r="BJ188" i="20"/>
  <c r="BL111" i="20"/>
  <c r="BK91" i="20"/>
  <c r="BD381" i="20"/>
  <c r="AW72" i="20"/>
  <c r="BK603" i="20"/>
  <c r="BD590" i="20"/>
  <c r="BA241" i="20"/>
  <c r="BL472" i="20"/>
  <c r="BC412" i="20"/>
  <c r="AX277" i="20"/>
  <c r="BC45" i="20"/>
  <c r="AW334" i="20"/>
  <c r="BE566" i="20"/>
  <c r="AW106" i="20"/>
  <c r="AX271" i="20"/>
  <c r="AW310" i="20"/>
  <c r="AX269" i="20"/>
  <c r="AW47" i="20"/>
  <c r="BA558" i="20"/>
  <c r="BG523" i="20"/>
  <c r="BK54" i="20"/>
  <c r="BC347" i="20"/>
  <c r="BJ18" i="20"/>
  <c r="BJ423" i="20"/>
  <c r="BL53" i="20"/>
  <c r="AX553" i="20"/>
  <c r="AY553" i="20" s="1"/>
  <c r="AY230" i="20"/>
  <c r="BH43" i="20"/>
  <c r="BD300" i="20"/>
  <c r="BL110" i="20"/>
  <c r="BK161" i="20"/>
  <c r="BM113" i="20"/>
  <c r="BJ297" i="20"/>
  <c r="BJ79" i="20"/>
  <c r="AW429" i="20"/>
  <c r="AX434" i="20"/>
  <c r="AY434" i="20" s="1"/>
  <c r="BL80" i="20"/>
  <c r="BL391" i="20"/>
  <c r="BK88" i="20"/>
  <c r="AX30" i="20"/>
  <c r="AY146" i="20"/>
  <c r="AX275" i="20"/>
  <c r="BD47" i="20"/>
  <c r="BD588" i="20"/>
  <c r="BK19" i="20"/>
  <c r="AX99" i="20"/>
  <c r="AX209" i="20"/>
  <c r="BA556" i="20"/>
  <c r="BL55" i="20"/>
  <c r="AY255" i="20"/>
  <c r="AY279" i="20"/>
  <c r="AX169" i="20"/>
  <c r="BC434" i="20"/>
  <c r="AX437" i="20"/>
  <c r="AY437" i="20"/>
  <c r="BM324" i="20"/>
  <c r="AY177" i="20"/>
  <c r="BL599" i="20"/>
  <c r="BL202" i="20"/>
  <c r="BK155" i="20"/>
  <c r="BL471" i="20"/>
  <c r="BF592" i="20"/>
  <c r="AW278" i="20"/>
  <c r="BM117" i="20"/>
  <c r="AW51" i="20"/>
  <c r="AY15" i="20"/>
  <c r="AY519" i="20"/>
  <c r="BK355" i="20"/>
  <c r="AX42" i="20"/>
  <c r="AY42" i="20" s="1"/>
  <c r="AW430" i="20"/>
  <c r="AX432" i="20"/>
  <c r="AY432" i="20" s="1"/>
  <c r="BD415" i="20"/>
  <c r="AY183" i="20"/>
  <c r="AX152" i="20"/>
  <c r="AX9" i="20"/>
  <c r="BD550" i="20"/>
  <c r="BM167" i="20"/>
  <c r="AY534" i="20"/>
  <c r="AY606" i="20"/>
  <c r="BD542" i="20"/>
  <c r="AY439" i="20"/>
  <c r="BJ454" i="20"/>
  <c r="AY353" i="20"/>
  <c r="BK351" i="20"/>
  <c r="AX302" i="20"/>
  <c r="AY160" i="20"/>
  <c r="AZ148" i="20"/>
  <c r="AX19" i="20"/>
  <c r="BK424" i="20"/>
  <c r="BM291" i="20"/>
  <c r="AW93" i="20"/>
  <c r="AY68" i="20"/>
  <c r="BH38" i="20"/>
  <c r="AX570" i="20"/>
  <c r="AY570" i="20"/>
  <c r="BD569" i="20"/>
  <c r="BK388" i="20"/>
  <c r="AX419" i="20"/>
  <c r="AY327" i="20"/>
  <c r="BD349" i="20"/>
  <c r="AW309" i="20"/>
  <c r="AX225" i="20"/>
  <c r="AW235" i="20"/>
  <c r="BJ168" i="20"/>
  <c r="AY102" i="20"/>
  <c r="AY71" i="20"/>
  <c r="AW10" i="20"/>
  <c r="BJ119" i="20"/>
  <c r="BK68" i="20"/>
  <c r="BJ67" i="20"/>
  <c r="BL586" i="20"/>
  <c r="BH429" i="20"/>
  <c r="BK440" i="20"/>
  <c r="AW335" i="20"/>
  <c r="BJ264" i="20"/>
  <c r="AZ219" i="20"/>
  <c r="BL120" i="20"/>
  <c r="AW107" i="20"/>
  <c r="BL78" i="20"/>
  <c r="AX31" i="20"/>
  <c r="AY175" i="20"/>
  <c r="AW139" i="20"/>
  <c r="BE547" i="20"/>
  <c r="BF547" i="20"/>
  <c r="AX525" i="20"/>
  <c r="AX549" i="20"/>
  <c r="BA473" i="20"/>
  <c r="AX418" i="20"/>
  <c r="AY418" i="20" s="1"/>
  <c r="AZ418" i="20" s="1"/>
  <c r="BA418" i="20" s="1"/>
  <c r="BB418" i="20" s="1"/>
  <c r="BC418" i="20" s="1"/>
  <c r="BD418" i="20" s="1"/>
  <c r="AY422" i="20"/>
  <c r="AZ422" i="20" s="1"/>
  <c r="BA422" i="20" s="1"/>
  <c r="BB422" i="20" s="1"/>
  <c r="BC343" i="20"/>
  <c r="AY357" i="20"/>
  <c r="BK362" i="20"/>
  <c r="AW330" i="20"/>
  <c r="AZ259" i="20"/>
  <c r="AY227" i="20"/>
  <c r="BL606" i="20"/>
  <c r="BM545" i="20"/>
  <c r="BL446" i="20"/>
  <c r="AW485" i="20"/>
  <c r="AX398" i="20"/>
  <c r="BM390" i="20"/>
  <c r="BJ413" i="20"/>
  <c r="AY356" i="20"/>
  <c r="BM312" i="20"/>
  <c r="BJ260" i="20"/>
  <c r="BK259" i="20"/>
  <c r="AY210" i="20"/>
  <c r="AY135" i="20"/>
  <c r="BK159" i="20"/>
  <c r="BJ76" i="20"/>
  <c r="BK70" i="20"/>
  <c r="BL59" i="20"/>
  <c r="BG40" i="20"/>
  <c r="BH39" i="20"/>
  <c r="BK551" i="20"/>
  <c r="AX595" i="20"/>
  <c r="AY517" i="20"/>
  <c r="AW483" i="20"/>
  <c r="BM323" i="20"/>
  <c r="BK261" i="20"/>
  <c r="BA220" i="20"/>
  <c r="BL199" i="20"/>
  <c r="BJ144" i="20"/>
  <c r="AY181" i="20"/>
  <c r="BK64" i="20"/>
  <c r="BJ16" i="20"/>
  <c r="BH525" i="20"/>
  <c r="AY179" i="20"/>
  <c r="AZ611" i="20"/>
  <c r="BL605" i="20"/>
  <c r="AY541" i="20"/>
  <c r="AX524" i="20"/>
  <c r="BD400" i="20"/>
  <c r="AX393" i="20"/>
  <c r="BK397" i="20"/>
  <c r="BK145" i="20"/>
  <c r="AX88" i="20"/>
  <c r="BK17" i="20"/>
  <c r="BJ457" i="20"/>
  <c r="BM166" i="20"/>
  <c r="AY540" i="20"/>
  <c r="AW373" i="20"/>
  <c r="AX249" i="20"/>
  <c r="BL193" i="20"/>
  <c r="BK601" i="20"/>
  <c r="AY256" i="20"/>
  <c r="AY229" i="20"/>
  <c r="BM84" i="20"/>
  <c r="BL560" i="20"/>
  <c r="BK364" i="20"/>
  <c r="AW252" i="20"/>
  <c r="BJ272" i="20"/>
  <c r="BJ171" i="20"/>
  <c r="BE540" i="20"/>
  <c r="BK123" i="20"/>
  <c r="AY79" i="20"/>
  <c r="AY24" i="20"/>
  <c r="BK468" i="20"/>
  <c r="BL444" i="20"/>
  <c r="AY332" i="20"/>
  <c r="AW216" i="20"/>
  <c r="AZ155" i="20"/>
  <c r="BK150" i="20"/>
  <c r="BG488" i="20"/>
  <c r="AW233" i="20"/>
  <c r="AY523" i="20"/>
  <c r="BD368" i="20"/>
  <c r="BE252" i="20"/>
  <c r="AY178" i="20"/>
  <c r="AW372" i="20"/>
  <c r="BL203" i="20"/>
  <c r="BE568" i="20"/>
  <c r="BL607" i="20"/>
  <c r="BD546" i="20"/>
  <c r="BK461" i="20"/>
  <c r="BB468" i="20"/>
  <c r="BN456" i="20"/>
  <c r="AX484" i="20"/>
  <c r="BJ453" i="20"/>
  <c r="BJ270" i="20"/>
  <c r="AX288" i="20"/>
  <c r="AY268" i="20"/>
  <c r="AY248" i="20"/>
  <c r="AY172" i="20"/>
  <c r="AX133" i="20"/>
  <c r="BJ262" i="20"/>
  <c r="AZ535" i="20"/>
  <c r="AW533" i="20"/>
  <c r="BB470" i="20"/>
  <c r="AY431" i="20"/>
  <c r="BK416" i="20"/>
  <c r="AX417" i="20"/>
  <c r="AY417" i="20"/>
  <c r="AZ417" i="20" s="1"/>
  <c r="BA417" i="20" s="1"/>
  <c r="BB417" i="20" s="1"/>
  <c r="BC417" i="20" s="1"/>
  <c r="AY306" i="20"/>
  <c r="AZ263" i="20"/>
  <c r="AZ221" i="20"/>
  <c r="AY180" i="20"/>
  <c r="BK128" i="20"/>
  <c r="BE378" i="20"/>
  <c r="BK173" i="20"/>
  <c r="AW579" i="20"/>
  <c r="BL466" i="20"/>
  <c r="BD403" i="20"/>
  <c r="AX409" i="20"/>
  <c r="AY355" i="20"/>
  <c r="BC251" i="20"/>
  <c r="AZ261" i="20"/>
  <c r="AY218" i="20"/>
  <c r="AX168" i="20"/>
  <c r="AX153" i="20"/>
  <c r="BJ89" i="20"/>
  <c r="AX126" i="20"/>
  <c r="BD49" i="20"/>
  <c r="BN419" i="20"/>
  <c r="BK175" i="20"/>
  <c r="AY28" i="20"/>
  <c r="BJ455" i="20"/>
  <c r="BJ596" i="20"/>
  <c r="AY455" i="20"/>
  <c r="BL452" i="20"/>
  <c r="BL417" i="20"/>
  <c r="BJ363" i="20"/>
  <c r="BK350" i="20"/>
  <c r="AX189" i="20"/>
  <c r="AY147" i="20"/>
  <c r="BJ604" i="20"/>
  <c r="BC543" i="20"/>
  <c r="AW500" i="20"/>
  <c r="AY486" i="20"/>
  <c r="BK462" i="20"/>
  <c r="BL415" i="20"/>
  <c r="BE369" i="20"/>
  <c r="BJ365" i="20"/>
  <c r="BM316" i="20"/>
  <c r="BL201" i="20"/>
  <c r="BG483" i="20"/>
  <c r="BL585" i="20"/>
  <c r="BJ594" i="20"/>
  <c r="BK595" i="20"/>
  <c r="AX479" i="20"/>
  <c r="BK448" i="20"/>
  <c r="AX475" i="20"/>
  <c r="BL432" i="20"/>
  <c r="BJ469" i="20"/>
  <c r="BJ361" i="20"/>
  <c r="AW349" i="20"/>
  <c r="BA217" i="20"/>
  <c r="AZ187" i="20"/>
  <c r="AY176" i="20"/>
  <c r="BJ63" i="20"/>
  <c r="AY59" i="20"/>
  <c r="BE591" i="20"/>
  <c r="AW206" i="20"/>
  <c r="BA609" i="20"/>
  <c r="BK442" i="20"/>
  <c r="BC413" i="20"/>
  <c r="AW482" i="20"/>
  <c r="BK433" i="20"/>
  <c r="BJ467" i="20"/>
  <c r="AW480" i="20"/>
  <c r="AX407" i="20"/>
  <c r="BM320" i="20"/>
  <c r="BJ266" i="20"/>
  <c r="AY264" i="20"/>
  <c r="AZ171" i="20"/>
  <c r="AZ130" i="20"/>
  <c r="BL122" i="20"/>
  <c r="BJ85" i="20"/>
  <c r="BJ602" i="20"/>
  <c r="BL587" i="20"/>
  <c r="BB559" i="20"/>
  <c r="BC414" i="20"/>
  <c r="AY274" i="20"/>
  <c r="AZ162" i="20"/>
  <c r="BM82" i="20"/>
  <c r="AZ612" i="20"/>
  <c r="BE589" i="20"/>
  <c r="BK529" i="20"/>
  <c r="AX476" i="20"/>
  <c r="BL383" i="20"/>
  <c r="AX365" i="20"/>
  <c r="AY318" i="20"/>
  <c r="BJ258" i="20"/>
  <c r="AY188" i="20"/>
  <c r="AZ122" i="20"/>
  <c r="AX129" i="20"/>
  <c r="AW103" i="20"/>
  <c r="BJ83" i="20"/>
  <c r="AY52" i="20"/>
  <c r="AZ52" i="20" s="1"/>
  <c r="BA52" i="20" s="1"/>
  <c r="BB52" i="20" s="1"/>
  <c r="BC52" i="20" s="1"/>
  <c r="BD52" i="20" s="1"/>
  <c r="AY29" i="20"/>
  <c r="AY16" i="20"/>
  <c r="AZ21" i="20"/>
  <c r="AY82" i="20"/>
  <c r="AX358" i="20"/>
  <c r="BJ153" i="20"/>
  <c r="AY20" i="20"/>
  <c r="BK544" i="20"/>
  <c r="BD541" i="20"/>
  <c r="BK600" i="20"/>
  <c r="BH482" i="20"/>
  <c r="BL443" i="20"/>
  <c r="BL439" i="20"/>
  <c r="BD417" i="20"/>
  <c r="AW292" i="20"/>
  <c r="AY262" i="20"/>
  <c r="AX211" i="20"/>
  <c r="AX170" i="20"/>
  <c r="BL147" i="20"/>
  <c r="AW40" i="20"/>
  <c r="BL116" i="20"/>
  <c r="AX25" i="20"/>
  <c r="AX150" i="20"/>
  <c r="BF409" i="20"/>
  <c r="AX363" i="20"/>
  <c r="AW305" i="20"/>
  <c r="AW298" i="20"/>
  <c r="BK275" i="20"/>
  <c r="AX214" i="20"/>
  <c r="BJ181" i="20"/>
  <c r="AX154" i="20"/>
  <c r="AY151" i="20"/>
  <c r="AZ75" i="20"/>
  <c r="BJ174" i="20"/>
  <c r="BH522" i="20"/>
  <c r="BB515" i="20"/>
  <c r="BC344" i="20"/>
  <c r="BD348" i="20"/>
  <c r="BK295" i="20"/>
  <c r="BJ294" i="20"/>
  <c r="AW212" i="20"/>
  <c r="BK179" i="20"/>
  <c r="BG526" i="20"/>
  <c r="AX602" i="20"/>
  <c r="BJ450" i="20"/>
  <c r="BK458" i="20"/>
  <c r="BE406" i="20"/>
  <c r="AZ339" i="20"/>
  <c r="BJ276" i="20"/>
  <c r="AZ289" i="20"/>
  <c r="BL285" i="20"/>
  <c r="AY276" i="20"/>
  <c r="AZ232" i="20"/>
  <c r="BK186" i="20"/>
  <c r="BK164" i="20"/>
  <c r="BK121" i="20"/>
  <c r="AZ124" i="20"/>
  <c r="BK86" i="20"/>
  <c r="BE46" i="20"/>
  <c r="AY61" i="20"/>
  <c r="AW45" i="20"/>
  <c r="BD12" i="20"/>
  <c r="BM296" i="20"/>
  <c r="AY307" i="20"/>
  <c r="AX578" i="20"/>
  <c r="BB555" i="20"/>
  <c r="BH499" i="20"/>
  <c r="BE423" i="20"/>
  <c r="AX412" i="20"/>
  <c r="AY412" i="20"/>
  <c r="BJ268" i="20"/>
  <c r="BK156" i="20"/>
  <c r="BL141" i="20"/>
  <c r="AZ73" i="20"/>
  <c r="BJ160" i="20"/>
  <c r="AY95" i="20"/>
  <c r="AY598" i="20"/>
  <c r="BM510" i="20"/>
  <c r="AX576" i="20"/>
  <c r="AW532" i="20"/>
  <c r="BG428" i="20"/>
  <c r="BE407" i="20"/>
  <c r="BK356" i="20"/>
  <c r="AX164" i="20"/>
  <c r="BK169" i="20"/>
  <c r="BJ127" i="20"/>
  <c r="BJ149" i="20"/>
  <c r="AX46" i="20"/>
  <c r="AX477" i="20"/>
  <c r="BC440" i="20"/>
  <c r="AZ237" i="20"/>
  <c r="AX242" i="20"/>
  <c r="BC536" i="20"/>
  <c r="BB472" i="20"/>
  <c r="AY420" i="20"/>
  <c r="AZ420" i="20" s="1"/>
  <c r="BA420" i="20" s="1"/>
  <c r="BB420" i="20" s="1"/>
  <c r="AX375" i="20"/>
  <c r="AY375" i="20" s="1"/>
  <c r="BG373" i="20"/>
  <c r="BK165" i="20"/>
  <c r="BB557" i="20"/>
  <c r="AX501" i="20"/>
  <c r="BJ447" i="20"/>
  <c r="AY266" i="20"/>
  <c r="AY347" i="20"/>
  <c r="AZ337" i="20"/>
  <c r="BJ473" i="20"/>
  <c r="BJ396" i="20"/>
  <c r="AW399" i="20"/>
  <c r="AZ142" i="20"/>
  <c r="BK460" i="20"/>
  <c r="AY244" i="20"/>
  <c r="AY81" i="20"/>
  <c r="BL583" i="20"/>
  <c r="AW505" i="20"/>
  <c r="BD410" i="20"/>
  <c r="BK177" i="20"/>
  <c r="AZ184" i="20"/>
  <c r="AY63" i="20"/>
  <c r="BG48" i="20"/>
  <c r="BK21" i="20"/>
  <c r="AX405" i="20"/>
  <c r="BM386" i="20"/>
  <c r="BM57" i="20"/>
  <c r="BK572" i="20"/>
  <c r="AY613" i="20"/>
  <c r="AY489" i="20"/>
  <c r="BB466" i="20"/>
  <c r="AX381" i="20"/>
  <c r="AY381" i="20" s="1"/>
  <c r="AX367" i="20"/>
  <c r="AY367" i="20" s="1"/>
  <c r="AY311" i="20"/>
  <c r="BJ143" i="20"/>
  <c r="AY67" i="20"/>
  <c r="AX48" i="20"/>
  <c r="AY48" i="20" s="1"/>
  <c r="BJ421" i="20"/>
  <c r="BD13" i="20"/>
  <c r="AY546" i="20"/>
  <c r="AY504" i="20"/>
  <c r="BG503" i="20"/>
  <c r="BG480" i="20"/>
  <c r="AZ301" i="20"/>
  <c r="AX366" i="20"/>
  <c r="AY366" i="20" s="1"/>
  <c r="BE367" i="20"/>
  <c r="AY251" i="20"/>
  <c r="AZ222" i="20"/>
  <c r="BJ77" i="20"/>
  <c r="AX26" i="20"/>
  <c r="AY64" i="20"/>
  <c r="BN282" i="20"/>
  <c r="BA581" i="20"/>
  <c r="BL582" i="20"/>
  <c r="AW481" i="20"/>
  <c r="BL435" i="20"/>
  <c r="BH430" i="20"/>
  <c r="BK418" i="20"/>
  <c r="BN283" i="20"/>
  <c r="BL200" i="20"/>
  <c r="AW575" i="20"/>
  <c r="AY362" i="20"/>
  <c r="AX228" i="20"/>
  <c r="BL125" i="20"/>
  <c r="AW43" i="20"/>
  <c r="AY331" i="20"/>
  <c r="BE567" i="20"/>
  <c r="AY561" i="20"/>
  <c r="BD570" i="20"/>
  <c r="BJ543" i="20"/>
  <c r="AX499" i="20"/>
  <c r="BC448" i="20"/>
  <c r="BL387" i="20"/>
  <c r="AW343" i="20"/>
  <c r="BM314" i="20"/>
  <c r="AZ285" i="20"/>
  <c r="AZ205" i="20"/>
  <c r="BL195" i="20"/>
  <c r="BJ154" i="20"/>
  <c r="AY69" i="20"/>
  <c r="AY27" i="20"/>
  <c r="BA604" i="20"/>
  <c r="BM317" i="20"/>
  <c r="AY143" i="20"/>
  <c r="AZ580" i="20"/>
  <c r="AX494" i="20"/>
  <c r="AY464" i="20"/>
  <c r="BM313" i="20"/>
  <c r="BL204" i="20"/>
  <c r="BJ178" i="20"/>
  <c r="AY125" i="20"/>
  <c r="AW101" i="20"/>
  <c r="AW36" i="20"/>
  <c r="BL559" i="20"/>
  <c r="BC553" i="20"/>
  <c r="AZ328" i="20"/>
  <c r="AZ161" i="20"/>
  <c r="BK395" i="20"/>
  <c r="AY90" i="20"/>
  <c r="AW426" i="20"/>
  <c r="AY66" i="20"/>
  <c r="AX408" i="20"/>
  <c r="AY408" i="20"/>
  <c r="AX23" i="20"/>
  <c r="BA596" i="20"/>
  <c r="BM509" i="20"/>
  <c r="AY539" i="20"/>
  <c r="AW600" i="20"/>
  <c r="BD442" i="20"/>
  <c r="BG505" i="20"/>
  <c r="BJ398" i="20"/>
  <c r="AY371" i="20"/>
  <c r="AW340" i="20"/>
  <c r="BK354" i="20"/>
  <c r="AX290" i="20"/>
  <c r="BL288" i="20"/>
  <c r="AY253" i="20"/>
  <c r="AX215" i="20"/>
  <c r="AY136" i="20"/>
  <c r="AX100" i="20"/>
  <c r="AX108" i="20"/>
  <c r="AY85" i="20"/>
  <c r="AX35" i="20"/>
  <c r="BL194" i="20"/>
  <c r="AZ119" i="20"/>
  <c r="AW32" i="20"/>
  <c r="AY445" i="20"/>
  <c r="AZ445" i="20" s="1"/>
  <c r="BA445" i="20" s="1"/>
  <c r="BB445" i="20" s="1"/>
  <c r="BC445" i="20" s="1"/>
  <c r="BD445" i="20" s="1"/>
  <c r="AX445" i="20"/>
  <c r="BK389" i="20"/>
  <c r="BL393" i="20"/>
  <c r="AX394" i="20"/>
  <c r="AY341" i="20"/>
  <c r="BF346" i="20"/>
  <c r="BN281" i="20"/>
  <c r="AZ258" i="20"/>
  <c r="AX286" i="20"/>
  <c r="AZ224" i="20"/>
  <c r="BL197" i="20"/>
  <c r="BK151" i="20"/>
  <c r="BK130" i="20"/>
  <c r="AX121" i="20"/>
  <c r="AY84" i="20"/>
  <c r="AW38" i="20"/>
  <c r="BJ14" i="20"/>
  <c r="AX123" i="20"/>
  <c r="BJ81" i="20"/>
  <c r="BL198" i="20"/>
  <c r="BK597" i="20"/>
  <c r="BM506" i="20"/>
  <c r="AY537" i="20"/>
  <c r="BN507" i="20"/>
  <c r="AX436" i="20"/>
  <c r="AY436" i="20" s="1"/>
  <c r="BK273" i="20"/>
  <c r="BK263" i="20"/>
  <c r="AZ240" i="20"/>
  <c r="AY182" i="20"/>
  <c r="BK133" i="20"/>
  <c r="AY141" i="20"/>
  <c r="AW94" i="20"/>
  <c r="BJ69" i="20"/>
  <c r="AW562" i="20"/>
  <c r="BO598" i="20"/>
  <c r="AX498" i="20"/>
  <c r="AW521" i="20"/>
  <c r="AY410" i="20"/>
  <c r="BC380" i="20"/>
  <c r="AW406" i="20"/>
  <c r="BD372" i="20"/>
  <c r="AY299" i="20"/>
  <c r="BA294" i="20"/>
  <c r="BL196" i="20"/>
  <c r="AY159" i="20"/>
  <c r="AY614" i="20"/>
  <c r="BK437" i="20"/>
  <c r="AX377" i="20"/>
  <c r="AY360" i="20"/>
  <c r="AZ297" i="20"/>
  <c r="AW329" i="20"/>
  <c r="AW246" i="20"/>
  <c r="AY128" i="20"/>
  <c r="BK152" i="20"/>
  <c r="BJ65" i="20"/>
  <c r="AW11" i="20"/>
  <c r="AX109" i="20"/>
  <c r="BH489" i="20"/>
  <c r="AX396" i="20"/>
  <c r="AX487" i="20"/>
  <c r="BJ451" i="20"/>
  <c r="AX165" i="20"/>
  <c r="BK163" i="20"/>
  <c r="AX37" i="20"/>
  <c r="AY37" i="20"/>
  <c r="AW89" i="20"/>
  <c r="AX597" i="20"/>
  <c r="BC544" i="20"/>
  <c r="BJ131" i="20"/>
  <c r="BJ552" i="20"/>
  <c r="AZ610" i="20"/>
  <c r="BE593" i="20"/>
  <c r="BK531" i="20"/>
  <c r="AZ512" i="20"/>
  <c r="AY442" i="20"/>
  <c r="AZ442" i="20" s="1"/>
  <c r="BA442" i="20" s="1"/>
  <c r="BB442" i="20" s="1"/>
  <c r="BC442" i="20" s="1"/>
  <c r="AY132" i="20"/>
  <c r="BK157" i="20"/>
  <c r="AX98" i="20"/>
  <c r="BH41" i="20"/>
  <c r="AZ513" i="20"/>
  <c r="BI427" i="20"/>
  <c r="AY352" i="20"/>
  <c r="AY404" i="20"/>
  <c r="AY120" i="20"/>
  <c r="BC44" i="20"/>
  <c r="BN118" i="20"/>
  <c r="AY520" i="20"/>
  <c r="BK158" i="20"/>
  <c r="AX287" i="20"/>
  <c r="BK384" i="20"/>
  <c r="BL192" i="20"/>
  <c r="BG497" i="20"/>
  <c r="AX447" i="20"/>
  <c r="AY447" i="20" s="1"/>
  <c r="AZ447" i="20" s="1"/>
  <c r="BA447" i="20" s="1"/>
  <c r="BB447" i="20" s="1"/>
  <c r="BC447" i="20" s="1"/>
  <c r="BE405" i="20"/>
  <c r="AY80" i="20"/>
  <c r="BK431" i="20"/>
  <c r="AY536" i="20"/>
  <c r="AW326" i="20"/>
  <c r="BL584" i="20"/>
  <c r="AW503" i="20"/>
  <c r="BH524" i="20"/>
  <c r="BA465" i="20"/>
  <c r="AX474" i="20"/>
  <c r="BJ420" i="20"/>
  <c r="BC420" i="20"/>
  <c r="AX319" i="20"/>
  <c r="AZ265" i="20"/>
  <c r="BJ182" i="20"/>
  <c r="BM115" i="20"/>
  <c r="BH37" i="20"/>
  <c r="BH35" i="20"/>
  <c r="BK394" i="20"/>
  <c r="AX338" i="20"/>
  <c r="BG36" i="20"/>
  <c r="AX603" i="20"/>
  <c r="BL547" i="20"/>
  <c r="BG485" i="20"/>
  <c r="BL436" i="20"/>
  <c r="BJ449" i="20"/>
  <c r="BB471" i="20"/>
  <c r="BD376" i="20"/>
  <c r="AX395" i="20"/>
  <c r="BJ180" i="20"/>
  <c r="AY156" i="20"/>
  <c r="AW91" i="20"/>
  <c r="BB518" i="20"/>
  <c r="BC552" i="20"/>
  <c r="BJ465" i="20"/>
  <c r="AY403" i="20"/>
  <c r="AY354" i="20"/>
  <c r="BK353" i="20"/>
  <c r="BE345" i="20"/>
  <c r="AW243" i="20"/>
  <c r="BL90" i="20"/>
  <c r="BA78" i="20"/>
  <c r="AY77" i="20"/>
  <c r="AW33" i="20"/>
  <c r="BK20" i="20"/>
  <c r="BJ148" i="20"/>
  <c r="BD551" i="20"/>
  <c r="BD539" i="20"/>
  <c r="AW601" i="20"/>
  <c r="AW607" i="20"/>
  <c r="AW502" i="20"/>
  <c r="BK265" i="20"/>
  <c r="BJ274" i="20"/>
  <c r="BK172" i="20"/>
  <c r="AX605" i="20"/>
  <c r="BK542" i="20"/>
  <c r="BK574" i="20"/>
  <c r="BG502" i="20"/>
  <c r="AX433" i="20"/>
  <c r="AY433" i="20"/>
  <c r="AY411" i="20"/>
  <c r="BE401" i="20"/>
  <c r="AX402" i="20"/>
  <c r="AW344" i="20"/>
  <c r="AX293" i="20"/>
  <c r="AX207" i="20"/>
  <c r="BJ176" i="20"/>
  <c r="AY145" i="20"/>
  <c r="AX104" i="20"/>
  <c r="AY60" i="20"/>
  <c r="BK530" i="20"/>
  <c r="BA467" i="20"/>
  <c r="BL422" i="20"/>
  <c r="BM321" i="20"/>
  <c r="BK573" i="20"/>
  <c r="AW478" i="20"/>
  <c r="BG487" i="20"/>
  <c r="AX359" i="20"/>
  <c r="BA342" i="20"/>
  <c r="AY270" i="20"/>
  <c r="BJ183" i="20"/>
  <c r="AY174" i="20"/>
  <c r="BJ146" i="20"/>
  <c r="AX131" i="20"/>
  <c r="AY70" i="20"/>
  <c r="AX446" i="20"/>
  <c r="BK271" i="20"/>
  <c r="AX138" i="20"/>
  <c r="AY76" i="20"/>
  <c r="BB560" i="20"/>
  <c r="AY547" i="20"/>
  <c r="AY542" i="20"/>
  <c r="BK571" i="20"/>
  <c r="BJ441" i="20"/>
  <c r="AY350" i="20"/>
  <c r="AX368" i="20"/>
  <c r="AY368" i="20" s="1"/>
  <c r="BK290" i="20"/>
  <c r="BK267" i="20"/>
  <c r="AY231" i="20"/>
  <c r="BK185" i="20"/>
  <c r="AW97" i="20"/>
  <c r="AZ86" i="20"/>
  <c r="AW34" i="20"/>
  <c r="AX6" i="20"/>
  <c r="BK553" i="20"/>
  <c r="AZ267" i="20"/>
  <c r="BL132" i="20"/>
  <c r="AY74" i="20"/>
  <c r="AZ608" i="20"/>
  <c r="AX492" i="20"/>
  <c r="AX336" i="20"/>
  <c r="AX5" i="20"/>
  <c r="Q5" i="20"/>
  <c r="BD537" i="20"/>
  <c r="AW599" i="20"/>
  <c r="AZ425" i="20"/>
  <c r="AY425" i="20"/>
  <c r="AX245" i="20"/>
  <c r="AY444" i="20"/>
  <c r="AZ444" i="20" s="1"/>
  <c r="BA444" i="20" s="1"/>
  <c r="BB444" i="20" s="1"/>
  <c r="BC444" i="20" s="1"/>
  <c r="BD444" i="20" s="1"/>
  <c r="AY522" i="20"/>
  <c r="BM508" i="20"/>
  <c r="BH521" i="20"/>
  <c r="BK463" i="20"/>
  <c r="BJ359" i="20"/>
  <c r="BK257" i="20"/>
  <c r="AY280" i="20"/>
  <c r="BA238" i="20"/>
  <c r="BL124" i="20"/>
  <c r="BM87" i="20"/>
  <c r="AX22" i="20"/>
  <c r="BA144" i="20"/>
  <c r="AZ490" i="20"/>
  <c r="BA490" i="20" s="1"/>
  <c r="BB490" i="20" s="1"/>
  <c r="BC490" i="20" s="1"/>
  <c r="BD490" i="20" s="1"/>
  <c r="BE490" i="20" s="1"/>
  <c r="BF490" i="20" s="1"/>
  <c r="BK459" i="20"/>
  <c r="AY364" i="20"/>
  <c r="BK287" i="20"/>
  <c r="AZ291" i="20"/>
  <c r="AY49" i="20"/>
  <c r="AZ49" i="20" s="1"/>
  <c r="BA49" i="20" s="1"/>
  <c r="BB49" i="20" s="1"/>
  <c r="BC49" i="20" s="1"/>
  <c r="AY8" i="20"/>
  <c r="AW134" i="20"/>
  <c r="AY87" i="20"/>
  <c r="AY397" i="20"/>
  <c r="AX185" i="20"/>
  <c r="AX564" i="20"/>
  <c r="AX495" i="20"/>
  <c r="BL438" i="20"/>
  <c r="AY325" i="20"/>
  <c r="AY272" i="20"/>
  <c r="AY284" i="20"/>
  <c r="AY190" i="20"/>
  <c r="AY149" i="20"/>
  <c r="BL114" i="20"/>
  <c r="BK129" i="20"/>
  <c r="BK66" i="20"/>
  <c r="AY83" i="20"/>
  <c r="AY14" i="20"/>
  <c r="AY254" i="20"/>
  <c r="AY62" i="20"/>
  <c r="AZ577" i="20"/>
  <c r="BI425" i="20"/>
  <c r="AX568" i="20"/>
  <c r="BC422" i="20"/>
  <c r="AX401" i="20"/>
  <c r="AY401" i="20"/>
  <c r="BD382" i="20"/>
  <c r="BC374" i="20"/>
  <c r="BK269" i="20"/>
  <c r="BK189" i="20"/>
  <c r="AY167" i="20"/>
  <c r="AZ166" i="20"/>
  <c r="AX488" i="20"/>
  <c r="AY516" i="20"/>
  <c r="BH426" i="20"/>
  <c r="BK360" i="20"/>
  <c r="BM322" i="20"/>
  <c r="BB223" i="20"/>
  <c r="AY260" i="20"/>
  <c r="AZ239" i="20"/>
  <c r="BK170" i="20"/>
  <c r="BK142" i="20"/>
  <c r="AX127" i="20"/>
  <c r="BH42" i="20"/>
  <c r="BA563" i="20"/>
  <c r="BC545" i="20"/>
  <c r="BG494" i="20"/>
  <c r="BB514" i="20"/>
  <c r="BK528" i="20"/>
  <c r="BK527" i="20"/>
  <c r="BJ445" i="20"/>
  <c r="AX361" i="20"/>
  <c r="AY351" i="20"/>
  <c r="BD371" i="20"/>
  <c r="AX304" i="20"/>
  <c r="AX296" i="20"/>
  <c r="AW250" i="20"/>
  <c r="BL191" i="20"/>
  <c r="AZ163" i="20"/>
  <c r="AY157" i="20"/>
  <c r="BM112" i="20"/>
  <c r="BJ71" i="20"/>
  <c r="AY65" i="20"/>
  <c r="BE538" i="20"/>
  <c r="BD443" i="20"/>
  <c r="BK357" i="20"/>
  <c r="AZ511" i="20"/>
  <c r="AY451" i="20"/>
  <c r="AW428" i="20"/>
  <c r="BM358" i="20"/>
  <c r="AY257" i="20"/>
  <c r="BA140" i="20"/>
  <c r="AX41" i="20"/>
  <c r="BJ22" i="20"/>
  <c r="AX12" i="20"/>
  <c r="BG500" i="20"/>
  <c r="BM315" i="20"/>
  <c r="J910" i="2"/>
  <c r="J893" i="2"/>
  <c r="J456" i="2"/>
  <c r="D17" i="12"/>
  <c r="D16" i="12"/>
  <c r="D15" i="12"/>
  <c r="D14" i="9"/>
  <c r="A4" i="6"/>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43" i="3"/>
  <c r="A42" i="3"/>
  <c r="A41" i="3"/>
  <c r="A40" i="3"/>
  <c r="A39" i="3"/>
  <c r="A38" i="3"/>
  <c r="A31" i="3"/>
  <c r="A30" i="3"/>
  <c r="A29" i="3"/>
  <c r="A28" i="3"/>
  <c r="A27" i="3"/>
  <c r="A26" i="3"/>
  <c r="A13" i="3"/>
  <c r="A12" i="3"/>
  <c r="A11" i="3"/>
  <c r="A10" i="3"/>
  <c r="A9" i="3"/>
  <c r="A8" i="3"/>
  <c r="A7" i="3"/>
  <c r="A6" i="3"/>
  <c r="A5" i="3"/>
  <c r="A4" i="3"/>
  <c r="A3" i="3"/>
  <c r="A2" i="3"/>
  <c r="J903" i="2"/>
  <c r="J902" i="2"/>
  <c r="J901" i="2"/>
  <c r="J900" i="2"/>
  <c r="F900" i="2"/>
  <c r="J899" i="2"/>
  <c r="F899" i="2"/>
  <c r="J898" i="2"/>
  <c r="J897" i="2"/>
  <c r="J896" i="2"/>
  <c r="F896" i="2"/>
  <c r="J895" i="2"/>
  <c r="F895" i="2"/>
  <c r="J894" i="2"/>
  <c r="J886" i="2"/>
  <c r="J885" i="2"/>
  <c r="J884" i="2"/>
  <c r="J883" i="2"/>
  <c r="F883" i="2"/>
  <c r="J882" i="2"/>
  <c r="J881" i="2"/>
  <c r="F881" i="2"/>
  <c r="J880" i="2"/>
  <c r="J879" i="2"/>
  <c r="J878" i="2"/>
  <c r="F878" i="2"/>
  <c r="J877" i="2"/>
  <c r="J876" i="2"/>
  <c r="F876" i="2"/>
  <c r="J875" i="2"/>
  <c r="J867" i="2"/>
  <c r="J866" i="2"/>
  <c r="J865" i="2"/>
  <c r="J864" i="2"/>
  <c r="J863" i="2"/>
  <c r="J862" i="2"/>
  <c r="J861" i="2"/>
  <c r="J860" i="2"/>
  <c r="J859" i="2"/>
  <c r="J858" i="2"/>
  <c r="J857" i="2"/>
  <c r="J856" i="2"/>
  <c r="J855" i="2"/>
  <c r="J854" i="2"/>
  <c r="J853" i="2"/>
  <c r="F853" i="2"/>
  <c r="J852" i="2"/>
  <c r="F852" i="2"/>
  <c r="J851" i="2"/>
  <c r="J850" i="2"/>
  <c r="J849" i="2"/>
  <c r="J848" i="2"/>
  <c r="F848" i="2"/>
  <c r="J847" i="2"/>
  <c r="F847" i="2"/>
  <c r="J846" i="2"/>
  <c r="F846" i="2"/>
  <c r="J845" i="2"/>
  <c r="J844" i="2"/>
  <c r="F844" i="2"/>
  <c r="J843" i="2"/>
  <c r="J842" i="2"/>
  <c r="J841" i="2"/>
  <c r="F841" i="2"/>
  <c r="J840" i="2"/>
  <c r="F840" i="2"/>
  <c r="J839" i="2"/>
  <c r="F839" i="2"/>
  <c r="J838" i="2"/>
  <c r="F838" i="2"/>
  <c r="J837" i="2"/>
  <c r="F837" i="2"/>
  <c r="J836" i="2"/>
  <c r="J835" i="2"/>
  <c r="J834" i="2"/>
  <c r="J833" i="2"/>
  <c r="J832" i="2"/>
  <c r="J831" i="2"/>
  <c r="J830" i="2"/>
  <c r="J829" i="2"/>
  <c r="J828" i="2"/>
  <c r="J827" i="2"/>
  <c r="J826" i="2"/>
  <c r="J825" i="2"/>
  <c r="J824" i="2"/>
  <c r="J823" i="2"/>
  <c r="J822" i="2"/>
  <c r="F822" i="2"/>
  <c r="J821" i="2"/>
  <c r="F821" i="2"/>
  <c r="J820" i="2"/>
  <c r="J819" i="2"/>
  <c r="J818" i="2"/>
  <c r="J817" i="2"/>
  <c r="J816" i="2"/>
  <c r="F816" i="2"/>
  <c r="J815" i="2"/>
  <c r="F815" i="2"/>
  <c r="J814" i="2"/>
  <c r="F814" i="2"/>
  <c r="J813" i="2"/>
  <c r="J812" i="2"/>
  <c r="F812" i="2"/>
  <c r="J811" i="2"/>
  <c r="J810" i="2"/>
  <c r="J809" i="2"/>
  <c r="F809" i="2"/>
  <c r="J808" i="2"/>
  <c r="F808" i="2"/>
  <c r="J807" i="2"/>
  <c r="F807" i="2"/>
  <c r="J806" i="2"/>
  <c r="F806" i="2"/>
  <c r="J805" i="2"/>
  <c r="F805" i="2"/>
  <c r="J804" i="2"/>
  <c r="J803" i="2"/>
  <c r="J802" i="2"/>
  <c r="J801" i="2"/>
  <c r="J800" i="2"/>
  <c r="F800" i="2"/>
  <c r="J799" i="2"/>
  <c r="F799" i="2"/>
  <c r="J798" i="2"/>
  <c r="J797" i="2"/>
  <c r="J796" i="2"/>
  <c r="J795" i="2"/>
  <c r="J794" i="2"/>
  <c r="J793" i="2"/>
  <c r="F793" i="2"/>
  <c r="J792" i="2"/>
  <c r="F792" i="2"/>
  <c r="F867" i="2" s="1"/>
  <c r="J791" i="2"/>
  <c r="F791" i="2"/>
  <c r="J790" i="2"/>
  <c r="F790" i="2"/>
  <c r="J789" i="2"/>
  <c r="F789" i="2"/>
  <c r="J788" i="2"/>
  <c r="J781" i="2"/>
  <c r="J780" i="2"/>
  <c r="J779" i="2"/>
  <c r="J778" i="2"/>
  <c r="J777" i="2"/>
  <c r="J776" i="2"/>
  <c r="J775" i="2"/>
  <c r="J774" i="2"/>
  <c r="J773" i="2"/>
  <c r="J772" i="2"/>
  <c r="J771" i="2"/>
  <c r="J770" i="2"/>
  <c r="J769" i="2"/>
  <c r="F769" i="2"/>
  <c r="J768" i="2"/>
  <c r="F768" i="2"/>
  <c r="J767" i="2"/>
  <c r="J766" i="2"/>
  <c r="J765" i="2"/>
  <c r="J764" i="2"/>
  <c r="J763" i="2"/>
  <c r="J762" i="2"/>
  <c r="F762" i="2"/>
  <c r="J761" i="2"/>
  <c r="F761" i="2"/>
  <c r="J760" i="2"/>
  <c r="F760" i="2"/>
  <c r="J759" i="2"/>
  <c r="J758" i="2"/>
  <c r="J757" i="2"/>
  <c r="J756" i="2"/>
  <c r="J755" i="2"/>
  <c r="J754" i="2"/>
  <c r="J753" i="2"/>
  <c r="J752" i="2"/>
  <c r="J751" i="2"/>
  <c r="J750" i="2"/>
  <c r="J749" i="2"/>
  <c r="J748" i="2"/>
  <c r="J747" i="2"/>
  <c r="J746" i="2"/>
  <c r="F746" i="2"/>
  <c r="J745" i="2"/>
  <c r="F745" i="2"/>
  <c r="J744" i="2"/>
  <c r="J743" i="2"/>
  <c r="J742" i="2"/>
  <c r="J741" i="2"/>
  <c r="J740" i="2"/>
  <c r="J739" i="2"/>
  <c r="F739" i="2"/>
  <c r="J738" i="2"/>
  <c r="F738" i="2"/>
  <c r="J737" i="2"/>
  <c r="F737" i="2"/>
  <c r="J736" i="2"/>
  <c r="J735" i="2"/>
  <c r="J734" i="2"/>
  <c r="F734" i="2"/>
  <c r="J733" i="2"/>
  <c r="F733" i="2"/>
  <c r="J732" i="2"/>
  <c r="J731" i="2"/>
  <c r="J730" i="2"/>
  <c r="J729" i="2"/>
  <c r="J728" i="2"/>
  <c r="J727" i="2"/>
  <c r="J726" i="2"/>
  <c r="J725" i="2"/>
  <c r="F725" i="2"/>
  <c r="F781" i="2" s="1"/>
  <c r="J724" i="2"/>
  <c r="F724" i="2"/>
  <c r="J723" i="2"/>
  <c r="F723" i="2"/>
  <c r="J722" i="2"/>
  <c r="J715" i="2"/>
  <c r="J714" i="2"/>
  <c r="J713" i="2"/>
  <c r="J712" i="2"/>
  <c r="J711" i="2"/>
  <c r="J710" i="2"/>
  <c r="J709" i="2"/>
  <c r="J708" i="2"/>
  <c r="J707" i="2"/>
  <c r="J706" i="2"/>
  <c r="J705" i="2"/>
  <c r="J704" i="2"/>
  <c r="J703" i="2"/>
  <c r="J702" i="2"/>
  <c r="J701" i="2"/>
  <c r="F701" i="2"/>
  <c r="J700" i="2"/>
  <c r="F700" i="2"/>
  <c r="J699" i="2"/>
  <c r="J698" i="2"/>
  <c r="J697" i="2"/>
  <c r="J696" i="2"/>
  <c r="F696" i="2"/>
  <c r="J695" i="2"/>
  <c r="F695" i="2"/>
  <c r="J694" i="2"/>
  <c r="F694" i="2"/>
  <c r="J693" i="2"/>
  <c r="J692" i="2"/>
  <c r="J691" i="2"/>
  <c r="J690" i="2"/>
  <c r="J689" i="2"/>
  <c r="J688" i="2"/>
  <c r="J687" i="2"/>
  <c r="J686" i="2"/>
  <c r="J685" i="2"/>
  <c r="J684" i="2"/>
  <c r="J683" i="2"/>
  <c r="J682" i="2"/>
  <c r="J681" i="2"/>
  <c r="J680" i="2"/>
  <c r="J679" i="2"/>
  <c r="J678" i="2"/>
  <c r="F678" i="2"/>
  <c r="J677" i="2"/>
  <c r="F677" i="2"/>
  <c r="J676" i="2"/>
  <c r="J675" i="2"/>
  <c r="J674" i="2"/>
  <c r="J673" i="2"/>
  <c r="F673" i="2"/>
  <c r="J672" i="2"/>
  <c r="F672" i="2"/>
  <c r="J671" i="2"/>
  <c r="F671" i="2"/>
  <c r="J670" i="2"/>
  <c r="J669" i="2"/>
  <c r="J668" i="2"/>
  <c r="J667" i="2"/>
  <c r="J666" i="2"/>
  <c r="F666" i="2"/>
  <c r="J665" i="2"/>
  <c r="F665" i="2"/>
  <c r="J664" i="2"/>
  <c r="J663" i="2"/>
  <c r="J662" i="2"/>
  <c r="J661" i="2"/>
  <c r="J660" i="2"/>
  <c r="J659" i="2"/>
  <c r="F659" i="2"/>
  <c r="F715" i="2" s="1"/>
  <c r="J658" i="2"/>
  <c r="F658" i="2"/>
  <c r="J657" i="2"/>
  <c r="F657" i="2"/>
  <c r="J449" i="2"/>
  <c r="J448" i="2"/>
  <c r="J447" i="2"/>
  <c r="J446" i="2"/>
  <c r="J445" i="2"/>
  <c r="J444" i="2"/>
  <c r="J443" i="2"/>
  <c r="J442" i="2"/>
  <c r="J441" i="2"/>
  <c r="J440" i="2"/>
  <c r="J439" i="2"/>
  <c r="J438" i="2"/>
  <c r="J437" i="2"/>
  <c r="J436" i="2"/>
  <c r="J435" i="2"/>
  <c r="J434" i="2"/>
  <c r="F434" i="2"/>
  <c r="J433" i="2"/>
  <c r="F433" i="2"/>
  <c r="J432" i="2"/>
  <c r="J431" i="2"/>
  <c r="J430" i="2"/>
  <c r="J429" i="2"/>
  <c r="F429" i="2"/>
  <c r="J428" i="2"/>
  <c r="F428" i="2"/>
  <c r="J427" i="2"/>
  <c r="F427" i="2"/>
  <c r="J426" i="2"/>
  <c r="J425" i="2"/>
  <c r="J424" i="2"/>
  <c r="J423" i="2"/>
  <c r="J422" i="2"/>
  <c r="J421" i="2"/>
  <c r="J420" i="2"/>
  <c r="J419" i="2"/>
  <c r="J418" i="2"/>
  <c r="J417" i="2"/>
  <c r="J416" i="2"/>
  <c r="J415" i="2"/>
  <c r="J414" i="2"/>
  <c r="J413" i="2"/>
  <c r="J412" i="2"/>
  <c r="J411" i="2"/>
  <c r="F411" i="2"/>
  <c r="J410" i="2"/>
  <c r="F410" i="2"/>
  <c r="J409" i="2"/>
  <c r="J408" i="2"/>
  <c r="J407" i="2"/>
  <c r="J406" i="2"/>
  <c r="F406" i="2"/>
  <c r="J405" i="2"/>
  <c r="F405" i="2"/>
  <c r="J404" i="2"/>
  <c r="F404" i="2"/>
  <c r="J403" i="2"/>
  <c r="J402" i="2"/>
  <c r="J401" i="2"/>
  <c r="J400" i="2"/>
  <c r="J399" i="2"/>
  <c r="J398" i="2"/>
  <c r="F398" i="2"/>
  <c r="J397" i="2"/>
  <c r="F397" i="2"/>
  <c r="J396" i="2"/>
  <c r="J395" i="2"/>
  <c r="J394" i="2"/>
  <c r="J393" i="2"/>
  <c r="J392" i="2"/>
  <c r="J391" i="2"/>
  <c r="F391" i="2"/>
  <c r="F449" i="2" s="1"/>
  <c r="J390" i="2"/>
  <c r="F390" i="2"/>
  <c r="J389" i="2"/>
  <c r="F389" i="2"/>
  <c r="J388" i="2"/>
  <c r="J381" i="2"/>
  <c r="J380" i="2"/>
  <c r="J379" i="2"/>
  <c r="J378" i="2"/>
  <c r="J377" i="2"/>
  <c r="J376" i="2"/>
  <c r="J375" i="2"/>
  <c r="J374" i="2"/>
  <c r="J373" i="2"/>
  <c r="J372" i="2"/>
  <c r="J371" i="2"/>
  <c r="J370" i="2"/>
  <c r="J369" i="2"/>
  <c r="J368" i="2"/>
  <c r="J367" i="2"/>
  <c r="F367" i="2"/>
  <c r="J366" i="2"/>
  <c r="F366" i="2"/>
  <c r="J365" i="2"/>
  <c r="J364" i="2"/>
  <c r="J363" i="2"/>
  <c r="J362" i="2"/>
  <c r="J361" i="2"/>
  <c r="J360" i="2"/>
  <c r="J359" i="2"/>
  <c r="F359" i="2"/>
  <c r="J358" i="2"/>
  <c r="J357" i="2"/>
  <c r="J356" i="2"/>
  <c r="J355" i="2"/>
  <c r="J354" i="2"/>
  <c r="F354" i="2"/>
  <c r="J353" i="2"/>
  <c r="F353" i="2"/>
  <c r="J352" i="2"/>
  <c r="J351" i="2"/>
  <c r="J350" i="2"/>
  <c r="J349" i="2"/>
  <c r="J348" i="2"/>
  <c r="J347" i="2"/>
  <c r="J346" i="2"/>
  <c r="J345" i="2"/>
  <c r="J344" i="2"/>
  <c r="F344" i="2"/>
  <c r="J343" i="2"/>
  <c r="F343" i="2"/>
  <c r="J342" i="2"/>
  <c r="J341" i="2"/>
  <c r="J340" i="2"/>
  <c r="J339" i="2"/>
  <c r="J338" i="2"/>
  <c r="J337" i="2"/>
  <c r="J336" i="2"/>
  <c r="F336" i="2"/>
  <c r="J335" i="2"/>
  <c r="J334" i="2"/>
  <c r="J333" i="2"/>
  <c r="J332" i="2"/>
  <c r="J331" i="2"/>
  <c r="J330" i="2"/>
  <c r="J329" i="2"/>
  <c r="F329" i="2"/>
  <c r="J328" i="2"/>
  <c r="F328" i="2"/>
  <c r="J327" i="2"/>
  <c r="J326" i="2"/>
  <c r="J325" i="2"/>
  <c r="J324" i="2"/>
  <c r="J323" i="2"/>
  <c r="J322" i="2"/>
  <c r="J321" i="2"/>
  <c r="J320" i="2"/>
  <c r="J319" i="2"/>
  <c r="F319" i="2"/>
  <c r="F381" i="2" s="1"/>
  <c r="J318" i="2"/>
  <c r="J311" i="2"/>
  <c r="J310" i="2"/>
  <c r="J269" i="2"/>
  <c r="J262" i="2"/>
  <c r="J261" i="2"/>
  <c r="J260" i="2"/>
  <c r="J259" i="2"/>
  <c r="J258" i="2"/>
  <c r="J257" i="2"/>
  <c r="J256" i="2"/>
  <c r="J255" i="2"/>
  <c r="J254" i="2"/>
  <c r="J253" i="2"/>
  <c r="J252" i="2"/>
  <c r="J250" i="2"/>
  <c r="J249" i="2"/>
  <c r="J248" i="2"/>
  <c r="J247" i="2"/>
  <c r="J246" i="2"/>
  <c r="J245" i="2"/>
  <c r="F248" i="2"/>
  <c r="F259" i="2" s="1"/>
  <c r="J244" i="2"/>
  <c r="J243" i="2"/>
  <c r="J242" i="2"/>
  <c r="J241" i="2"/>
  <c r="J240" i="2"/>
  <c r="J239" i="2"/>
  <c r="J238" i="2"/>
  <c r="J231" i="2"/>
  <c r="J230" i="2"/>
  <c r="J229" i="2"/>
  <c r="J228" i="2"/>
  <c r="J227" i="2"/>
  <c r="J226" i="2"/>
  <c r="J225" i="2"/>
  <c r="J224" i="2"/>
  <c r="J223" i="2"/>
  <c r="J222" i="2"/>
  <c r="J221" i="2"/>
  <c r="J220" i="2"/>
  <c r="J219" i="2"/>
  <c r="J218" i="2"/>
  <c r="J217" i="2"/>
  <c r="J216" i="2"/>
  <c r="J215" i="2"/>
  <c r="J214" i="2"/>
  <c r="J213" i="2"/>
  <c r="J212" i="2"/>
  <c r="J211" i="2"/>
  <c r="J210" i="2"/>
  <c r="J209" i="2"/>
  <c r="J208" i="2"/>
  <c r="F236" i="2"/>
  <c r="J207" i="2"/>
  <c r="J206" i="2"/>
  <c r="J205" i="2"/>
  <c r="J204" i="2"/>
  <c r="J203" i="2"/>
  <c r="J202" i="2"/>
  <c r="J201" i="2"/>
  <c r="J200" i="2"/>
  <c r="J199" i="2"/>
  <c r="J198" i="2"/>
  <c r="J197" i="2"/>
  <c r="J196" i="2"/>
  <c r="J195" i="2"/>
  <c r="J194" i="2"/>
  <c r="J193" i="2"/>
  <c r="J127" i="2"/>
  <c r="J120" i="2"/>
  <c r="J119" i="2"/>
  <c r="J118" i="2"/>
  <c r="J117" i="2"/>
  <c r="J116" i="2"/>
  <c r="J115" i="2"/>
  <c r="F117" i="2"/>
  <c r="J114" i="2"/>
  <c r="J113" i="2"/>
  <c r="J112" i="2"/>
  <c r="J111" i="2"/>
  <c r="J110" i="2"/>
  <c r="J109" i="2"/>
  <c r="J108" i="2"/>
  <c r="J107" i="2"/>
  <c r="J106" i="2"/>
  <c r="J105" i="2"/>
  <c r="J103" i="2"/>
  <c r="F103" i="2"/>
  <c r="J101" i="2"/>
  <c r="J98" i="2"/>
  <c r="J97" i="2"/>
  <c r="J96" i="2"/>
  <c r="J95" i="2"/>
  <c r="J94" i="2"/>
  <c r="J93" i="2"/>
  <c r="J90" i="2"/>
  <c r="J89" i="2"/>
  <c r="F89" i="2"/>
  <c r="J87" i="2"/>
  <c r="J85" i="2"/>
  <c r="F85" i="2"/>
  <c r="J84" i="2"/>
  <c r="J83" i="2"/>
  <c r="J82" i="2"/>
  <c r="J81" i="2"/>
  <c r="J80" i="2"/>
  <c r="F80" i="2"/>
  <c r="J78" i="2"/>
  <c r="J76" i="2"/>
  <c r="F76" i="2"/>
  <c r="J75" i="2"/>
  <c r="J74" i="2"/>
  <c r="J73" i="2"/>
  <c r="J72" i="2"/>
  <c r="J71" i="2"/>
  <c r="F71" i="2"/>
  <c r="J69" i="2"/>
  <c r="J67" i="2"/>
  <c r="F67" i="2"/>
  <c r="J66" i="2"/>
  <c r="J65" i="2"/>
  <c r="J64" i="2"/>
  <c r="J63" i="2"/>
  <c r="J62" i="2"/>
  <c r="J59" i="2"/>
  <c r="J58" i="2"/>
  <c r="F58" i="2"/>
  <c r="J57" i="2"/>
  <c r="J56" i="2"/>
  <c r="J55" i="2"/>
  <c r="J54" i="2"/>
  <c r="J53" i="2"/>
  <c r="J52" i="2"/>
  <c r="J51" i="2"/>
  <c r="J50" i="2"/>
  <c r="J49" i="2"/>
  <c r="J48" i="2"/>
  <c r="J47" i="2"/>
  <c r="J46" i="2"/>
  <c r="J45" i="2"/>
  <c r="J43" i="2"/>
  <c r="J42" i="2"/>
  <c r="J41" i="2"/>
  <c r="J40" i="2"/>
  <c r="J39" i="2"/>
  <c r="J38" i="2"/>
  <c r="F38" i="2"/>
  <c r="J37" i="2"/>
  <c r="J36" i="2"/>
  <c r="J33" i="2"/>
  <c r="J32" i="2"/>
  <c r="J31" i="2"/>
  <c r="J30" i="2"/>
  <c r="J29" i="2"/>
  <c r="J28" i="2"/>
  <c r="J27" i="2"/>
  <c r="J26" i="2"/>
  <c r="J24" i="2"/>
  <c r="F24" i="2"/>
  <c r="J23" i="2"/>
  <c r="J21" i="2"/>
  <c r="F21" i="2"/>
  <c r="J20" i="2"/>
  <c r="J19" i="2"/>
  <c r="J18" i="2"/>
  <c r="J17" i="2"/>
  <c r="J16" i="2"/>
  <c r="F16" i="2"/>
  <c r="J14" i="2"/>
  <c r="J12" i="2"/>
  <c r="F12" i="2"/>
  <c r="J11" i="2"/>
  <c r="J10" i="2"/>
  <c r="J9" i="2"/>
  <c r="J8" i="2"/>
  <c r="J7" i="2"/>
  <c r="F7" i="2"/>
  <c r="J5" i="2"/>
  <c r="J3" i="2"/>
  <c r="F3" i="2"/>
  <c r="J2" i="2"/>
  <c r="A2" i="2"/>
  <c r="A38" i="11"/>
  <c r="A37" i="11"/>
  <c r="A36" i="11"/>
  <c r="A32" i="11"/>
  <c r="A31" i="11"/>
  <c r="D29" i="11"/>
  <c r="A29" i="11"/>
  <c r="D28" i="11"/>
  <c r="A28" i="11"/>
  <c r="D27" i="11"/>
  <c r="A27" i="11"/>
  <c r="D25" i="11"/>
  <c r="A25" i="11"/>
  <c r="G13" i="11"/>
  <c r="BM187" i="20" l="1"/>
  <c r="F142" i="2"/>
  <c r="F144" i="2" s="1"/>
  <c r="F150" i="2" s="1"/>
  <c r="F128" i="2"/>
  <c r="F130" i="2" s="1"/>
  <c r="F133" i="2" s="1"/>
  <c r="F186" i="2" s="1"/>
  <c r="F151" i="2"/>
  <c r="F153" i="2" s="1"/>
  <c r="F135" i="2"/>
  <c r="F137" i="2" s="1"/>
  <c r="F141" i="2" s="1"/>
  <c r="F727" i="2"/>
  <c r="F736" i="2" s="1"/>
  <c r="F764" i="2"/>
  <c r="F772" i="2" s="1"/>
  <c r="F751" i="2" s="1"/>
  <c r="F755" i="2" s="1"/>
  <c r="F741" i="2"/>
  <c r="F748" i="2" s="1"/>
  <c r="F786" i="2" s="1"/>
  <c r="M37" i="11" s="1"/>
  <c r="F833" i="2"/>
  <c r="F819" i="2"/>
  <c r="F826" i="2" s="1"/>
  <c r="F851" i="2"/>
  <c r="F857" i="2" s="1"/>
  <c r="F827" i="2" s="1"/>
  <c r="F831" i="2" s="1"/>
  <c r="F796" i="2"/>
  <c r="F803" i="2" s="1"/>
  <c r="F756" i="2"/>
  <c r="F690" i="2"/>
  <c r="F699" i="2"/>
  <c r="F706" i="2" s="1"/>
  <c r="F685" i="2" s="1"/>
  <c r="F689" i="2" s="1"/>
  <c r="F676" i="2"/>
  <c r="F683" i="2" s="1"/>
  <c r="F662" i="2"/>
  <c r="F669" i="2" s="1"/>
  <c r="F721" i="2" s="1"/>
  <c r="N36" i="11" s="1"/>
  <c r="F341" i="2"/>
  <c r="F348" i="2" s="1"/>
  <c r="F324" i="2"/>
  <c r="F334" i="2" s="1"/>
  <c r="F387" i="2" s="1"/>
  <c r="N31" i="11" s="1"/>
  <c r="F47" i="24"/>
  <c r="F364" i="2"/>
  <c r="F371" i="2" s="1"/>
  <c r="F355" i="2"/>
  <c r="F494" i="24"/>
  <c r="F366" i="24"/>
  <c r="F405" i="24"/>
  <c r="F391" i="24"/>
  <c r="F480" i="24"/>
  <c r="F428" i="24"/>
  <c r="F38" i="24"/>
  <c r="F329" i="24"/>
  <c r="F512" i="24"/>
  <c r="F457" i="24"/>
  <c r="F420" i="24"/>
  <c r="F343" i="24"/>
  <c r="F357" i="24"/>
  <c r="F7" i="24"/>
  <c r="F66" i="2"/>
  <c r="F69" i="2" s="1"/>
  <c r="F73" i="2" s="1"/>
  <c r="F121" i="2" s="1"/>
  <c r="F24" i="24"/>
  <c r="F203" i="24"/>
  <c r="F240" i="24"/>
  <c r="F558" i="2"/>
  <c r="F217" i="24"/>
  <c r="F477" i="2"/>
  <c r="F231" i="24"/>
  <c r="F491" i="2"/>
  <c r="F500" i="2"/>
  <c r="F567" i="2"/>
  <c r="F530" i="2"/>
  <c r="F462" i="2"/>
  <c r="F544" i="2"/>
  <c r="F294" i="24"/>
  <c r="F280" i="24"/>
  <c r="F624" i="2"/>
  <c r="F303" i="24"/>
  <c r="F596" i="2"/>
  <c r="F266" i="24"/>
  <c r="F610" i="2"/>
  <c r="F633" i="2"/>
  <c r="F423" i="2"/>
  <c r="F432" i="2"/>
  <c r="F440" i="2" s="1"/>
  <c r="F422" i="2" s="1"/>
  <c r="F409" i="2"/>
  <c r="F415" i="2" s="1"/>
  <c r="F454" i="2" s="1"/>
  <c r="F394" i="2"/>
  <c r="F402" i="2" s="1"/>
  <c r="AX594" i="20"/>
  <c r="AZ526" i="20"/>
  <c r="AX496" i="20"/>
  <c r="AZ491" i="20"/>
  <c r="AX493" i="20"/>
  <c r="AZ427" i="20"/>
  <c r="AY369" i="20"/>
  <c r="AX370" i="20"/>
  <c r="AX346" i="20"/>
  <c r="AX105" i="20"/>
  <c r="AY105" i="20" s="1"/>
  <c r="I27" i="11"/>
  <c r="F237" i="2"/>
  <c r="F87" i="2"/>
  <c r="F96" i="2" s="1"/>
  <c r="F125" i="2" s="1"/>
  <c r="F75" i="2"/>
  <c r="F78" i="2" s="1"/>
  <c r="F2" i="2"/>
  <c r="F547" i="24"/>
  <c r="F552" i="24" s="1"/>
  <c r="F553" i="24" s="1"/>
  <c r="F533" i="24"/>
  <c r="F541" i="24" s="1"/>
  <c r="F542" i="24" s="1"/>
  <c r="F167" i="24"/>
  <c r="F153" i="24"/>
  <c r="F138" i="24"/>
  <c r="F176" i="24"/>
  <c r="F111" i="24"/>
  <c r="F74" i="24"/>
  <c r="F102" i="24"/>
  <c r="F89" i="24"/>
  <c r="BE399" i="20"/>
  <c r="BK352" i="20"/>
  <c r="H31" i="11"/>
  <c r="L31" i="11"/>
  <c r="I31" i="11"/>
  <c r="J31" i="11"/>
  <c r="H34" i="11"/>
  <c r="I34" i="11"/>
  <c r="J34" i="11"/>
  <c r="L34" i="11"/>
  <c r="H33" i="11"/>
  <c r="I33" i="11"/>
  <c r="L33" i="11"/>
  <c r="J33" i="11"/>
  <c r="L29" i="11"/>
  <c r="J36" i="11"/>
  <c r="H32" i="11"/>
  <c r="I28" i="11"/>
  <c r="L28" i="11"/>
  <c r="L37" i="11"/>
  <c r="L25" i="11"/>
  <c r="I36" i="11"/>
  <c r="I38" i="11"/>
  <c r="L35" i="11"/>
  <c r="I32" i="11"/>
  <c r="L32" i="11"/>
  <c r="J38" i="11"/>
  <c r="H36" i="11"/>
  <c r="J27" i="11"/>
  <c r="J35" i="11"/>
  <c r="M29" i="11"/>
  <c r="J28" i="11"/>
  <c r="L36" i="11"/>
  <c r="N27" i="11"/>
  <c r="H38" i="11"/>
  <c r="I35" i="11"/>
  <c r="J29" i="11"/>
  <c r="M35" i="11"/>
  <c r="L27" i="11"/>
  <c r="J32" i="11"/>
  <c r="H37" i="11"/>
  <c r="N35" i="11"/>
  <c r="M27" i="11"/>
  <c r="J37" i="11"/>
  <c r="H35" i="11"/>
  <c r="I29" i="11"/>
  <c r="L38" i="11"/>
  <c r="N29" i="11"/>
  <c r="I37" i="11"/>
  <c r="H29" i="11"/>
  <c r="J26" i="11"/>
  <c r="M26" i="11"/>
  <c r="N26" i="11"/>
  <c r="I26" i="11"/>
  <c r="G26" i="11"/>
  <c r="H28" i="11"/>
  <c r="H27" i="11"/>
  <c r="F32" i="2"/>
  <c r="F34" i="2" s="1"/>
  <c r="F875" i="2"/>
  <c r="F894" i="2"/>
  <c r="F904" i="2" s="1"/>
  <c r="F11" i="2"/>
  <c r="F20" i="2"/>
  <c r="F898" i="2"/>
  <c r="F907" i="2" s="1"/>
  <c r="F880" i="2"/>
  <c r="F890" i="2" s="1"/>
  <c r="L26" i="11" s="1"/>
  <c r="G35" i="11"/>
  <c r="AY158" i="20"/>
  <c r="AX308" i="20"/>
  <c r="AY346" i="20"/>
  <c r="BA17" i="20"/>
  <c r="BB17" i="20" s="1"/>
  <c r="BH478" i="20"/>
  <c r="AZ273" i="20"/>
  <c r="BM190" i="20"/>
  <c r="AZ173" i="20"/>
  <c r="BK15" i="20"/>
  <c r="BE408" i="20"/>
  <c r="BF408" i="20" s="1"/>
  <c r="BL286" i="20"/>
  <c r="AX234" i="20"/>
  <c r="BD379" i="20"/>
  <c r="AX566" i="20"/>
  <c r="AY566" i="20"/>
  <c r="AY18" i="20"/>
  <c r="BD253" i="20"/>
  <c r="AY7" i="20"/>
  <c r="BF11" i="20"/>
  <c r="BM58" i="20"/>
  <c r="AX429" i="20"/>
  <c r="BI43" i="20"/>
  <c r="BK423" i="20"/>
  <c r="AY269" i="20"/>
  <c r="BF566" i="20"/>
  <c r="AY277" i="20"/>
  <c r="BE590" i="20"/>
  <c r="AX96" i="20"/>
  <c r="AY208" i="20"/>
  <c r="AZ279" i="20"/>
  <c r="AY209" i="20"/>
  <c r="BE47" i="20"/>
  <c r="BL88" i="20"/>
  <c r="BN113" i="20"/>
  <c r="BH523" i="20"/>
  <c r="BD412" i="20"/>
  <c r="BM111" i="20"/>
  <c r="AY295" i="20"/>
  <c r="BK434" i="20"/>
  <c r="AY213" i="20"/>
  <c r="AZ255" i="20"/>
  <c r="AY99" i="20"/>
  <c r="AY275" i="20"/>
  <c r="BM391" i="20"/>
  <c r="BK79" i="20"/>
  <c r="AZ230" i="20"/>
  <c r="BB558" i="20"/>
  <c r="AX310" i="20"/>
  <c r="AX334" i="20"/>
  <c r="BL603" i="20"/>
  <c r="BD416" i="20"/>
  <c r="AY247" i="20"/>
  <c r="BE588" i="20"/>
  <c r="AY30" i="20"/>
  <c r="BL54" i="20"/>
  <c r="BG493" i="20"/>
  <c r="BK184" i="20"/>
  <c r="BL161" i="20"/>
  <c r="BK18" i="20"/>
  <c r="BM472" i="20"/>
  <c r="AX72" i="20"/>
  <c r="BK188" i="20"/>
  <c r="BG50" i="20"/>
  <c r="AX303" i="20"/>
  <c r="BK289" i="20"/>
  <c r="BE377" i="20"/>
  <c r="BL19" i="20"/>
  <c r="BK297" i="20"/>
  <c r="BM110" i="20"/>
  <c r="AY271" i="20"/>
  <c r="BD45" i="20"/>
  <c r="BD370" i="20"/>
  <c r="BA186" i="20"/>
  <c r="BM55" i="20"/>
  <c r="AZ146" i="20"/>
  <c r="BM80" i="20"/>
  <c r="BD347" i="20"/>
  <c r="AX47" i="20"/>
  <c r="AY47" i="20" s="1"/>
  <c r="BB241" i="20"/>
  <c r="BE381" i="20"/>
  <c r="BN56" i="20"/>
  <c r="BK162" i="20"/>
  <c r="BB554" i="20"/>
  <c r="BF52" i="20"/>
  <c r="AZ333" i="20"/>
  <c r="BL91" i="20"/>
  <c r="BB556" i="20"/>
  <c r="BE300" i="20"/>
  <c r="BM53" i="20"/>
  <c r="AX106" i="20"/>
  <c r="BA92" i="20"/>
  <c r="BD375" i="20"/>
  <c r="BN358" i="20"/>
  <c r="BF366" i="20"/>
  <c r="BM114" i="20"/>
  <c r="AY138" i="20"/>
  <c r="AX243" i="20"/>
  <c r="AX329" i="20"/>
  <c r="BD469" i="20"/>
  <c r="BL263" i="20"/>
  <c r="AY123" i="20"/>
  <c r="BN509" i="20"/>
  <c r="BL169" i="20"/>
  <c r="BF46" i="20"/>
  <c r="BM120" i="20"/>
  <c r="AZ167" i="20"/>
  <c r="BA86" i="20"/>
  <c r="BL271" i="20"/>
  <c r="AX601" i="20"/>
  <c r="AX91" i="20"/>
  <c r="BO118" i="20"/>
  <c r="BB604" i="20"/>
  <c r="AZ355" i="20"/>
  <c r="BK453" i="20"/>
  <c r="BA155" i="20"/>
  <c r="BM586" i="20"/>
  <c r="BN315" i="20"/>
  <c r="BK22" i="20"/>
  <c r="AZ158" i="20"/>
  <c r="AX428" i="20"/>
  <c r="AZ65" i="20"/>
  <c r="BN112" i="20"/>
  <c r="BM191" i="20"/>
  <c r="BK445" i="20"/>
  <c r="AY488" i="20"/>
  <c r="BD374" i="20"/>
  <c r="BD422" i="20"/>
  <c r="AZ14" i="20"/>
  <c r="AZ149" i="20"/>
  <c r="BG476" i="20"/>
  <c r="BB238" i="20"/>
  <c r="BK359" i="20"/>
  <c r="AX599" i="20"/>
  <c r="AY336" i="20"/>
  <c r="BL571" i="20"/>
  <c r="BL530" i="20"/>
  <c r="AZ60" i="20"/>
  <c r="BL574" i="20"/>
  <c r="BL172" i="20"/>
  <c r="BL20" i="20"/>
  <c r="AZ156" i="20"/>
  <c r="AY474" i="20"/>
  <c r="BD44" i="20"/>
  <c r="BJ427" i="20"/>
  <c r="BG486" i="20"/>
  <c r="BF593" i="20"/>
  <c r="BK451" i="20"/>
  <c r="BL437" i="20"/>
  <c r="BO281" i="20"/>
  <c r="AY35" i="20"/>
  <c r="BL354" i="20"/>
  <c r="AZ66" i="20"/>
  <c r="BA161" i="20"/>
  <c r="AX101" i="20"/>
  <c r="BM204" i="20"/>
  <c r="AZ69" i="20"/>
  <c r="AY499" i="20"/>
  <c r="BM125" i="20"/>
  <c r="BO282" i="20"/>
  <c r="BA222" i="20"/>
  <c r="BG490" i="20"/>
  <c r="BL21" i="20"/>
  <c r="AZ81" i="20"/>
  <c r="AX399" i="20"/>
  <c r="BK447" i="20"/>
  <c r="BL165" i="20"/>
  <c r="BK149" i="20"/>
  <c r="AY164" i="20"/>
  <c r="BH428" i="20"/>
  <c r="AY576" i="20"/>
  <c r="BI499" i="20"/>
  <c r="AZ307" i="20"/>
  <c r="BL86" i="20"/>
  <c r="BL121" i="20"/>
  <c r="BE348" i="20"/>
  <c r="AY211" i="20"/>
  <c r="BA21" i="20"/>
  <c r="BK83" i="20"/>
  <c r="BA122" i="20"/>
  <c r="BN320" i="20"/>
  <c r="BB217" i="20"/>
  <c r="BD543" i="20"/>
  <c r="AY567" i="20"/>
  <c r="AZ28" i="20"/>
  <c r="AY126" i="20"/>
  <c r="AY409" i="20"/>
  <c r="BG549" i="20"/>
  <c r="BC470" i="20"/>
  <c r="BF568" i="20"/>
  <c r="AZ178" i="20"/>
  <c r="AX233" i="20"/>
  <c r="BM444" i="20"/>
  <c r="BL145" i="20"/>
  <c r="AY524" i="20"/>
  <c r="AZ179" i="20"/>
  <c r="BL64" i="20"/>
  <c r="BL259" i="20"/>
  <c r="AX485" i="20"/>
  <c r="BN545" i="20"/>
  <c r="BB473" i="20"/>
  <c r="BL388" i="20"/>
  <c r="BN291" i="20"/>
  <c r="BA148" i="20"/>
  <c r="AZ534" i="20"/>
  <c r="BL355" i="20"/>
  <c r="AZ177" i="20"/>
  <c r="AZ74" i="20"/>
  <c r="BL290" i="20"/>
  <c r="BE372" i="20"/>
  <c r="AZ84" i="20"/>
  <c r="BG492" i="20"/>
  <c r="BD440" i="20"/>
  <c r="AY602" i="20"/>
  <c r="BL600" i="20"/>
  <c r="AY365" i="20"/>
  <c r="BK455" i="20"/>
  <c r="BK144" i="20"/>
  <c r="BA259" i="20"/>
  <c r="AY9" i="20"/>
  <c r="AZ411" i="20"/>
  <c r="BP598" i="20"/>
  <c r="BL133" i="20"/>
  <c r="BL130" i="20"/>
  <c r="BM393" i="20"/>
  <c r="AY494" i="20"/>
  <c r="AX343" i="20"/>
  <c r="BA162" i="20"/>
  <c r="AZ523" i="20"/>
  <c r="BL364" i="20"/>
  <c r="AY41" i="20"/>
  <c r="BL357" i="20"/>
  <c r="AY304" i="20"/>
  <c r="AY361" i="20"/>
  <c r="BC514" i="20"/>
  <c r="BB563" i="20"/>
  <c r="BL170" i="20"/>
  <c r="BA577" i="20"/>
  <c r="AZ284" i="20"/>
  <c r="BM438" i="20"/>
  <c r="AZ87" i="20"/>
  <c r="AY22" i="20"/>
  <c r="BM124" i="20"/>
  <c r="AY492" i="20"/>
  <c r="BM132" i="20"/>
  <c r="AY6" i="20"/>
  <c r="AX97" i="20"/>
  <c r="BM546" i="20"/>
  <c r="AY446" i="20"/>
  <c r="AZ446" i="20" s="1"/>
  <c r="BA446" i="20" s="1"/>
  <c r="BB446" i="20" s="1"/>
  <c r="BC446" i="20" s="1"/>
  <c r="BD446" i="20" s="1"/>
  <c r="AY131" i="20"/>
  <c r="AX478" i="20"/>
  <c r="AY207" i="20"/>
  <c r="AX344" i="20"/>
  <c r="AY344" i="20"/>
  <c r="BB78" i="20"/>
  <c r="BD552" i="20"/>
  <c r="AY319" i="20"/>
  <c r="BM192" i="20"/>
  <c r="BA513" i="20"/>
  <c r="BF445" i="20"/>
  <c r="BE445" i="20"/>
  <c r="BD544" i="20"/>
  <c r="AX11" i="20"/>
  <c r="AY11" i="20" s="1"/>
  <c r="AZ159" i="20"/>
  <c r="BD380" i="20"/>
  <c r="AX521" i="20"/>
  <c r="BL273" i="20"/>
  <c r="BL597" i="20"/>
  <c r="BL151" i="20"/>
  <c r="AY286" i="20"/>
  <c r="BG346" i="20"/>
  <c r="AX32" i="20"/>
  <c r="AZ136" i="20"/>
  <c r="AX600" i="20"/>
  <c r="BB596" i="20"/>
  <c r="BN313" i="20"/>
  <c r="AZ143" i="20"/>
  <c r="BN314" i="20"/>
  <c r="BF567" i="20"/>
  <c r="AX43" i="20"/>
  <c r="AY43" i="20"/>
  <c r="BM200" i="20"/>
  <c r="BK77" i="20"/>
  <c r="AZ67" i="20"/>
  <c r="BN187" i="20"/>
  <c r="AZ613" i="20"/>
  <c r="BN386" i="20"/>
  <c r="BE410" i="20"/>
  <c r="AZ244" i="20"/>
  <c r="BA337" i="20"/>
  <c r="AY242" i="20"/>
  <c r="AX45" i="20"/>
  <c r="BK276" i="20"/>
  <c r="BL458" i="20"/>
  <c r="BG504" i="20"/>
  <c r="AX212" i="20"/>
  <c r="BK174" i="20"/>
  <c r="AZ151" i="20"/>
  <c r="AY214" i="20"/>
  <c r="AX40" i="20"/>
  <c r="AY40" i="20" s="1"/>
  <c r="BE417" i="20"/>
  <c r="BE541" i="20"/>
  <c r="AY358" i="20"/>
  <c r="BK258" i="20"/>
  <c r="BL529" i="20"/>
  <c r="AZ274" i="20"/>
  <c r="BK602" i="20"/>
  <c r="BM122" i="20"/>
  <c r="AY407" i="20"/>
  <c r="BL433" i="20"/>
  <c r="BL442" i="20"/>
  <c r="BF591" i="20"/>
  <c r="BL448" i="20"/>
  <c r="BL595" i="20"/>
  <c r="BF369" i="20"/>
  <c r="BL462" i="20"/>
  <c r="BM417" i="20"/>
  <c r="BA261" i="20"/>
  <c r="AZ180" i="20"/>
  <c r="AY288" i="20"/>
  <c r="AY484" i="20"/>
  <c r="BK272" i="20"/>
  <c r="AZ256" i="20"/>
  <c r="BM193" i="20"/>
  <c r="AY393" i="20"/>
  <c r="BI39" i="20"/>
  <c r="BL70" i="20"/>
  <c r="AY308" i="20"/>
  <c r="BD343" i="20"/>
  <c r="BM78" i="20"/>
  <c r="BA219" i="20"/>
  <c r="AX335" i="20"/>
  <c r="BK168" i="20"/>
  <c r="BE349" i="20"/>
  <c r="BL424" i="20"/>
  <c r="BK454" i="20"/>
  <c r="BE542" i="20"/>
  <c r="BN126" i="20"/>
  <c r="AZ519" i="20"/>
  <c r="BM471" i="20"/>
  <c r="BM202" i="20"/>
  <c r="BD545" i="20"/>
  <c r="AZ190" i="20"/>
  <c r="BK441" i="20"/>
  <c r="AZ70" i="20"/>
  <c r="BK449" i="20"/>
  <c r="AY109" i="20"/>
  <c r="BM141" i="20"/>
  <c r="BL179" i="20"/>
  <c r="BM587" i="20"/>
  <c r="BG501" i="20"/>
  <c r="BL397" i="20"/>
  <c r="AY419" i="20"/>
  <c r="AZ419" i="20" s="1"/>
  <c r="BA419" i="20" s="1"/>
  <c r="BB419" i="20" s="1"/>
  <c r="BC419" i="20" s="1"/>
  <c r="AX278" i="20"/>
  <c r="BM599" i="20"/>
  <c r="BB140" i="20"/>
  <c r="BL360" i="20"/>
  <c r="AY564" i="20"/>
  <c r="BL459" i="20"/>
  <c r="BL573" i="20"/>
  <c r="BF405" i="20"/>
  <c r="AY396" i="20"/>
  <c r="BL152" i="20"/>
  <c r="AX406" i="20"/>
  <c r="AY406" i="20" s="1"/>
  <c r="AX94" i="20"/>
  <c r="BO507" i="20"/>
  <c r="BA224" i="20"/>
  <c r="BG498" i="20"/>
  <c r="BA75" i="20"/>
  <c r="BD419" i="20"/>
  <c r="BM439" i="20"/>
  <c r="BK262" i="20"/>
  <c r="AZ229" i="20"/>
  <c r="BM59" i="20"/>
  <c r="AY302" i="20"/>
  <c r="AY497" i="20"/>
  <c r="BE415" i="20"/>
  <c r="BF415" i="20" s="1"/>
  <c r="BE371" i="20"/>
  <c r="AY127" i="20"/>
  <c r="BA239" i="20"/>
  <c r="BI426" i="20"/>
  <c r="BL189" i="20"/>
  <c r="AY568" i="20"/>
  <c r="AZ83" i="20"/>
  <c r="AZ364" i="20"/>
  <c r="BN508" i="20"/>
  <c r="BB342" i="20"/>
  <c r="BE539" i="20"/>
  <c r="AX33" i="20"/>
  <c r="AZ354" i="20"/>
  <c r="BK180" i="20"/>
  <c r="BH485" i="20"/>
  <c r="BH36" i="20"/>
  <c r="BI37" i="20"/>
  <c r="BN115" i="20"/>
  <c r="BD420" i="20"/>
  <c r="BB465" i="20"/>
  <c r="BL157" i="20"/>
  <c r="BA512" i="20"/>
  <c r="BA610" i="20"/>
  <c r="BG475" i="20"/>
  <c r="AZ128" i="20"/>
  <c r="BA297" i="20"/>
  <c r="AX562" i="20"/>
  <c r="AZ182" i="20"/>
  <c r="BM198" i="20"/>
  <c r="BK14" i="20"/>
  <c r="BL389" i="20"/>
  <c r="BM288" i="20"/>
  <c r="BL352" i="20"/>
  <c r="BK398" i="20"/>
  <c r="AX426" i="20"/>
  <c r="BM559" i="20"/>
  <c r="AZ125" i="20"/>
  <c r="AZ27" i="20"/>
  <c r="BK154" i="20"/>
  <c r="BE548" i="20"/>
  <c r="BL418" i="20"/>
  <c r="AZ64" i="20"/>
  <c r="BA301" i="20"/>
  <c r="BE13" i="20"/>
  <c r="AY405" i="20"/>
  <c r="BA184" i="20"/>
  <c r="AX505" i="20"/>
  <c r="AZ95" i="20"/>
  <c r="BL156" i="20"/>
  <c r="BN296" i="20"/>
  <c r="BL164" i="20"/>
  <c r="BL470" i="20"/>
  <c r="AY154" i="20"/>
  <c r="AY363" i="20"/>
  <c r="AY150" i="20"/>
  <c r="AZ16" i="20"/>
  <c r="BM383" i="20"/>
  <c r="BD414" i="20"/>
  <c r="AZ264" i="20"/>
  <c r="BK469" i="20"/>
  <c r="AY189" i="20"/>
  <c r="BL175" i="20"/>
  <c r="AY153" i="20"/>
  <c r="BE403" i="20"/>
  <c r="AX579" i="20"/>
  <c r="BA221" i="20"/>
  <c r="AZ172" i="20"/>
  <c r="BL461" i="20"/>
  <c r="BF252" i="20"/>
  <c r="BH488" i="20"/>
  <c r="AX216" i="20"/>
  <c r="BL468" i="20"/>
  <c r="BL123" i="20"/>
  <c r="BM560" i="20"/>
  <c r="BN166" i="20"/>
  <c r="BK457" i="20"/>
  <c r="BM199" i="20"/>
  <c r="AY595" i="20"/>
  <c r="BK260" i="20"/>
  <c r="BN390" i="20"/>
  <c r="BG479" i="20"/>
  <c r="AX330" i="20"/>
  <c r="AY549" i="20"/>
  <c r="AX139" i="20"/>
  <c r="BK67" i="20"/>
  <c r="AX10" i="20"/>
  <c r="AX235" i="20"/>
  <c r="BI38" i="20"/>
  <c r="BL351" i="20"/>
  <c r="BN167" i="20"/>
  <c r="AY152" i="20"/>
  <c r="BN87" i="20"/>
  <c r="BL185" i="20"/>
  <c r="AX326" i="20"/>
  <c r="AY377" i="20"/>
  <c r="BM194" i="20"/>
  <c r="BA491" i="20"/>
  <c r="BB491" i="20" s="1"/>
  <c r="BC491" i="20" s="1"/>
  <c r="BD491" i="20" s="1"/>
  <c r="BE491" i="20" s="1"/>
  <c r="BF491" i="20" s="1"/>
  <c r="BA142" i="20"/>
  <c r="BF406" i="20"/>
  <c r="BA171" i="20"/>
  <c r="BD413" i="20"/>
  <c r="AY475" i="20"/>
  <c r="AY168" i="20"/>
  <c r="BF378" i="20"/>
  <c r="BA535" i="20"/>
  <c r="AX373" i="20"/>
  <c r="AY373" i="20"/>
  <c r="BK16" i="20"/>
  <c r="AX309" i="20"/>
  <c r="BL265" i="20"/>
  <c r="AZ77" i="20"/>
  <c r="BK465" i="20"/>
  <c r="BL394" i="20"/>
  <c r="AX503" i="20"/>
  <c r="AZ489" i="20"/>
  <c r="BA289" i="20"/>
  <c r="BK153" i="20"/>
  <c r="BA612" i="20"/>
  <c r="BB226" i="20"/>
  <c r="BK361" i="20"/>
  <c r="BM201" i="20"/>
  <c r="AZ147" i="20"/>
  <c r="AZ218" i="20"/>
  <c r="AZ306" i="20"/>
  <c r="BK171" i="20"/>
  <c r="BE443" i="20"/>
  <c r="BF443" i="20" s="1"/>
  <c r="BK71" i="20"/>
  <c r="AZ157" i="20"/>
  <c r="AX250" i="20"/>
  <c r="BF399" i="20"/>
  <c r="BL527" i="20"/>
  <c r="BH494" i="20"/>
  <c r="BI42" i="20"/>
  <c r="BN322" i="20"/>
  <c r="BD421" i="20"/>
  <c r="BE382" i="20"/>
  <c r="AZ62" i="20"/>
  <c r="BL129" i="20"/>
  <c r="AY185" i="20"/>
  <c r="AX134" i="20"/>
  <c r="BA291" i="20"/>
  <c r="BL463" i="20"/>
  <c r="BE537" i="20"/>
  <c r="BA608" i="20"/>
  <c r="BA267" i="20"/>
  <c r="BL267" i="20"/>
  <c r="BK183" i="20"/>
  <c r="BN321" i="20"/>
  <c r="AY104" i="20"/>
  <c r="AY402" i="20"/>
  <c r="BL542" i="20"/>
  <c r="AX502" i="20"/>
  <c r="BE551" i="20"/>
  <c r="BF551" i="20" s="1"/>
  <c r="BC471" i="20"/>
  <c r="BM584" i="20"/>
  <c r="BL431" i="20"/>
  <c r="BL158" i="20"/>
  <c r="AZ120" i="20"/>
  <c r="BD441" i="20"/>
  <c r="AY597" i="20"/>
  <c r="BL163" i="20"/>
  <c r="BI489" i="20"/>
  <c r="BK65" i="20"/>
  <c r="AZ360" i="20"/>
  <c r="AZ614" i="20"/>
  <c r="BM196" i="20"/>
  <c r="AZ299" i="20"/>
  <c r="AZ141" i="20"/>
  <c r="BA240" i="20"/>
  <c r="AZ85" i="20"/>
  <c r="AY23" i="20"/>
  <c r="BA328" i="20"/>
  <c r="BN317" i="20"/>
  <c r="BA285" i="20"/>
  <c r="BM387" i="20"/>
  <c r="BK543" i="20"/>
  <c r="AY228" i="20"/>
  <c r="BM582" i="20"/>
  <c r="BH503" i="20"/>
  <c r="BK143" i="20"/>
  <c r="BL572" i="20"/>
  <c r="BH48" i="20"/>
  <c r="BK396" i="20"/>
  <c r="AY501" i="20"/>
  <c r="BC472" i="20"/>
  <c r="BL356" i="20"/>
  <c r="BK160" i="20"/>
  <c r="BC555" i="20"/>
  <c r="BF446" i="20"/>
  <c r="BE446" i="20"/>
  <c r="AZ61" i="20"/>
  <c r="BA124" i="20"/>
  <c r="BL186" i="20"/>
  <c r="AZ276" i="20"/>
  <c r="BH526" i="20"/>
  <c r="BK294" i="20"/>
  <c r="BD344" i="20"/>
  <c r="BL275" i="20"/>
  <c r="BM147" i="20"/>
  <c r="AZ262" i="20"/>
  <c r="BM443" i="20"/>
  <c r="AX103" i="20"/>
  <c r="AZ318" i="20"/>
  <c r="BA130" i="20"/>
  <c r="AX480" i="20"/>
  <c r="AX482" i="20"/>
  <c r="BB609" i="20"/>
  <c r="AZ59" i="20"/>
  <c r="AZ176" i="20"/>
  <c r="BK594" i="20"/>
  <c r="BH483" i="20"/>
  <c r="AZ486" i="20"/>
  <c r="BK596" i="20"/>
  <c r="BD251" i="20"/>
  <c r="BL416" i="20"/>
  <c r="AX533" i="20"/>
  <c r="BE368" i="20"/>
  <c r="BF540" i="20"/>
  <c r="AY236" i="20"/>
  <c r="BE400" i="20"/>
  <c r="BI525" i="20"/>
  <c r="AZ181" i="20"/>
  <c r="AZ517" i="20"/>
  <c r="BH40" i="20"/>
  <c r="AZ135" i="20"/>
  <c r="AZ356" i="20"/>
  <c r="BE418" i="20"/>
  <c r="BF418" i="20" s="1"/>
  <c r="BM606" i="20"/>
  <c r="AZ175" i="20"/>
  <c r="AX107" i="20"/>
  <c r="AZ327" i="20"/>
  <c r="AZ68" i="20"/>
  <c r="AZ160" i="20"/>
  <c r="BE550" i="20"/>
  <c r="AY169" i="20"/>
  <c r="AZ516" i="20"/>
  <c r="BB144" i="20"/>
  <c r="BI521" i="20"/>
  <c r="BC560" i="20"/>
  <c r="AX89" i="20"/>
  <c r="AY394" i="20"/>
  <c r="BK473" i="20"/>
  <c r="BG496" i="20"/>
  <c r="BA232" i="20"/>
  <c r="BC515" i="20"/>
  <c r="AZ20" i="20"/>
  <c r="AY129" i="20"/>
  <c r="BK85" i="20"/>
  <c r="BM466" i="20"/>
  <c r="BM607" i="20"/>
  <c r="AZ79" i="20"/>
  <c r="AX483" i="20"/>
  <c r="AY31" i="20"/>
  <c r="AZ102" i="20"/>
  <c r="BC223" i="20"/>
  <c r="AZ325" i="20"/>
  <c r="AZ231" i="20"/>
  <c r="AZ174" i="20"/>
  <c r="AY603" i="20"/>
  <c r="BL395" i="20"/>
  <c r="BA205" i="20"/>
  <c r="AZ561" i="20"/>
  <c r="AZ63" i="20"/>
  <c r="BF407" i="20"/>
  <c r="AZ598" i="20"/>
  <c r="AX305" i="20"/>
  <c r="BK363" i="20"/>
  <c r="BK89" i="20"/>
  <c r="AZ268" i="20"/>
  <c r="BL261" i="20"/>
  <c r="BL440" i="20"/>
  <c r="BK119" i="20"/>
  <c r="BG491" i="20"/>
  <c r="AX51" i="20"/>
  <c r="BH500" i="20"/>
  <c r="AZ257" i="20"/>
  <c r="BA166" i="20"/>
  <c r="BL269" i="20"/>
  <c r="AZ272" i="20"/>
  <c r="AY495" i="20"/>
  <c r="AZ280" i="20"/>
  <c r="R5" i="20"/>
  <c r="AY5" i="20"/>
  <c r="AZ350" i="20"/>
  <c r="AZ76" i="20"/>
  <c r="BK146" i="20"/>
  <c r="AY359" i="20"/>
  <c r="BM422" i="20"/>
  <c r="AY605" i="20"/>
  <c r="BK274" i="20"/>
  <c r="BM90" i="20"/>
  <c r="AY395" i="20"/>
  <c r="BK182" i="20"/>
  <c r="BK420" i="20"/>
  <c r="AZ80" i="20"/>
  <c r="BL384" i="20"/>
  <c r="AZ520" i="20"/>
  <c r="BI41" i="20"/>
  <c r="AY487" i="20"/>
  <c r="BK69" i="20"/>
  <c r="BK81" i="20"/>
  <c r="AX38" i="20"/>
  <c r="AY38" i="20" s="1"/>
  <c r="AY121" i="20"/>
  <c r="BM197" i="20"/>
  <c r="BA258" i="20"/>
  <c r="AZ341" i="20"/>
  <c r="AX340" i="20"/>
  <c r="BH505" i="20"/>
  <c r="AZ90" i="20"/>
  <c r="BK178" i="20"/>
  <c r="AZ464" i="20"/>
  <c r="BM195" i="20"/>
  <c r="AZ331" i="20"/>
  <c r="AZ362" i="20"/>
  <c r="BI430" i="20"/>
  <c r="BK421" i="20"/>
  <c r="BH373" i="20"/>
  <c r="BA237" i="20"/>
  <c r="AY477" i="20"/>
  <c r="BK127" i="20"/>
  <c r="BN414" i="20"/>
  <c r="AX532" i="20"/>
  <c r="BN510" i="20"/>
  <c r="BA73" i="20"/>
  <c r="BK268" i="20"/>
  <c r="BG409" i="20"/>
  <c r="BI482" i="20"/>
  <c r="BL544" i="20"/>
  <c r="AZ29" i="20"/>
  <c r="AZ188" i="20"/>
  <c r="BF589" i="20"/>
  <c r="BN82" i="20"/>
  <c r="BC559" i="20"/>
  <c r="BK266" i="20"/>
  <c r="AX349" i="20"/>
  <c r="AY349" i="20"/>
  <c r="BM432" i="20"/>
  <c r="AY479" i="20"/>
  <c r="BK604" i="20"/>
  <c r="BO419" i="20"/>
  <c r="BE444" i="20"/>
  <c r="BA263" i="20"/>
  <c r="BK270" i="20"/>
  <c r="BO456" i="20"/>
  <c r="BE546" i="20"/>
  <c r="BM203" i="20"/>
  <c r="AZ24" i="20"/>
  <c r="BL601" i="20"/>
  <c r="BL17" i="20"/>
  <c r="BM605" i="20"/>
  <c r="BB220" i="20"/>
  <c r="BN323" i="20"/>
  <c r="BK76" i="20"/>
  <c r="AZ227" i="20"/>
  <c r="BL362" i="20"/>
  <c r="BM286" i="20"/>
  <c r="BI429" i="20"/>
  <c r="AY225" i="20"/>
  <c r="BE569" i="20"/>
  <c r="AZ606" i="20"/>
  <c r="AZ183" i="20"/>
  <c r="AX430" i="20"/>
  <c r="BN117" i="20"/>
  <c r="BL528" i="20"/>
  <c r="BL257" i="20"/>
  <c r="BB467" i="20"/>
  <c r="BF401" i="20"/>
  <c r="BE376" i="20"/>
  <c r="AZ352" i="20"/>
  <c r="AZ132" i="20"/>
  <c r="AY165" i="20"/>
  <c r="BB581" i="20"/>
  <c r="BH480" i="20"/>
  <c r="BL177" i="20"/>
  <c r="AY46" i="20"/>
  <c r="BF423" i="20"/>
  <c r="BL295" i="20"/>
  <c r="BK181" i="20"/>
  <c r="BN316" i="20"/>
  <c r="AY133" i="20"/>
  <c r="BC468" i="20"/>
  <c r="BA611" i="20"/>
  <c r="BL551" i="20"/>
  <c r="BL159" i="20"/>
  <c r="BK413" i="20"/>
  <c r="AZ357" i="20"/>
  <c r="BK264" i="20"/>
  <c r="AZ522" i="20"/>
  <c r="BH487" i="20"/>
  <c r="BK176" i="20"/>
  <c r="BL353" i="20"/>
  <c r="BM436" i="20"/>
  <c r="AY287" i="20"/>
  <c r="BK131" i="20"/>
  <c r="AY100" i="20"/>
  <c r="BE442" i="20"/>
  <c r="BF442" i="20"/>
  <c r="AX575" i="20"/>
  <c r="AX481" i="20"/>
  <c r="BI522" i="20"/>
  <c r="BM116" i="20"/>
  <c r="BK467" i="20"/>
  <c r="BK365" i="20"/>
  <c r="BE49" i="20"/>
  <c r="AY12" i="20"/>
  <c r="BA511" i="20"/>
  <c r="BF538" i="20"/>
  <c r="BA163" i="20"/>
  <c r="AY296" i="20"/>
  <c r="AZ351" i="20"/>
  <c r="BG484" i="20"/>
  <c r="BL142" i="20"/>
  <c r="AZ260" i="20"/>
  <c r="BJ425" i="20"/>
  <c r="AZ254" i="20"/>
  <c r="BL66" i="20"/>
  <c r="AZ397" i="20"/>
  <c r="AZ8" i="20"/>
  <c r="BL287" i="20"/>
  <c r="AY245" i="20"/>
  <c r="BL553" i="20"/>
  <c r="AX34" i="20"/>
  <c r="AZ270" i="20"/>
  <c r="AZ145" i="20"/>
  <c r="AY293" i="20"/>
  <c r="BH502" i="20"/>
  <c r="AX607" i="20"/>
  <c r="BK148" i="20"/>
  <c r="BF345" i="20"/>
  <c r="BC518" i="20"/>
  <c r="BM547" i="20"/>
  <c r="AY338" i="20"/>
  <c r="BA265" i="20"/>
  <c r="BI524" i="20"/>
  <c r="BH497" i="20"/>
  <c r="AZ404" i="20"/>
  <c r="AY98" i="20"/>
  <c r="BL531" i="20"/>
  <c r="BK552" i="20"/>
  <c r="AX246" i="20"/>
  <c r="BB294" i="20"/>
  <c r="AY498" i="20"/>
  <c r="BN506" i="20"/>
  <c r="BA119" i="20"/>
  <c r="AY108" i="20"/>
  <c r="AY215" i="20"/>
  <c r="AY290" i="20"/>
  <c r="BD553" i="20"/>
  <c r="AX36" i="20"/>
  <c r="AY36" i="20" s="1"/>
  <c r="BA580" i="20"/>
  <c r="BD448" i="20"/>
  <c r="BE570" i="20"/>
  <c r="BG477" i="20"/>
  <c r="BO283" i="20"/>
  <c r="BM435" i="20"/>
  <c r="AY26" i="20"/>
  <c r="BF367" i="20"/>
  <c r="AZ504" i="20"/>
  <c r="AZ311" i="20"/>
  <c r="BC466" i="20"/>
  <c r="BN57" i="20"/>
  <c r="BN385" i="20"/>
  <c r="BM583" i="20"/>
  <c r="BL460" i="20"/>
  <c r="AZ266" i="20"/>
  <c r="BC557" i="20"/>
  <c r="BD536" i="20"/>
  <c r="AY578" i="20"/>
  <c r="BE12" i="20"/>
  <c r="BM285" i="20"/>
  <c r="BA339" i="20"/>
  <c r="BK450" i="20"/>
  <c r="AX298" i="20"/>
  <c r="AY25" i="20"/>
  <c r="AY170" i="20"/>
  <c r="AX292" i="20"/>
  <c r="AZ82" i="20"/>
  <c r="AY476" i="20"/>
  <c r="AZ565" i="20"/>
  <c r="AX206" i="20"/>
  <c r="BK63" i="20"/>
  <c r="BA187" i="20"/>
  <c r="BM585" i="20"/>
  <c r="BM415" i="20"/>
  <c r="AX500" i="20"/>
  <c r="BL350" i="20"/>
  <c r="BM452" i="20"/>
  <c r="BL173" i="20"/>
  <c r="BL128" i="20"/>
  <c r="AZ248" i="20"/>
  <c r="AX372" i="20"/>
  <c r="BL150" i="20"/>
  <c r="AZ332" i="20"/>
  <c r="AX252" i="20"/>
  <c r="BN84" i="20"/>
  <c r="AY249" i="20"/>
  <c r="AY88" i="20"/>
  <c r="BG474" i="20"/>
  <c r="BD447" i="20"/>
  <c r="AZ210" i="20"/>
  <c r="BN312" i="20"/>
  <c r="AY398" i="20"/>
  <c r="BM446" i="20"/>
  <c r="AY525" i="20"/>
  <c r="BL68" i="20"/>
  <c r="AZ71" i="20"/>
  <c r="AX93" i="20"/>
  <c r="AY19" i="20"/>
  <c r="AZ353" i="20"/>
  <c r="AZ15" i="20"/>
  <c r="BG592" i="20"/>
  <c r="BL155" i="20"/>
  <c r="BN324" i="20"/>
  <c r="F260" i="2"/>
  <c r="F258" i="2"/>
  <c r="BG402" i="20" l="1"/>
  <c r="BH481" i="20"/>
  <c r="BI35" i="20"/>
  <c r="H25" i="23"/>
  <c r="L25" i="23" s="1"/>
  <c r="F83" i="2"/>
  <c r="F122" i="2" s="1"/>
  <c r="F14" i="2"/>
  <c r="F19" i="2" s="1"/>
  <c r="F60" i="2" s="1"/>
  <c r="F61" i="2"/>
  <c r="F64" i="2"/>
  <c r="F5" i="2"/>
  <c r="F23" i="2"/>
  <c r="F31" i="2" s="1"/>
  <c r="F63" i="2" s="1"/>
  <c r="F43" i="2"/>
  <c r="H26" i="11"/>
  <c r="P26" i="11" s="1"/>
  <c r="AC26" i="11" s="1"/>
  <c r="F887" i="2"/>
  <c r="F187" i="2"/>
  <c r="F191" i="2"/>
  <c r="F188" i="2"/>
  <c r="F160" i="2"/>
  <c r="F159" i="2"/>
  <c r="F161" i="2" s="1"/>
  <c r="F190" i="2"/>
  <c r="F735" i="2"/>
  <c r="F787" i="2" s="1"/>
  <c r="N37" i="11" s="1"/>
  <c r="O37" i="11" s="1"/>
  <c r="F771" i="2"/>
  <c r="F750" i="2" s="1"/>
  <c r="F754" i="2" s="1"/>
  <c r="F183" i="2"/>
  <c r="F705" i="2"/>
  <c r="F711" i="2" s="1"/>
  <c r="F44" i="2"/>
  <c r="F858" i="2"/>
  <c r="F864" i="2" s="1"/>
  <c r="F759" i="2"/>
  <c r="F776" i="2" s="1"/>
  <c r="F835" i="2"/>
  <c r="F861" i="2" s="1"/>
  <c r="F873" i="2"/>
  <c r="N38" i="11" s="1"/>
  <c r="F804" i="2"/>
  <c r="F836" i="2" s="1"/>
  <c r="F862" i="2" s="1"/>
  <c r="F825" i="2"/>
  <c r="F872" i="2" s="1"/>
  <c r="M38" i="11" s="1"/>
  <c r="F749" i="2"/>
  <c r="F774" i="2" s="1"/>
  <c r="F682" i="2"/>
  <c r="F720" i="2" s="1"/>
  <c r="M36" i="11" s="1"/>
  <c r="O36" i="11" s="1"/>
  <c r="F670" i="2"/>
  <c r="F693" i="2" s="1"/>
  <c r="F710" i="2" s="1"/>
  <c r="F347" i="2"/>
  <c r="F386" i="2" s="1"/>
  <c r="M31" i="11" s="1"/>
  <c r="O31" i="11" s="1"/>
  <c r="F335" i="2"/>
  <c r="F358" i="2" s="1"/>
  <c r="F376" i="2" s="1"/>
  <c r="F372" i="2"/>
  <c r="F54" i="24"/>
  <c r="F55" i="24"/>
  <c r="F61" i="24" s="1"/>
  <c r="F435" i="24"/>
  <c r="F436" i="24"/>
  <c r="F439" i="2"/>
  <c r="F445" i="2" s="1"/>
  <c r="F350" i="24"/>
  <c r="F349" i="24"/>
  <c r="F400" i="24"/>
  <c r="F423" i="24" s="1"/>
  <c r="F440" i="24" s="1"/>
  <c r="F399" i="24"/>
  <c r="F412" i="24"/>
  <c r="F413" i="24"/>
  <c r="F486" i="24"/>
  <c r="F487" i="24"/>
  <c r="F403" i="2"/>
  <c r="F426" i="2" s="1"/>
  <c r="F444" i="2" s="1"/>
  <c r="F464" i="24"/>
  <c r="F465" i="24"/>
  <c r="F497" i="24" s="1"/>
  <c r="F523" i="24" s="1"/>
  <c r="F372" i="24"/>
  <c r="F373" i="24"/>
  <c r="F337" i="24"/>
  <c r="F360" i="24" s="1"/>
  <c r="F377" i="24" s="1"/>
  <c r="F336" i="24"/>
  <c r="F518" i="24"/>
  <c r="F519" i="24"/>
  <c r="F416" i="2"/>
  <c r="F224" i="24"/>
  <c r="F223" i="24"/>
  <c r="F616" i="2"/>
  <c r="F654" i="2" s="1"/>
  <c r="F617" i="2"/>
  <c r="F470" i="2"/>
  <c r="F471" i="2"/>
  <c r="F550" i="2"/>
  <c r="F588" i="2" s="1"/>
  <c r="M34" i="11" s="1"/>
  <c r="Q34" i="11" s="1"/>
  <c r="F551" i="2"/>
  <c r="F273" i="24"/>
  <c r="F274" i="24"/>
  <c r="F538" i="2"/>
  <c r="F561" i="2" s="1"/>
  <c r="F578" i="2" s="1"/>
  <c r="F537" i="2"/>
  <c r="F247" i="24"/>
  <c r="F246" i="24"/>
  <c r="F604" i="2"/>
  <c r="F627" i="2" s="1"/>
  <c r="F644" i="2" s="1"/>
  <c r="F603" i="2"/>
  <c r="F573" i="2"/>
  <c r="F574" i="2"/>
  <c r="F210" i="24"/>
  <c r="F211" i="24"/>
  <c r="F234" i="24" s="1"/>
  <c r="F251" i="24" s="1"/>
  <c r="F484" i="2"/>
  <c r="F483" i="2"/>
  <c r="F522" i="2" s="1"/>
  <c r="F425" i="2"/>
  <c r="F443" i="2" s="1"/>
  <c r="F310" i="24"/>
  <c r="F309" i="24"/>
  <c r="F507" i="2"/>
  <c r="F508" i="2"/>
  <c r="F31" i="24"/>
  <c r="F30" i="24"/>
  <c r="F639" i="2"/>
  <c r="F640" i="2"/>
  <c r="F287" i="24"/>
  <c r="F286" i="24"/>
  <c r="F17" i="24"/>
  <c r="F40" i="24" s="1"/>
  <c r="F18" i="24"/>
  <c r="BA526" i="20"/>
  <c r="BA489" i="20"/>
  <c r="BB489" i="20" s="1"/>
  <c r="BC489" i="20" s="1"/>
  <c r="BD489" i="20" s="1"/>
  <c r="BE489" i="20" s="1"/>
  <c r="BF489" i="20" s="1"/>
  <c r="AY493" i="20"/>
  <c r="AY496" i="20"/>
  <c r="AY370" i="20"/>
  <c r="F267" i="2"/>
  <c r="F268" i="2"/>
  <c r="F228" i="2"/>
  <c r="F146" i="24"/>
  <c r="F147" i="24"/>
  <c r="F170" i="24" s="1"/>
  <c r="F188" i="24" s="1"/>
  <c r="F159" i="24"/>
  <c r="F160" i="24"/>
  <c r="F184" i="24"/>
  <c r="F183" i="24"/>
  <c r="F95" i="24"/>
  <c r="F96" i="24"/>
  <c r="F83" i="24"/>
  <c r="F105" i="24" s="1"/>
  <c r="F123" i="24" s="1"/>
  <c r="F82" i="24"/>
  <c r="F118" i="24"/>
  <c r="F119" i="24"/>
  <c r="BI481" i="20"/>
  <c r="K31" i="11"/>
  <c r="P34" i="11"/>
  <c r="U34" i="11" s="1"/>
  <c r="K34" i="11"/>
  <c r="K33" i="11"/>
  <c r="P33" i="11"/>
  <c r="AC33" i="11" s="1"/>
  <c r="M32" i="11"/>
  <c r="M33" i="11"/>
  <c r="K36" i="11"/>
  <c r="O27" i="11"/>
  <c r="K35" i="11"/>
  <c r="K37" i="11"/>
  <c r="K32" i="11"/>
  <c r="K28" i="11"/>
  <c r="O29" i="11"/>
  <c r="K29" i="11"/>
  <c r="K27" i="11"/>
  <c r="K38" i="11"/>
  <c r="O26" i="11"/>
  <c r="K26" i="11"/>
  <c r="O35" i="11"/>
  <c r="F455" i="2"/>
  <c r="N28" i="11"/>
  <c r="M28" i="11"/>
  <c r="F99" i="2"/>
  <c r="P35" i="11"/>
  <c r="Z35" i="11" s="1"/>
  <c r="R35" i="11"/>
  <c r="AY594" i="20"/>
  <c r="AZ137" i="20"/>
  <c r="BN392" i="20"/>
  <c r="BA273" i="20"/>
  <c r="AY234" i="20"/>
  <c r="BL15" i="20"/>
  <c r="BE379" i="20"/>
  <c r="AZ7" i="20"/>
  <c r="BE253" i="20"/>
  <c r="AZ18" i="20"/>
  <c r="BN58" i="20"/>
  <c r="BG11" i="20"/>
  <c r="AZ99" i="20"/>
  <c r="AZ213" i="20"/>
  <c r="BE412" i="20"/>
  <c r="AZ269" i="20"/>
  <c r="BM603" i="20"/>
  <c r="BL162" i="20"/>
  <c r="BF377" i="20"/>
  <c r="AZ30" i="20"/>
  <c r="BA230" i="20"/>
  <c r="BF47" i="20"/>
  <c r="AY96" i="20"/>
  <c r="BM91" i="20"/>
  <c r="BE375" i="20"/>
  <c r="BF300" i="20"/>
  <c r="BE347" i="20"/>
  <c r="BN110" i="20"/>
  <c r="AY72" i="20"/>
  <c r="BL184" i="20"/>
  <c r="BF588" i="20"/>
  <c r="AY334" i="20"/>
  <c r="BA255" i="20"/>
  <c r="BI523" i="20"/>
  <c r="AZ209" i="20"/>
  <c r="BF590" i="20"/>
  <c r="BN53" i="20"/>
  <c r="BN55" i="20"/>
  <c r="AZ271" i="20"/>
  <c r="BL188" i="20"/>
  <c r="BA333" i="20"/>
  <c r="BO56" i="20"/>
  <c r="BB186" i="20"/>
  <c r="BL289" i="20"/>
  <c r="BL79" i="20"/>
  <c r="BL434" i="20"/>
  <c r="BL423" i="20"/>
  <c r="BG52" i="20"/>
  <c r="BN80" i="20"/>
  <c r="BE370" i="20"/>
  <c r="AY303" i="20"/>
  <c r="AZ247" i="20"/>
  <c r="AY310" i="20"/>
  <c r="BN391" i="20"/>
  <c r="AZ295" i="20"/>
  <c r="BA279" i="20"/>
  <c r="AZ277" i="20"/>
  <c r="BM161" i="20"/>
  <c r="BB92" i="20"/>
  <c r="BF381" i="20"/>
  <c r="BL297" i="20"/>
  <c r="BN472" i="20"/>
  <c r="BH493" i="20"/>
  <c r="BO113" i="20"/>
  <c r="BJ43" i="20"/>
  <c r="BC556" i="20"/>
  <c r="BC554" i="20"/>
  <c r="BC241" i="20"/>
  <c r="BM19" i="20"/>
  <c r="BE416" i="20"/>
  <c r="BF416" i="20"/>
  <c r="AZ275" i="20"/>
  <c r="BN111" i="20"/>
  <c r="BM88" i="20"/>
  <c r="AZ208" i="20"/>
  <c r="AY106" i="20"/>
  <c r="BA146" i="20"/>
  <c r="BE45" i="20"/>
  <c r="BH50" i="20"/>
  <c r="BL18" i="20"/>
  <c r="BM54" i="20"/>
  <c r="BC558" i="20"/>
  <c r="BA137" i="20"/>
  <c r="BG566" i="20"/>
  <c r="AY429" i="20"/>
  <c r="BN446" i="20"/>
  <c r="BA210" i="20"/>
  <c r="BO84" i="20"/>
  <c r="AZ25" i="20"/>
  <c r="BD466" i="20"/>
  <c r="BG367" i="20"/>
  <c r="AZ498" i="20"/>
  <c r="BL148" i="20"/>
  <c r="AZ293" i="20"/>
  <c r="BK425" i="20"/>
  <c r="BA260" i="20"/>
  <c r="BL467" i="20"/>
  <c r="AZ100" i="20"/>
  <c r="BN436" i="20"/>
  <c r="BL181" i="20"/>
  <c r="BF569" i="20"/>
  <c r="BN605" i="20"/>
  <c r="AZ479" i="20"/>
  <c r="BO510" i="20"/>
  <c r="BL178" i="20"/>
  <c r="BL274" i="20"/>
  <c r="BN422" i="20"/>
  <c r="BA272" i="20"/>
  <c r="BA257" i="20"/>
  <c r="BL89" i="20"/>
  <c r="BG407" i="20"/>
  <c r="BB205" i="20"/>
  <c r="BA174" i="20"/>
  <c r="BA102" i="20"/>
  <c r="BN607" i="20"/>
  <c r="BA68" i="20"/>
  <c r="BA356" i="20"/>
  <c r="BG540" i="20"/>
  <c r="BM416" i="20"/>
  <c r="BN147" i="20"/>
  <c r="BI526" i="20"/>
  <c r="BC17" i="20"/>
  <c r="BN387" i="20"/>
  <c r="BA141" i="20"/>
  <c r="BJ489" i="20"/>
  <c r="BE441" i="20"/>
  <c r="BF441" i="20" s="1"/>
  <c r="BN584" i="20"/>
  <c r="AY134" i="20"/>
  <c r="BA62" i="20"/>
  <c r="BG399" i="20"/>
  <c r="BL361" i="20"/>
  <c r="BB535" i="20"/>
  <c r="BB142" i="20"/>
  <c r="BM185" i="20"/>
  <c r="AZ595" i="20"/>
  <c r="BO296" i="20"/>
  <c r="AY505" i="20"/>
  <c r="BB301" i="20"/>
  <c r="BN559" i="20"/>
  <c r="BM352" i="20"/>
  <c r="BL14" i="20"/>
  <c r="BJ37" i="20"/>
  <c r="BA354" i="20"/>
  <c r="BE419" i="20"/>
  <c r="BF419" i="20" s="1"/>
  <c r="AZ564" i="20"/>
  <c r="BL441" i="20"/>
  <c r="BO126" i="20"/>
  <c r="BM424" i="20"/>
  <c r="BJ39" i="20"/>
  <c r="BA256" i="20"/>
  <c r="BN417" i="20"/>
  <c r="BM442" i="20"/>
  <c r="BL258" i="20"/>
  <c r="BL174" i="20"/>
  <c r="BM458" i="20"/>
  <c r="AZ242" i="20"/>
  <c r="BM597" i="20"/>
  <c r="BE380" i="20"/>
  <c r="BE544" i="20"/>
  <c r="BF544" i="20" s="1"/>
  <c r="AZ304" i="20"/>
  <c r="BM364" i="20"/>
  <c r="AZ494" i="20"/>
  <c r="BM133" i="20"/>
  <c r="BL455" i="20"/>
  <c r="AZ602" i="20"/>
  <c r="BA74" i="20"/>
  <c r="BM259" i="20"/>
  <c r="BG568" i="20"/>
  <c r="BE543" i="20"/>
  <c r="BF543" i="20"/>
  <c r="BB21" i="20"/>
  <c r="BB222" i="20"/>
  <c r="AZ499" i="20"/>
  <c r="BL451" i="20"/>
  <c r="BM20" i="20"/>
  <c r="BA60" i="20"/>
  <c r="BC238" i="20"/>
  <c r="BE374" i="20"/>
  <c r="BA65" i="20"/>
  <c r="BL22" i="20"/>
  <c r="BB155" i="20"/>
  <c r="BG46" i="20"/>
  <c r="AZ123" i="20"/>
  <c r="BD557" i="20"/>
  <c r="AZ245" i="20"/>
  <c r="BL127" i="20"/>
  <c r="AZ121" i="20"/>
  <c r="AY89" i="20"/>
  <c r="BJ426" i="20"/>
  <c r="BM155" i="20"/>
  <c r="AY93" i="20"/>
  <c r="AZ398" i="20"/>
  <c r="BN452" i="20"/>
  <c r="AY206" i="20"/>
  <c r="AZ476" i="20"/>
  <c r="BF12" i="20"/>
  <c r="BO385" i="20"/>
  <c r="BA311" i="20"/>
  <c r="BP283" i="20"/>
  <c r="BB580" i="20"/>
  <c r="AZ290" i="20"/>
  <c r="BJ524" i="20"/>
  <c r="BD518" i="20"/>
  <c r="AY34" i="20"/>
  <c r="BG495" i="20"/>
  <c r="BA397" i="20"/>
  <c r="BG538" i="20"/>
  <c r="BL413" i="20"/>
  <c r="BB611" i="20"/>
  <c r="BM177" i="20"/>
  <c r="AZ165" i="20"/>
  <c r="BG401" i="20"/>
  <c r="BM528" i="20"/>
  <c r="BL76" i="20"/>
  <c r="BN432" i="20"/>
  <c r="BG589" i="20"/>
  <c r="BA331" i="20"/>
  <c r="BA341" i="20"/>
  <c r="BL182" i="20"/>
  <c r="BA350" i="20"/>
  <c r="BI500" i="20"/>
  <c r="BL119" i="20"/>
  <c r="BA20" i="20"/>
  <c r="BH496" i="20"/>
  <c r="BA516" i="20"/>
  <c r="BA181" i="20"/>
  <c r="BA59" i="20"/>
  <c r="AY480" i="20"/>
  <c r="BB124" i="20"/>
  <c r="BL160" i="20"/>
  <c r="BM572" i="20"/>
  <c r="BB285" i="20"/>
  <c r="BM163" i="20"/>
  <c r="BL183" i="20"/>
  <c r="AZ185" i="20"/>
  <c r="AY309" i="20"/>
  <c r="BG378" i="20"/>
  <c r="BE413" i="20"/>
  <c r="AY139" i="20"/>
  <c r="BH479" i="20"/>
  <c r="BL457" i="20"/>
  <c r="BM468" i="20"/>
  <c r="BM461" i="20"/>
  <c r="BF403" i="20"/>
  <c r="BL469" i="20"/>
  <c r="BN383" i="20"/>
  <c r="AZ154" i="20"/>
  <c r="BL154" i="20"/>
  <c r="BC465" i="20"/>
  <c r="BC342" i="20"/>
  <c r="BP507" i="20"/>
  <c r="AY278" i="20"/>
  <c r="BH501" i="20"/>
  <c r="BM179" i="20"/>
  <c r="BN202" i="20"/>
  <c r="BF349" i="20"/>
  <c r="BM595" i="20"/>
  <c r="BL602" i="20"/>
  <c r="BG567" i="20"/>
  <c r="BA143" i="20"/>
  <c r="AY478" i="20"/>
  <c r="BN132" i="20"/>
  <c r="BM170" i="20"/>
  <c r="BA523" i="20"/>
  <c r="AZ9" i="20"/>
  <c r="BA84" i="20"/>
  <c r="BA177" i="20"/>
  <c r="BB148" i="20"/>
  <c r="BC473" i="20"/>
  <c r="BM145" i="20"/>
  <c r="BO320" i="20"/>
  <c r="AZ211" i="20"/>
  <c r="BA307" i="20"/>
  <c r="BI428" i="20"/>
  <c r="BM165" i="20"/>
  <c r="BA173" i="20"/>
  <c r="AY101" i="20"/>
  <c r="AY91" i="20"/>
  <c r="BB86" i="20"/>
  <c r="AY329" i="20"/>
  <c r="BG366" i="20"/>
  <c r="BM68" i="20"/>
  <c r="BJ522" i="20"/>
  <c r="BO117" i="20"/>
  <c r="BA24" i="20"/>
  <c r="AZ189" i="20"/>
  <c r="BN546" i="20"/>
  <c r="BA66" i="20"/>
  <c r="BP281" i="20"/>
  <c r="BA156" i="20"/>
  <c r="BH476" i="20"/>
  <c r="BP118" i="20"/>
  <c r="AY372" i="20"/>
  <c r="BN585" i="20"/>
  <c r="AY298" i="20"/>
  <c r="BB339" i="20"/>
  <c r="AZ578" i="20"/>
  <c r="BA266" i="20"/>
  <c r="BE553" i="20"/>
  <c r="AZ215" i="20"/>
  <c r="BO506" i="20"/>
  <c r="BC294" i="20"/>
  <c r="AZ98" i="20"/>
  <c r="BM142" i="20"/>
  <c r="BA351" i="20"/>
  <c r="AY481" i="20"/>
  <c r="BM353" i="20"/>
  <c r="BD468" i="20"/>
  <c r="BM295" i="20"/>
  <c r="BI480" i="20"/>
  <c r="BA132" i="20"/>
  <c r="AY430" i="20"/>
  <c r="AZ430" i="20" s="1"/>
  <c r="AZ225" i="20"/>
  <c r="BO323" i="20"/>
  <c r="BN203" i="20"/>
  <c r="BJ482" i="20"/>
  <c r="BL421" i="20"/>
  <c r="BA90" i="20"/>
  <c r="BB258" i="20"/>
  <c r="BA520" i="20"/>
  <c r="BM440" i="20"/>
  <c r="BL363" i="20"/>
  <c r="BM395" i="20"/>
  <c r="AZ31" i="20"/>
  <c r="BL473" i="20"/>
  <c r="BD560" i="20"/>
  <c r="BA327" i="20"/>
  <c r="BN606" i="20"/>
  <c r="BA135" i="20"/>
  <c r="BJ525" i="20"/>
  <c r="BA486" i="20"/>
  <c r="BB486" i="20" s="1"/>
  <c r="BC486" i="20" s="1"/>
  <c r="BD486" i="20" s="1"/>
  <c r="BE486" i="20" s="1"/>
  <c r="BF486" i="20" s="1"/>
  <c r="BA61" i="20"/>
  <c r="BD472" i="20"/>
  <c r="BN582" i="20"/>
  <c r="BA299" i="20"/>
  <c r="BA120" i="20"/>
  <c r="AY502" i="20"/>
  <c r="BF382" i="20"/>
  <c r="BJ42" i="20"/>
  <c r="BL153" i="20"/>
  <c r="BA77" i="20"/>
  <c r="BO87" i="20"/>
  <c r="AY235" i="20"/>
  <c r="BO390" i="20"/>
  <c r="BM156" i="20"/>
  <c r="BB184" i="20"/>
  <c r="BA64" i="20"/>
  <c r="BB297" i="20"/>
  <c r="BI36" i="20"/>
  <c r="BO508" i="20"/>
  <c r="BA83" i="20"/>
  <c r="BA497" i="20"/>
  <c r="BB497" i="20" s="1"/>
  <c r="BC497" i="20" s="1"/>
  <c r="BD497" i="20" s="1"/>
  <c r="BE497" i="20" s="1"/>
  <c r="BF497" i="20" s="1"/>
  <c r="AZ497" i="20"/>
  <c r="BA229" i="20"/>
  <c r="BB75" i="20"/>
  <c r="BM152" i="20"/>
  <c r="BM573" i="20"/>
  <c r="BN141" i="20"/>
  <c r="AZ109" i="20"/>
  <c r="BA190" i="20"/>
  <c r="BN471" i="20"/>
  <c r="BF542" i="20"/>
  <c r="BL272" i="20"/>
  <c r="BM462" i="20"/>
  <c r="BM433" i="20"/>
  <c r="AZ358" i="20"/>
  <c r="AY212" i="20"/>
  <c r="BL276" i="20"/>
  <c r="BB337" i="20"/>
  <c r="BO386" i="20"/>
  <c r="BA67" i="20"/>
  <c r="BA136" i="20"/>
  <c r="AZ286" i="20"/>
  <c r="AZ319" i="20"/>
  <c r="BE552" i="20"/>
  <c r="BF552" i="20" s="1"/>
  <c r="BC563" i="20"/>
  <c r="BQ598" i="20"/>
  <c r="AZ365" i="20"/>
  <c r="BE440" i="20"/>
  <c r="BM64" i="20"/>
  <c r="BN444" i="20"/>
  <c r="BD470" i="20"/>
  <c r="AZ126" i="20"/>
  <c r="BL447" i="20"/>
  <c r="BM354" i="20"/>
  <c r="BE44" i="20"/>
  <c r="BM172" i="20"/>
  <c r="AZ336" i="20"/>
  <c r="BN191" i="20"/>
  <c r="BL453" i="20"/>
  <c r="AZ594" i="20"/>
  <c r="AY601" i="20"/>
  <c r="BA167" i="20"/>
  <c r="BM169" i="20"/>
  <c r="BN547" i="20"/>
  <c r="BJ41" i="20"/>
  <c r="BA262" i="20"/>
  <c r="BA614" i="20"/>
  <c r="BO322" i="20"/>
  <c r="BF548" i="20"/>
  <c r="AY562" i="20"/>
  <c r="BB224" i="20"/>
  <c r="AY343" i="20"/>
  <c r="AZ524" i="20"/>
  <c r="AZ105" i="20"/>
  <c r="BF348" i="20"/>
  <c r="BA81" i="20"/>
  <c r="BM571" i="20"/>
  <c r="BE469" i="20"/>
  <c r="BF469" i="20"/>
  <c r="BA353" i="20"/>
  <c r="BE447" i="20"/>
  <c r="BF447" i="20"/>
  <c r="AZ88" i="20"/>
  <c r="AY252" i="20"/>
  <c r="BM128" i="20"/>
  <c r="BM350" i="20"/>
  <c r="AZ26" i="20"/>
  <c r="BE448" i="20"/>
  <c r="BF448" i="20" s="1"/>
  <c r="BL552" i="20"/>
  <c r="BB265" i="20"/>
  <c r="BA145" i="20"/>
  <c r="BM553" i="20"/>
  <c r="BM287" i="20"/>
  <c r="AZ296" i="20"/>
  <c r="BL264" i="20"/>
  <c r="BM159" i="20"/>
  <c r="BM362" i="20"/>
  <c r="BF546" i="20"/>
  <c r="BP419" i="20"/>
  <c r="BA188" i="20"/>
  <c r="AY532" i="20"/>
  <c r="AZ477" i="20"/>
  <c r="BN195" i="20"/>
  <c r="BL81" i="20"/>
  <c r="BM384" i="20"/>
  <c r="AZ605" i="20"/>
  <c r="AZ5" i="20"/>
  <c r="S5" i="20"/>
  <c r="BA63" i="20"/>
  <c r="BA231" i="20"/>
  <c r="BN466" i="20"/>
  <c r="BD515" i="20"/>
  <c r="BC609" i="20"/>
  <c r="BN443" i="20"/>
  <c r="BM275" i="20"/>
  <c r="BL143" i="20"/>
  <c r="AZ228" i="20"/>
  <c r="BA85" i="20"/>
  <c r="BA360" i="20"/>
  <c r="BB608" i="20"/>
  <c r="BB291" i="20"/>
  <c r="BI494" i="20"/>
  <c r="AY250" i="20"/>
  <c r="BA218" i="20"/>
  <c r="AY503" i="20"/>
  <c r="BL16" i="20"/>
  <c r="AZ168" i="20"/>
  <c r="AY326" i="20"/>
  <c r="BM351" i="20"/>
  <c r="AY10" i="20"/>
  <c r="AY216" i="20"/>
  <c r="BA16" i="20"/>
  <c r="BM470" i="20"/>
  <c r="BA27" i="20"/>
  <c r="BN288" i="20"/>
  <c r="BN198" i="20"/>
  <c r="BA128" i="20"/>
  <c r="BB610" i="20"/>
  <c r="BI485" i="20"/>
  <c r="AY33" i="20"/>
  <c r="BB239" i="20"/>
  <c r="AZ396" i="20"/>
  <c r="BM360" i="20"/>
  <c r="BL449" i="20"/>
  <c r="BN78" i="20"/>
  <c r="BM448" i="20"/>
  <c r="AZ214" i="20"/>
  <c r="BM273" i="20"/>
  <c r="BA159" i="20"/>
  <c r="AZ131" i="20"/>
  <c r="AZ492" i="20"/>
  <c r="BN438" i="20"/>
  <c r="BF372" i="20"/>
  <c r="BM355" i="20"/>
  <c r="BO545" i="20"/>
  <c r="BJ499" i="20"/>
  <c r="AZ164" i="20"/>
  <c r="BG593" i="20"/>
  <c r="BM530" i="20"/>
  <c r="BA149" i="20"/>
  <c r="AZ488" i="20"/>
  <c r="AY428" i="20"/>
  <c r="BM263" i="20"/>
  <c r="AY243" i="20"/>
  <c r="BA15" i="20"/>
  <c r="BA357" i="20"/>
  <c r="BN286" i="20"/>
  <c r="BF444" i="20"/>
  <c r="AY340" i="20"/>
  <c r="BL420" i="20"/>
  <c r="BL146" i="20"/>
  <c r="BA175" i="20"/>
  <c r="AY103" i="20"/>
  <c r="BM186" i="20"/>
  <c r="BI48" i="20"/>
  <c r="AZ23" i="20"/>
  <c r="BM463" i="20"/>
  <c r="BL71" i="20"/>
  <c r="BN194" i="20"/>
  <c r="BO167" i="20"/>
  <c r="BM123" i="20"/>
  <c r="BN599" i="20"/>
  <c r="AY600" i="20"/>
  <c r="BM388" i="20"/>
  <c r="BL445" i="20"/>
  <c r="BN114" i="20"/>
  <c r="BH592" i="20"/>
  <c r="AY292" i="20"/>
  <c r="BN285" i="20"/>
  <c r="BG408" i="20"/>
  <c r="BE536" i="20"/>
  <c r="BM460" i="20"/>
  <c r="BH477" i="20"/>
  <c r="AZ108" i="20"/>
  <c r="BA404" i="20"/>
  <c r="BG345" i="20"/>
  <c r="AY607" i="20"/>
  <c r="BM66" i="20"/>
  <c r="BB511" i="20"/>
  <c r="BF49" i="20"/>
  <c r="BN116" i="20"/>
  <c r="AY575" i="20"/>
  <c r="BL131" i="20"/>
  <c r="BA522" i="20"/>
  <c r="AZ133" i="20"/>
  <c r="BC581" i="20"/>
  <c r="BA183" i="20"/>
  <c r="BC220" i="20"/>
  <c r="BM17" i="20"/>
  <c r="BD559" i="20"/>
  <c r="BL268" i="20"/>
  <c r="BB237" i="20"/>
  <c r="BJ430" i="20"/>
  <c r="BI505" i="20"/>
  <c r="AZ487" i="20"/>
  <c r="BA76" i="20"/>
  <c r="BM269" i="20"/>
  <c r="AY51" i="20"/>
  <c r="AZ51" i="20" s="1"/>
  <c r="BA51" i="20" s="1"/>
  <c r="BB51" i="20" s="1"/>
  <c r="BC51" i="20" s="1"/>
  <c r="BD51" i="20" s="1"/>
  <c r="BE51" i="20" s="1"/>
  <c r="AY305" i="20"/>
  <c r="AZ603" i="20"/>
  <c r="BA325" i="20"/>
  <c r="BL85" i="20"/>
  <c r="BF550" i="20"/>
  <c r="AY107" i="20"/>
  <c r="BI40" i="20"/>
  <c r="BF368" i="20"/>
  <c r="BE251" i="20"/>
  <c r="BI483" i="20"/>
  <c r="BB130" i="20"/>
  <c r="BE344" i="20"/>
  <c r="BA276" i="20"/>
  <c r="BM356" i="20"/>
  <c r="AZ501" i="20"/>
  <c r="BN196" i="20"/>
  <c r="BL65" i="20"/>
  <c r="AZ597" i="20"/>
  <c r="BM158" i="20"/>
  <c r="BD471" i="20"/>
  <c r="AZ104" i="20"/>
  <c r="BF537" i="20"/>
  <c r="BC226" i="20"/>
  <c r="BM265" i="20"/>
  <c r="BN199" i="20"/>
  <c r="BO166" i="20"/>
  <c r="BA172" i="20"/>
  <c r="AZ153" i="20"/>
  <c r="BA264" i="20"/>
  <c r="BM418" i="20"/>
  <c r="AY426" i="20"/>
  <c r="BE420" i="20"/>
  <c r="BF420" i="20" s="1"/>
  <c r="BL262" i="20"/>
  <c r="AY94" i="20"/>
  <c r="BN587" i="20"/>
  <c r="BN190" i="20"/>
  <c r="BL454" i="20"/>
  <c r="BL168" i="20"/>
  <c r="BM70" i="20"/>
  <c r="AZ393" i="20"/>
  <c r="AZ484" i="20"/>
  <c r="BA180" i="20"/>
  <c r="BG369" i="20"/>
  <c r="BA274" i="20"/>
  <c r="BF541" i="20"/>
  <c r="AY45" i="20"/>
  <c r="BA613" i="20"/>
  <c r="BL77" i="20"/>
  <c r="BO314" i="20"/>
  <c r="BO313" i="20"/>
  <c r="AY32" i="20"/>
  <c r="AY97" i="20"/>
  <c r="BN124" i="20"/>
  <c r="BA87" i="20"/>
  <c r="BD514" i="20"/>
  <c r="BM357" i="20"/>
  <c r="BB162" i="20"/>
  <c r="BN393" i="20"/>
  <c r="BB259" i="20"/>
  <c r="BO291" i="20"/>
  <c r="BA179" i="20"/>
  <c r="AY233" i="20"/>
  <c r="BA28" i="20"/>
  <c r="BC217" i="20"/>
  <c r="BB122" i="20"/>
  <c r="BM121" i="20"/>
  <c r="BM21" i="20"/>
  <c r="BP282" i="20"/>
  <c r="BA69" i="20"/>
  <c r="AZ474" i="20"/>
  <c r="BO112" i="20"/>
  <c r="BC604" i="20"/>
  <c r="BN120" i="20"/>
  <c r="BI478" i="20"/>
  <c r="BO358" i="20"/>
  <c r="BN415" i="20"/>
  <c r="BF376" i="20"/>
  <c r="BL270" i="20"/>
  <c r="BM544" i="20"/>
  <c r="BA362" i="20"/>
  <c r="AY482" i="20"/>
  <c r="BO321" i="20"/>
  <c r="AZ475" i="20"/>
  <c r="AY579" i="20"/>
  <c r="AZ363" i="20"/>
  <c r="BN59" i="20"/>
  <c r="BB219" i="20"/>
  <c r="AZ288" i="20"/>
  <c r="BM130" i="20"/>
  <c r="BA178" i="20"/>
  <c r="BA71" i="20"/>
  <c r="AZ525" i="20"/>
  <c r="BO312" i="20"/>
  <c r="BA332" i="20"/>
  <c r="AY500" i="20"/>
  <c r="BB187" i="20"/>
  <c r="AZ170" i="20"/>
  <c r="BA504" i="20"/>
  <c r="BB504" i="20" s="1"/>
  <c r="BC504" i="20" s="1"/>
  <c r="BD504" i="20" s="1"/>
  <c r="BE504" i="20" s="1"/>
  <c r="BF504" i="20" s="1"/>
  <c r="BI502" i="20"/>
  <c r="BA8" i="20"/>
  <c r="AZ287" i="20"/>
  <c r="BL176" i="20"/>
  <c r="BM551" i="20"/>
  <c r="BC467" i="20"/>
  <c r="BA606" i="20"/>
  <c r="BP456" i="20"/>
  <c r="BB263" i="20"/>
  <c r="BL604" i="20"/>
  <c r="BA29" i="20"/>
  <c r="BO414" i="20"/>
  <c r="BN197" i="20"/>
  <c r="BA80" i="20"/>
  <c r="AZ395" i="20"/>
  <c r="AZ359" i="20"/>
  <c r="BA280" i="20"/>
  <c r="BB166" i="20"/>
  <c r="BM261" i="20"/>
  <c r="BA561" i="20"/>
  <c r="AY483" i="20"/>
  <c r="BJ521" i="20"/>
  <c r="BF400" i="20"/>
  <c r="AY533" i="20"/>
  <c r="BL396" i="20"/>
  <c r="BI503" i="20"/>
  <c r="BL543" i="20"/>
  <c r="BO317" i="20"/>
  <c r="BB328" i="20"/>
  <c r="BM542" i="20"/>
  <c r="BM267" i="20"/>
  <c r="BM129" i="20"/>
  <c r="BA157" i="20"/>
  <c r="BL171" i="20"/>
  <c r="BA147" i="20"/>
  <c r="BB289" i="20"/>
  <c r="BM394" i="20"/>
  <c r="BB171" i="20"/>
  <c r="AZ152" i="20"/>
  <c r="AY330" i="20"/>
  <c r="BL260" i="20"/>
  <c r="BN560" i="20"/>
  <c r="BI488" i="20"/>
  <c r="BM164" i="20"/>
  <c r="BA95" i="20"/>
  <c r="BA125" i="20"/>
  <c r="BL398" i="20"/>
  <c r="BB512" i="20"/>
  <c r="BO115" i="20"/>
  <c r="BL180" i="20"/>
  <c r="BF539" i="20"/>
  <c r="BM189" i="20"/>
  <c r="AZ127" i="20"/>
  <c r="AZ302" i="20"/>
  <c r="BG405" i="20"/>
  <c r="BA70" i="20"/>
  <c r="BE545" i="20"/>
  <c r="BO392" i="20"/>
  <c r="BE343" i="20"/>
  <c r="BB261" i="20"/>
  <c r="BH504" i="20"/>
  <c r="BA244" i="20"/>
  <c r="BC596" i="20"/>
  <c r="BM151" i="20"/>
  <c r="AY521" i="20"/>
  <c r="BB513" i="20"/>
  <c r="BC78" i="20"/>
  <c r="BA284" i="20"/>
  <c r="BA411" i="20"/>
  <c r="BM600" i="20"/>
  <c r="BM290" i="20"/>
  <c r="BH549" i="20"/>
  <c r="BL83" i="20"/>
  <c r="AY399" i="20"/>
  <c r="BN125" i="20"/>
  <c r="BH486" i="20"/>
  <c r="BM574" i="20"/>
  <c r="AY599" i="20"/>
  <c r="BA14" i="20"/>
  <c r="BO315" i="20"/>
  <c r="BA355" i="20"/>
  <c r="BO509" i="20"/>
  <c r="AZ138" i="20"/>
  <c r="BM150" i="20"/>
  <c r="BL450" i="20"/>
  <c r="BF570" i="20"/>
  <c r="BB119" i="20"/>
  <c r="BI497" i="20"/>
  <c r="BA254" i="20"/>
  <c r="BI487" i="20"/>
  <c r="BO316" i="20"/>
  <c r="BA268" i="20"/>
  <c r="BL596" i="20"/>
  <c r="BM527" i="20"/>
  <c r="BA306" i="20"/>
  <c r="BL465" i="20"/>
  <c r="BG252" i="20"/>
  <c r="BM157" i="20"/>
  <c r="BA364" i="20"/>
  <c r="BF417" i="20"/>
  <c r="BH346" i="20"/>
  <c r="AZ6" i="20"/>
  <c r="BN204" i="20"/>
  <c r="BO324" i="20"/>
  <c r="AZ19" i="20"/>
  <c r="BH474" i="20"/>
  <c r="AZ249" i="20"/>
  <c r="BA248" i="20"/>
  <c r="BM173" i="20"/>
  <c r="BL63" i="20"/>
  <c r="BA565" i="20"/>
  <c r="BA82" i="20"/>
  <c r="BN583" i="20"/>
  <c r="BO57" i="20"/>
  <c r="BN435" i="20"/>
  <c r="BH402" i="20"/>
  <c r="AY246" i="20"/>
  <c r="BM531" i="20"/>
  <c r="AZ338" i="20"/>
  <c r="BA270" i="20"/>
  <c r="BH484" i="20"/>
  <c r="BB163" i="20"/>
  <c r="BL365" i="20"/>
  <c r="BA352" i="20"/>
  <c r="BM257" i="20"/>
  <c r="BJ429" i="20"/>
  <c r="BA227" i="20"/>
  <c r="BM601" i="20"/>
  <c r="BL266" i="20"/>
  <c r="BO82" i="20"/>
  <c r="BH409" i="20"/>
  <c r="BB73" i="20"/>
  <c r="BI373" i="20"/>
  <c r="BA464" i="20"/>
  <c r="BL69" i="20"/>
  <c r="BN90" i="20"/>
  <c r="AZ495" i="20"/>
  <c r="BH491" i="20"/>
  <c r="BA598" i="20"/>
  <c r="BD223" i="20"/>
  <c r="BA79" i="20"/>
  <c r="AZ129" i="20"/>
  <c r="BB232" i="20"/>
  <c r="AZ394" i="20"/>
  <c r="BC144" i="20"/>
  <c r="AZ169" i="20"/>
  <c r="BA160" i="20"/>
  <c r="BA517" i="20"/>
  <c r="AZ236" i="20"/>
  <c r="BL594" i="20"/>
  <c r="BA176" i="20"/>
  <c r="BA318" i="20"/>
  <c r="BL294" i="20"/>
  <c r="BD555" i="20"/>
  <c r="BB240" i="20"/>
  <c r="BM431" i="20"/>
  <c r="BB267" i="20"/>
  <c r="BE421" i="20"/>
  <c r="BN201" i="20"/>
  <c r="BB612" i="20"/>
  <c r="BG406" i="20"/>
  <c r="BJ38" i="20"/>
  <c r="BL67" i="20"/>
  <c r="BB221" i="20"/>
  <c r="BM175" i="20"/>
  <c r="BE414" i="20"/>
  <c r="BF414" i="20"/>
  <c r="AZ150" i="20"/>
  <c r="BF13" i="20"/>
  <c r="BM389" i="20"/>
  <c r="BA182" i="20"/>
  <c r="BH475" i="20"/>
  <c r="BF371" i="20"/>
  <c r="BN439" i="20"/>
  <c r="BH498" i="20"/>
  <c r="BM459" i="20"/>
  <c r="BC140" i="20"/>
  <c r="BM397" i="20"/>
  <c r="BA519" i="20"/>
  <c r="AY335" i="20"/>
  <c r="AZ308" i="20"/>
  <c r="BN193" i="20"/>
  <c r="BG591" i="20"/>
  <c r="BN122" i="20"/>
  <c r="BM529" i="20"/>
  <c r="BA151" i="20"/>
  <c r="BF410" i="20"/>
  <c r="BO187" i="20"/>
  <c r="BN200" i="20"/>
  <c r="BN192" i="20"/>
  <c r="BJ35" i="20"/>
  <c r="AZ207" i="20"/>
  <c r="AZ22" i="20"/>
  <c r="BB577" i="20"/>
  <c r="AZ361" i="20"/>
  <c r="BL144" i="20"/>
  <c r="BH492" i="20"/>
  <c r="BA534" i="20"/>
  <c r="AY485" i="20"/>
  <c r="BM86" i="20"/>
  <c r="AZ576" i="20"/>
  <c r="BL149" i="20"/>
  <c r="BH490" i="20"/>
  <c r="BB161" i="20"/>
  <c r="BM437" i="20"/>
  <c r="BK427" i="20"/>
  <c r="BL359" i="20"/>
  <c r="BE422" i="20"/>
  <c r="BA158" i="20"/>
  <c r="BN586" i="20"/>
  <c r="BM271" i="20"/>
  <c r="R27" i="11"/>
  <c r="R29" i="11"/>
  <c r="F692" i="2"/>
  <c r="F709" i="2" s="1"/>
  <c r="F778" i="2"/>
  <c r="P38" i="11"/>
  <c r="Z38" i="11" s="1"/>
  <c r="F863" i="2"/>
  <c r="F446" i="2"/>
  <c r="F712" i="2"/>
  <c r="P31" i="11"/>
  <c r="AC31" i="11" s="1"/>
  <c r="P29" i="11"/>
  <c r="AC29" i="11" s="1"/>
  <c r="P36" i="11"/>
  <c r="AC36" i="11" s="1"/>
  <c r="F357" i="2"/>
  <c r="F375" i="2" s="1"/>
  <c r="G39" i="11"/>
  <c r="D6" i="11" s="1"/>
  <c r="P27" i="11"/>
  <c r="AC27" i="11" s="1"/>
  <c r="P32" i="11"/>
  <c r="Z32" i="11" s="1"/>
  <c r="P37" i="11"/>
  <c r="Z37" i="11" s="1"/>
  <c r="Q27" i="11"/>
  <c r="AD27" i="11" s="1"/>
  <c r="P28" i="11"/>
  <c r="Q29" i="11"/>
  <c r="AD29" i="11" s="1"/>
  <c r="Q37" i="11"/>
  <c r="AD37" i="11" s="1"/>
  <c r="BR598" i="20" l="1"/>
  <c r="AL598" i="20"/>
  <c r="BJ481" i="20"/>
  <c r="R25" i="23"/>
  <c r="T25" i="23" s="1"/>
  <c r="U25" i="23"/>
  <c r="W25" i="23" s="1"/>
  <c r="M25" i="23"/>
  <c r="F126" i="2"/>
  <c r="N25" i="11" s="1"/>
  <c r="F123" i="2"/>
  <c r="J25" i="11" s="1"/>
  <c r="F9" i="2"/>
  <c r="F758" i="2"/>
  <c r="F775" i="2" s="1"/>
  <c r="F181" i="2"/>
  <c r="F777" i="2"/>
  <c r="F773" i="2"/>
  <c r="F108" i="2"/>
  <c r="F109" i="2" s="1"/>
  <c r="F684" i="2"/>
  <c r="F688" i="2" s="1"/>
  <c r="F707" i="2" s="1"/>
  <c r="F828" i="2"/>
  <c r="F832" i="2" s="1"/>
  <c r="F860" i="2" s="1"/>
  <c r="F859" i="2"/>
  <c r="O38" i="11"/>
  <c r="S38" i="11" s="1"/>
  <c r="AA38" i="11" s="1"/>
  <c r="AB38" i="11" s="1"/>
  <c r="Q38" i="11"/>
  <c r="AD38" i="11" s="1"/>
  <c r="Q36" i="11"/>
  <c r="AD36" i="11" s="1"/>
  <c r="AE36" i="11" s="1"/>
  <c r="F708" i="2"/>
  <c r="F54" i="2"/>
  <c r="F373" i="2"/>
  <c r="F374" i="2"/>
  <c r="M25" i="11"/>
  <c r="Q31" i="11"/>
  <c r="AD31" i="11" s="1"/>
  <c r="AE31" i="11" s="1"/>
  <c r="F421" i="2"/>
  <c r="F441" i="2" s="1"/>
  <c r="F65" i="24"/>
  <c r="H30" i="23" s="1"/>
  <c r="F60" i="24"/>
  <c r="F442" i="2"/>
  <c r="F489" i="24"/>
  <c r="F493" i="24" s="1"/>
  <c r="F521" i="24" s="1"/>
  <c r="F525" i="24"/>
  <c r="F529" i="24"/>
  <c r="H37" i="23" s="1"/>
  <c r="F488" i="24"/>
  <c r="F492" i="24" s="1"/>
  <c r="F530" i="24" s="1"/>
  <c r="I37" i="23" s="1"/>
  <c r="F524" i="24"/>
  <c r="F422" i="24"/>
  <c r="F439" i="24" s="1"/>
  <c r="F448" i="24"/>
  <c r="J36" i="23" s="1"/>
  <c r="F496" i="24"/>
  <c r="F522" i="24" s="1"/>
  <c r="F531" i="24"/>
  <c r="J37" i="23" s="1"/>
  <c r="F359" i="24"/>
  <c r="F376" i="24" s="1"/>
  <c r="F385" i="24"/>
  <c r="J35" i="23" s="1"/>
  <c r="F415" i="24"/>
  <c r="F419" i="24" s="1"/>
  <c r="F438" i="24" s="1"/>
  <c r="F442" i="24"/>
  <c r="F379" i="24"/>
  <c r="F352" i="24"/>
  <c r="F356" i="24" s="1"/>
  <c r="F375" i="24" s="1"/>
  <c r="F383" i="24"/>
  <c r="H35" i="23" s="1"/>
  <c r="F351" i="24"/>
  <c r="F355" i="24" s="1"/>
  <c r="F384" i="24" s="1"/>
  <c r="I35" i="23" s="1"/>
  <c r="F378" i="24"/>
  <c r="F446" i="24"/>
  <c r="H36" i="23" s="1"/>
  <c r="F441" i="24"/>
  <c r="F414" i="24"/>
  <c r="F418" i="24" s="1"/>
  <c r="F447" i="24" s="1"/>
  <c r="I36" i="23" s="1"/>
  <c r="F618" i="2"/>
  <c r="F622" i="2" s="1"/>
  <c r="F641" i="2" s="1"/>
  <c r="F645" i="2"/>
  <c r="F225" i="24"/>
  <c r="F229" i="24" s="1"/>
  <c r="F258" i="24" s="1"/>
  <c r="I33" i="23" s="1"/>
  <c r="F252" i="24"/>
  <c r="F257" i="24"/>
  <c r="F494" i="2"/>
  <c r="F512" i="2" s="1"/>
  <c r="F646" i="2"/>
  <c r="F619" i="2"/>
  <c r="F623" i="2" s="1"/>
  <c r="F642" i="2" s="1"/>
  <c r="F226" i="24"/>
  <c r="F230" i="24" s="1"/>
  <c r="F249" i="24" s="1"/>
  <c r="F253" i="24"/>
  <c r="F493" i="2"/>
  <c r="F511" i="2" s="1"/>
  <c r="F523" i="2"/>
  <c r="F289" i="24"/>
  <c r="F293" i="24" s="1"/>
  <c r="F312" i="24" s="1"/>
  <c r="F316" i="24"/>
  <c r="F589" i="2"/>
  <c r="N34" i="11" s="1"/>
  <c r="F560" i="2"/>
  <c r="F577" i="2" s="1"/>
  <c r="F41" i="24"/>
  <c r="F59" i="24" s="1"/>
  <c r="F490" i="2"/>
  <c r="F510" i="2" s="1"/>
  <c r="F514" i="2"/>
  <c r="F233" i="24"/>
  <c r="F250" i="24" s="1"/>
  <c r="F259" i="24"/>
  <c r="J33" i="23" s="1"/>
  <c r="F67" i="24"/>
  <c r="J30" i="23" s="1"/>
  <c r="F58" i="24"/>
  <c r="F513" i="2"/>
  <c r="F489" i="2"/>
  <c r="F509" i="2" s="1"/>
  <c r="F580" i="2"/>
  <c r="F553" i="2"/>
  <c r="F557" i="2" s="1"/>
  <c r="F576" i="2" s="1"/>
  <c r="F297" i="24"/>
  <c r="F314" i="24" s="1"/>
  <c r="F626" i="2"/>
  <c r="F643" i="2" s="1"/>
  <c r="F655" i="2"/>
  <c r="F315" i="24"/>
  <c r="F320" i="24"/>
  <c r="F288" i="24"/>
  <c r="F292" i="24" s="1"/>
  <c r="F321" i="24" s="1"/>
  <c r="I34" i="23" s="1"/>
  <c r="F579" i="2"/>
  <c r="F552" i="2"/>
  <c r="F556" i="2" s="1"/>
  <c r="F575" i="2" s="1"/>
  <c r="F296" i="24"/>
  <c r="F313" i="24" s="1"/>
  <c r="F322" i="24"/>
  <c r="J34" i="23" s="1"/>
  <c r="BC526" i="20"/>
  <c r="BD526" i="20" s="1"/>
  <c r="BE526" i="20" s="1"/>
  <c r="BF526" i="20" s="1"/>
  <c r="BB526" i="20"/>
  <c r="BA492" i="20"/>
  <c r="BB492" i="20" s="1"/>
  <c r="BC492" i="20" s="1"/>
  <c r="BD492" i="20" s="1"/>
  <c r="BE492" i="20" s="1"/>
  <c r="BF492" i="20" s="1"/>
  <c r="AZ493" i="20"/>
  <c r="BA493" i="20" s="1"/>
  <c r="BB493" i="20" s="1"/>
  <c r="BC493" i="20" s="1"/>
  <c r="BD493" i="20" s="1"/>
  <c r="BE493" i="20" s="1"/>
  <c r="BF493" i="20" s="1"/>
  <c r="BA495" i="20"/>
  <c r="BB495" i="20" s="1"/>
  <c r="BC495" i="20" s="1"/>
  <c r="BD495" i="20" s="1"/>
  <c r="BE495" i="20" s="1"/>
  <c r="BF495" i="20" s="1"/>
  <c r="BA477" i="20"/>
  <c r="BB477" i="20" s="1"/>
  <c r="BC477" i="20" s="1"/>
  <c r="BD477" i="20" s="1"/>
  <c r="BE477" i="20" s="1"/>
  <c r="BF477" i="20" s="1"/>
  <c r="BA476" i="20"/>
  <c r="BB476" i="20" s="1"/>
  <c r="BC476" i="20" s="1"/>
  <c r="BD476" i="20" s="1"/>
  <c r="BE476" i="20" s="1"/>
  <c r="BF476" i="20" s="1"/>
  <c r="BA494" i="20"/>
  <c r="BB494" i="20" s="1"/>
  <c r="BC494" i="20" s="1"/>
  <c r="BD494" i="20" s="1"/>
  <c r="BE494" i="20" s="1"/>
  <c r="BF494" i="20" s="1"/>
  <c r="BA474" i="20"/>
  <c r="BB474" i="20" s="1"/>
  <c r="BC474" i="20" s="1"/>
  <c r="BD474" i="20" s="1"/>
  <c r="BE474" i="20" s="1"/>
  <c r="BF474" i="20" s="1"/>
  <c r="BA484" i="20"/>
  <c r="BB484" i="20" s="1"/>
  <c r="BC484" i="20" s="1"/>
  <c r="BD484" i="20" s="1"/>
  <c r="BE484" i="20" s="1"/>
  <c r="BF484" i="20" s="1"/>
  <c r="BA488" i="20"/>
  <c r="BB488" i="20" s="1"/>
  <c r="BC488" i="20" s="1"/>
  <c r="BD488" i="20" s="1"/>
  <c r="BE488" i="20" s="1"/>
  <c r="BF488" i="20" s="1"/>
  <c r="AZ496" i="20"/>
  <c r="BA496" i="20"/>
  <c r="BB496" i="20" s="1"/>
  <c r="BC496" i="20" s="1"/>
  <c r="BD496" i="20" s="1"/>
  <c r="BE496" i="20" s="1"/>
  <c r="BF496" i="20" s="1"/>
  <c r="BA501" i="20"/>
  <c r="BB501" i="20" s="1"/>
  <c r="BC501" i="20" s="1"/>
  <c r="BD501" i="20" s="1"/>
  <c r="BE501" i="20" s="1"/>
  <c r="BF501" i="20" s="1"/>
  <c r="BA475" i="20"/>
  <c r="BB475" i="20" s="1"/>
  <c r="BC475" i="20" s="1"/>
  <c r="BD475" i="20" s="1"/>
  <c r="BE475" i="20" s="1"/>
  <c r="BF475" i="20" s="1"/>
  <c r="BA479" i="20"/>
  <c r="BB479" i="20" s="1"/>
  <c r="BC479" i="20" s="1"/>
  <c r="BD479" i="20" s="1"/>
  <c r="BE479" i="20" s="1"/>
  <c r="BF479" i="20" s="1"/>
  <c r="BA498" i="20"/>
  <c r="BB498" i="20" s="1"/>
  <c r="BC498" i="20" s="1"/>
  <c r="BD498" i="20" s="1"/>
  <c r="BE498" i="20" s="1"/>
  <c r="BF498" i="20" s="1"/>
  <c r="AZ429" i="20"/>
  <c r="AZ426" i="20"/>
  <c r="F124" i="24"/>
  <c r="F129" i="24"/>
  <c r="H31" i="23" s="1"/>
  <c r="F100" i="24"/>
  <c r="F104" i="24"/>
  <c r="F122" i="24" s="1"/>
  <c r="F131" i="24"/>
  <c r="J31" i="23" s="1"/>
  <c r="F194" i="24"/>
  <c r="H32" i="23" s="1"/>
  <c r="F165" i="24"/>
  <c r="F195" i="24" s="1"/>
  <c r="I32" i="23" s="1"/>
  <c r="F189" i="24"/>
  <c r="F101" i="24"/>
  <c r="F121" i="24" s="1"/>
  <c r="F125" i="24"/>
  <c r="F166" i="24"/>
  <c r="F186" i="24" s="1"/>
  <c r="F190" i="24"/>
  <c r="F196" i="24"/>
  <c r="J32" i="23" s="1"/>
  <c r="F169" i="24"/>
  <c r="F187" i="24" s="1"/>
  <c r="AC34" i="11"/>
  <c r="Z34" i="11"/>
  <c r="AD34" i="11"/>
  <c r="Z33" i="11"/>
  <c r="U33" i="11"/>
  <c r="N32" i="11"/>
  <c r="O32" i="11" s="1"/>
  <c r="N33" i="11"/>
  <c r="R33" i="11" s="1"/>
  <c r="Q33" i="11"/>
  <c r="Z26" i="11"/>
  <c r="O28" i="11"/>
  <c r="R26" i="11"/>
  <c r="F118" i="2"/>
  <c r="AC35" i="11"/>
  <c r="Q32" i="11"/>
  <c r="AD32" i="11" s="1"/>
  <c r="S35" i="11"/>
  <c r="AA35" i="11" s="1"/>
  <c r="AB35" i="11" s="1"/>
  <c r="Q35" i="11"/>
  <c r="BB273" i="20"/>
  <c r="BM15" i="20"/>
  <c r="AZ234" i="20"/>
  <c r="BF379" i="20"/>
  <c r="BO58" i="20"/>
  <c r="BA18" i="20"/>
  <c r="BF253" i="20"/>
  <c r="BH11" i="20"/>
  <c r="BA7" i="20"/>
  <c r="BD558" i="20"/>
  <c r="BF45" i="20"/>
  <c r="BK43" i="20"/>
  <c r="BM297" i="20"/>
  <c r="BF51" i="20"/>
  <c r="BC186" i="20"/>
  <c r="BA209" i="20"/>
  <c r="BG588" i="20"/>
  <c r="BF347" i="20"/>
  <c r="BF412" i="20"/>
  <c r="BA269" i="20"/>
  <c r="BN88" i="20"/>
  <c r="BN19" i="20"/>
  <c r="BN161" i="20"/>
  <c r="AZ303" i="20"/>
  <c r="BM423" i="20"/>
  <c r="BA271" i="20"/>
  <c r="AZ96" i="20"/>
  <c r="BG377" i="20"/>
  <c r="BB137" i="20"/>
  <c r="BC92" i="20"/>
  <c r="BN91" i="20"/>
  <c r="BB146" i="20"/>
  <c r="BD241" i="20"/>
  <c r="BP113" i="20"/>
  <c r="BA277" i="20"/>
  <c r="BO391" i="20"/>
  <c r="BF370" i="20"/>
  <c r="BM434" i="20"/>
  <c r="BP56" i="20"/>
  <c r="BO55" i="20"/>
  <c r="BJ523" i="20"/>
  <c r="BA213" i="20"/>
  <c r="AZ334" i="20"/>
  <c r="BN54" i="20"/>
  <c r="BO111" i="20"/>
  <c r="BG381" i="20"/>
  <c r="BM184" i="20"/>
  <c r="BG300" i="20"/>
  <c r="BG47" i="20"/>
  <c r="BM162" i="20"/>
  <c r="BA30" i="20"/>
  <c r="BA275" i="20"/>
  <c r="BB279" i="20"/>
  <c r="AZ310" i="20"/>
  <c r="BO80" i="20"/>
  <c r="BM79" i="20"/>
  <c r="BB333" i="20"/>
  <c r="BB255" i="20"/>
  <c r="AZ72" i="20"/>
  <c r="BB230" i="20"/>
  <c r="BA99" i="20"/>
  <c r="BH566" i="20"/>
  <c r="BM18" i="20"/>
  <c r="AZ106" i="20"/>
  <c r="BD554" i="20"/>
  <c r="BI493" i="20"/>
  <c r="BO53" i="20"/>
  <c r="BF375" i="20"/>
  <c r="BN603" i="20"/>
  <c r="BA208" i="20"/>
  <c r="BA247" i="20"/>
  <c r="BH52" i="20"/>
  <c r="BI50" i="20"/>
  <c r="BD556" i="20"/>
  <c r="BO472" i="20"/>
  <c r="BA295" i="20"/>
  <c r="BM289" i="20"/>
  <c r="BM188" i="20"/>
  <c r="BG590" i="20"/>
  <c r="BO110" i="20"/>
  <c r="BN397" i="20"/>
  <c r="BN527" i="20"/>
  <c r="BB254" i="20"/>
  <c r="BF343" i="20"/>
  <c r="BN267" i="20"/>
  <c r="BN70" i="20"/>
  <c r="BM262" i="20"/>
  <c r="AZ292" i="20"/>
  <c r="AZ562" i="20"/>
  <c r="BN64" i="20"/>
  <c r="BO471" i="20"/>
  <c r="BI476" i="20"/>
  <c r="AZ91" i="20"/>
  <c r="BK426" i="20"/>
  <c r="BO559" i="20"/>
  <c r="BM361" i="20"/>
  <c r="BB102" i="20"/>
  <c r="BB158" i="20"/>
  <c r="BC161" i="20"/>
  <c r="BM144" i="20"/>
  <c r="BA22" i="20"/>
  <c r="BH591" i="20"/>
  <c r="AZ335" i="20"/>
  <c r="BO439" i="20"/>
  <c r="BB182" i="20"/>
  <c r="BA150" i="20"/>
  <c r="BM67" i="20"/>
  <c r="BO201" i="20"/>
  <c r="BB176" i="20"/>
  <c r="BI491" i="20"/>
  <c r="BM69" i="20"/>
  <c r="BC73" i="20"/>
  <c r="BN601" i="20"/>
  <c r="BB352" i="20"/>
  <c r="BI484" i="20"/>
  <c r="BB82" i="20"/>
  <c r="BI474" i="20"/>
  <c r="BP324" i="20"/>
  <c r="BA6" i="20"/>
  <c r="BP316" i="20"/>
  <c r="BB14" i="20"/>
  <c r="BH405" i="20"/>
  <c r="BC512" i="20"/>
  <c r="BA152" i="20"/>
  <c r="BC289" i="20"/>
  <c r="BB157" i="20"/>
  <c r="BM543" i="20"/>
  <c r="BK521" i="20"/>
  <c r="BP312" i="20"/>
  <c r="BA288" i="20"/>
  <c r="BB362" i="20"/>
  <c r="BP358" i="20"/>
  <c r="BC259" i="20"/>
  <c r="BO190" i="20"/>
  <c r="BB276" i="20"/>
  <c r="BJ483" i="20"/>
  <c r="BC237" i="20"/>
  <c r="BB522" i="20"/>
  <c r="BI592" i="20"/>
  <c r="BN388" i="20"/>
  <c r="BN123" i="20"/>
  <c r="BJ48" i="20"/>
  <c r="BO286" i="20"/>
  <c r="BB15" i="20"/>
  <c r="BH593" i="20"/>
  <c r="BO438" i="20"/>
  <c r="AZ33" i="20"/>
  <c r="BB27" i="20"/>
  <c r="AZ326" i="20"/>
  <c r="BO443" i="20"/>
  <c r="BA605" i="20"/>
  <c r="BM264" i="20"/>
  <c r="BN553" i="20"/>
  <c r="BA26" i="20"/>
  <c r="BB353" i="20"/>
  <c r="BA524" i="20"/>
  <c r="BB167" i="20"/>
  <c r="BD563" i="20"/>
  <c r="BA286" i="20"/>
  <c r="BA358" i="20"/>
  <c r="BB190" i="20"/>
  <c r="BP390" i="20"/>
  <c r="BN440" i="20"/>
  <c r="BB90" i="20"/>
  <c r="BO203" i="20"/>
  <c r="BB351" i="20"/>
  <c r="BD294" i="20"/>
  <c r="BF553" i="20"/>
  <c r="BA578" i="20"/>
  <c r="BK522" i="20"/>
  <c r="BN145" i="20"/>
  <c r="BB177" i="20"/>
  <c r="BG403" i="20"/>
  <c r="BF413" i="20"/>
  <c r="BM160" i="20"/>
  <c r="AZ480" i="20"/>
  <c r="BB181" i="20"/>
  <c r="BH401" i="20"/>
  <c r="BC611" i="20"/>
  <c r="BG12" i="20"/>
  <c r="BA245" i="20"/>
  <c r="BF374" i="20"/>
  <c r="BB60" i="20"/>
  <c r="BA499" i="20"/>
  <c r="BB499" i="20" s="1"/>
  <c r="BC499" i="20" s="1"/>
  <c r="BD499" i="20" s="1"/>
  <c r="BE499" i="20" s="1"/>
  <c r="BF499" i="20" s="1"/>
  <c r="BA242" i="20"/>
  <c r="BN442" i="20"/>
  <c r="BM441" i="20"/>
  <c r="BA595" i="20"/>
  <c r="BB356" i="20"/>
  <c r="BB174" i="20"/>
  <c r="BG569" i="20"/>
  <c r="BA293" i="20"/>
  <c r="BO586" i="20"/>
  <c r="AZ485" i="20"/>
  <c r="BO204" i="20"/>
  <c r="BN261" i="20"/>
  <c r="BN360" i="20"/>
  <c r="BQ419" i="20"/>
  <c r="BN128" i="20"/>
  <c r="BB66" i="20"/>
  <c r="BF466" i="20"/>
  <c r="BE466" i="20"/>
  <c r="BP84" i="20"/>
  <c r="BO200" i="20"/>
  <c r="BB151" i="20"/>
  <c r="BD140" i="20"/>
  <c r="BH406" i="20"/>
  <c r="BN431" i="20"/>
  <c r="BB227" i="20"/>
  <c r="BA338" i="20"/>
  <c r="BI402" i="20"/>
  <c r="BM465" i="20"/>
  <c r="BM450" i="20"/>
  <c r="BB355" i="20"/>
  <c r="BN290" i="20"/>
  <c r="BB284" i="20"/>
  <c r="BN151" i="20"/>
  <c r="BI504" i="20"/>
  <c r="BN189" i="20"/>
  <c r="BM180" i="20"/>
  <c r="BM260" i="20"/>
  <c r="BN542" i="20"/>
  <c r="BA395" i="20"/>
  <c r="BP414" i="20"/>
  <c r="BQ456" i="20"/>
  <c r="BC219" i="20"/>
  <c r="AZ579" i="20"/>
  <c r="BO415" i="20"/>
  <c r="BB69" i="20"/>
  <c r="BN121" i="20"/>
  <c r="BE514" i="20"/>
  <c r="BM77" i="20"/>
  <c r="BB274" i="20"/>
  <c r="BB180" i="20"/>
  <c r="BA153" i="20"/>
  <c r="BN158" i="20"/>
  <c r="BB325" i="20"/>
  <c r="BA487" i="20"/>
  <c r="BB487" i="20" s="1"/>
  <c r="BC487" i="20" s="1"/>
  <c r="BD487" i="20" s="1"/>
  <c r="BE487" i="20" s="1"/>
  <c r="BF487" i="20" s="1"/>
  <c r="BE559" i="20"/>
  <c r="BF559" i="20" s="1"/>
  <c r="BD581" i="20"/>
  <c r="BM131" i="20"/>
  <c r="AZ607" i="20"/>
  <c r="BN463" i="20"/>
  <c r="BM146" i="20"/>
  <c r="BN530" i="20"/>
  <c r="BN273" i="20"/>
  <c r="BO78" i="20"/>
  <c r="BB128" i="20"/>
  <c r="AZ216" i="20"/>
  <c r="AZ503" i="20"/>
  <c r="BD609" i="20"/>
  <c r="BB63" i="20"/>
  <c r="BN384" i="20"/>
  <c r="BB262" i="20"/>
  <c r="BO191" i="20"/>
  <c r="BF44" i="20"/>
  <c r="BE470" i="20"/>
  <c r="BF470" i="20"/>
  <c r="BF440" i="20"/>
  <c r="BB136" i="20"/>
  <c r="BC337" i="20"/>
  <c r="BM272" i="20"/>
  <c r="BJ36" i="20"/>
  <c r="BC184" i="20"/>
  <c r="BG382" i="20"/>
  <c r="BB299" i="20"/>
  <c r="BB327" i="20"/>
  <c r="BF468" i="20"/>
  <c r="BE468" i="20"/>
  <c r="BO546" i="20"/>
  <c r="BH366" i="20"/>
  <c r="BN170" i="20"/>
  <c r="BH567" i="20"/>
  <c r="BO202" i="20"/>
  <c r="BM457" i="20"/>
  <c r="BB20" i="20"/>
  <c r="BB341" i="20"/>
  <c r="BH589" i="20"/>
  <c r="BM413" i="20"/>
  <c r="AZ34" i="20"/>
  <c r="BA290" i="20"/>
  <c r="BH46" i="20"/>
  <c r="BA602" i="20"/>
  <c r="BN133" i="20"/>
  <c r="BA304" i="20"/>
  <c r="BB354" i="20"/>
  <c r="BC535" i="20"/>
  <c r="BK489" i="20"/>
  <c r="BO387" i="20"/>
  <c r="BM89" i="20"/>
  <c r="BM274" i="20"/>
  <c r="BM467" i="20"/>
  <c r="BB210" i="20"/>
  <c r="BP509" i="20"/>
  <c r="BN574" i="20"/>
  <c r="AZ521" i="20"/>
  <c r="BM85" i="20"/>
  <c r="BB183" i="20"/>
  <c r="BB404" i="20"/>
  <c r="BH408" i="20"/>
  <c r="BM71" i="20"/>
  <c r="AZ428" i="20"/>
  <c r="BN462" i="20"/>
  <c r="BB229" i="20"/>
  <c r="BB64" i="20"/>
  <c r="BP87" i="20"/>
  <c r="BE472" i="20"/>
  <c r="BF472" i="20"/>
  <c r="BA31" i="20"/>
  <c r="BB173" i="20"/>
  <c r="BB143" i="20"/>
  <c r="BN468" i="20"/>
  <c r="BA185" i="20"/>
  <c r="BI496" i="20"/>
  <c r="BH495" i="20"/>
  <c r="AZ206" i="20"/>
  <c r="BE557" i="20"/>
  <c r="BO147" i="20"/>
  <c r="BO422" i="20"/>
  <c r="BL427" i="20"/>
  <c r="BN86" i="20"/>
  <c r="BA207" i="20"/>
  <c r="BO192" i="20"/>
  <c r="BP187" i="20"/>
  <c r="BN529" i="20"/>
  <c r="BK38" i="20"/>
  <c r="BF421" i="20"/>
  <c r="BE555" i="20"/>
  <c r="BA236" i="20"/>
  <c r="BB160" i="20"/>
  <c r="BA394" i="20"/>
  <c r="BE223" i="20"/>
  <c r="BB464" i="20"/>
  <c r="BI409" i="20"/>
  <c r="BM365" i="20"/>
  <c r="BO583" i="20"/>
  <c r="BB565" i="20"/>
  <c r="BJ497" i="20"/>
  <c r="BN600" i="20"/>
  <c r="BM398" i="20"/>
  <c r="BN164" i="20"/>
  <c r="BC166" i="20"/>
  <c r="BB29" i="20"/>
  <c r="BM176" i="20"/>
  <c r="BB8" i="20"/>
  <c r="BC187" i="20"/>
  <c r="AZ482" i="20"/>
  <c r="BJ478" i="20"/>
  <c r="BP112" i="20"/>
  <c r="BC122" i="20"/>
  <c r="BO393" i="20"/>
  <c r="AZ32" i="20"/>
  <c r="BB613" i="20"/>
  <c r="BM168" i="20"/>
  <c r="BO199" i="20"/>
  <c r="BG537" i="20"/>
  <c r="BO196" i="20"/>
  <c r="BF251" i="20"/>
  <c r="AZ107" i="20"/>
  <c r="BN269" i="20"/>
  <c r="BM268" i="20"/>
  <c r="BG49" i="20"/>
  <c r="BN460" i="20"/>
  <c r="AZ600" i="20"/>
  <c r="BN186" i="20"/>
  <c r="BM420" i="20"/>
  <c r="BA164" i="20"/>
  <c r="BN355" i="20"/>
  <c r="BJ485" i="20"/>
  <c r="BB360" i="20"/>
  <c r="BM143" i="20"/>
  <c r="AZ532" i="20"/>
  <c r="BG348" i="20"/>
  <c r="BG548" i="20"/>
  <c r="AZ601" i="20"/>
  <c r="BN354" i="20"/>
  <c r="BA109" i="20"/>
  <c r="BN152" i="20"/>
  <c r="BB77" i="20"/>
  <c r="BK525" i="20"/>
  <c r="BN395" i="20"/>
  <c r="BM421" i="20"/>
  <c r="BP323" i="20"/>
  <c r="BP506" i="20"/>
  <c r="BO585" i="20"/>
  <c r="BB156" i="20"/>
  <c r="BB24" i="20"/>
  <c r="BN68" i="20"/>
  <c r="AZ329" i="20"/>
  <c r="BA211" i="20"/>
  <c r="BB84" i="20"/>
  <c r="AZ478" i="20"/>
  <c r="BA478" i="20"/>
  <c r="BB478" i="20" s="1"/>
  <c r="BC478" i="20" s="1"/>
  <c r="BD478" i="20" s="1"/>
  <c r="BE478" i="20" s="1"/>
  <c r="BF478" i="20" s="1"/>
  <c r="BN179" i="20"/>
  <c r="BD465" i="20"/>
  <c r="BO383" i="20"/>
  <c r="BI479" i="20"/>
  <c r="BM183" i="20"/>
  <c r="BC285" i="20"/>
  <c r="BB350" i="20"/>
  <c r="BO432" i="20"/>
  <c r="BB397" i="20"/>
  <c r="BB311" i="20"/>
  <c r="AZ93" i="20"/>
  <c r="AZ89" i="20"/>
  <c r="BC155" i="20"/>
  <c r="BN20" i="20"/>
  <c r="BC222" i="20"/>
  <c r="BH568" i="20"/>
  <c r="BF380" i="20"/>
  <c r="BN458" i="20"/>
  <c r="BN424" i="20"/>
  <c r="BC301" i="20"/>
  <c r="BN416" i="20"/>
  <c r="BB68" i="20"/>
  <c r="BM181" i="20"/>
  <c r="BD144" i="20"/>
  <c r="BN173" i="20"/>
  <c r="BH252" i="20"/>
  <c r="BG570" i="20"/>
  <c r="BB244" i="20"/>
  <c r="BG539" i="20"/>
  <c r="BN551" i="20"/>
  <c r="BA170" i="20"/>
  <c r="BA363" i="20"/>
  <c r="BB28" i="20"/>
  <c r="BG541" i="20"/>
  <c r="BO116" i="20"/>
  <c r="BB159" i="20"/>
  <c r="BJ494" i="20"/>
  <c r="BM552" i="20"/>
  <c r="BB81" i="20"/>
  <c r="BN573" i="20"/>
  <c r="BO606" i="20"/>
  <c r="BB307" i="20"/>
  <c r="BA154" i="20"/>
  <c r="BQ283" i="20"/>
  <c r="BB74" i="20"/>
  <c r="BN271" i="20"/>
  <c r="BF422" i="20"/>
  <c r="BB534" i="20"/>
  <c r="BA361" i="20"/>
  <c r="BO193" i="20"/>
  <c r="BN459" i="20"/>
  <c r="BG371" i="20"/>
  <c r="BN389" i="20"/>
  <c r="BM294" i="20"/>
  <c r="BM594" i="20"/>
  <c r="BC232" i="20"/>
  <c r="BP82" i="20"/>
  <c r="BB248" i="20"/>
  <c r="BA19" i="20"/>
  <c r="BB364" i="20"/>
  <c r="BP315" i="20"/>
  <c r="AZ599" i="20"/>
  <c r="BI486" i="20"/>
  <c r="BM83" i="20"/>
  <c r="BD596" i="20"/>
  <c r="BP392" i="20"/>
  <c r="BA302" i="20"/>
  <c r="BB147" i="20"/>
  <c r="BC328" i="20"/>
  <c r="BJ503" i="20"/>
  <c r="AZ483" i="20"/>
  <c r="BB280" i="20"/>
  <c r="BB606" i="20"/>
  <c r="BB178" i="20"/>
  <c r="BN544" i="20"/>
  <c r="BQ282" i="20"/>
  <c r="AZ233" i="20"/>
  <c r="BB87" i="20"/>
  <c r="BP313" i="20"/>
  <c r="BO587" i="20"/>
  <c r="BN418" i="20"/>
  <c r="BF344" i="20"/>
  <c r="BN17" i="20"/>
  <c r="BC511" i="20"/>
  <c r="BA108" i="20"/>
  <c r="BO285" i="20"/>
  <c r="BO114" i="20"/>
  <c r="BP167" i="20"/>
  <c r="AZ243" i="20"/>
  <c r="BA396" i="20"/>
  <c r="BO198" i="20"/>
  <c r="BN470" i="20"/>
  <c r="BA168" i="20"/>
  <c r="BB218" i="20"/>
  <c r="BC291" i="20"/>
  <c r="BB85" i="20"/>
  <c r="BE515" i="20"/>
  <c r="T5" i="20"/>
  <c r="BA5" i="20"/>
  <c r="BM81" i="20"/>
  <c r="BB145" i="20"/>
  <c r="BA88" i="20"/>
  <c r="BA594" i="20"/>
  <c r="BB67" i="20"/>
  <c r="BM276" i="20"/>
  <c r="BN156" i="20"/>
  <c r="AZ235" i="20"/>
  <c r="AZ502" i="20"/>
  <c r="BB61" i="20"/>
  <c r="BE560" i="20"/>
  <c r="BF560" i="20" s="1"/>
  <c r="BB520" i="20"/>
  <c r="BK482" i="20"/>
  <c r="BB132" i="20"/>
  <c r="BN165" i="20"/>
  <c r="BD473" i="20"/>
  <c r="BM602" i="20"/>
  <c r="BN461" i="20"/>
  <c r="BH378" i="20"/>
  <c r="BC124" i="20"/>
  <c r="BB59" i="20"/>
  <c r="BB331" i="20"/>
  <c r="BA165" i="20"/>
  <c r="BE518" i="20"/>
  <c r="BC580" i="20"/>
  <c r="BO452" i="20"/>
  <c r="BA121" i="20"/>
  <c r="BM455" i="20"/>
  <c r="BO417" i="20"/>
  <c r="BH399" i="20"/>
  <c r="BD17" i="20"/>
  <c r="BC205" i="20"/>
  <c r="BB257" i="20"/>
  <c r="BM178" i="20"/>
  <c r="BO436" i="20"/>
  <c r="BB260" i="20"/>
  <c r="BA576" i="20"/>
  <c r="BK35" i="20"/>
  <c r="BC221" i="20"/>
  <c r="BB79" i="20"/>
  <c r="BO197" i="20"/>
  <c r="AZ97" i="20"/>
  <c r="BJ40" i="20"/>
  <c r="BP545" i="20"/>
  <c r="BN448" i="20"/>
  <c r="BB231" i="20"/>
  <c r="BN159" i="20"/>
  <c r="BB614" i="20"/>
  <c r="BN172" i="20"/>
  <c r="BP508" i="20"/>
  <c r="BN295" i="20"/>
  <c r="BK39" i="20"/>
  <c r="BI490" i="20"/>
  <c r="BC577" i="20"/>
  <c r="BO122" i="20"/>
  <c r="BB519" i="20"/>
  <c r="BN175" i="20"/>
  <c r="BC612" i="20"/>
  <c r="BC267" i="20"/>
  <c r="BJ373" i="20"/>
  <c r="BN531" i="20"/>
  <c r="BO435" i="20"/>
  <c r="BI346" i="20"/>
  <c r="BB306" i="20"/>
  <c r="BM596" i="20"/>
  <c r="BJ487" i="20"/>
  <c r="BN150" i="20"/>
  <c r="BB411" i="20"/>
  <c r="BD78" i="20"/>
  <c r="BC261" i="20"/>
  <c r="BF545" i="20"/>
  <c r="BJ488" i="20"/>
  <c r="AZ330" i="20"/>
  <c r="BN129" i="20"/>
  <c r="AZ533" i="20"/>
  <c r="BB561" i="20"/>
  <c r="BB80" i="20"/>
  <c r="BM604" i="20"/>
  <c r="AZ500" i="20"/>
  <c r="BA525" i="20"/>
  <c r="BO59" i="20"/>
  <c r="BM270" i="20"/>
  <c r="BO120" i="20"/>
  <c r="BB179" i="20"/>
  <c r="BC162" i="20"/>
  <c r="BO124" i="20"/>
  <c r="BB172" i="20"/>
  <c r="BN265" i="20"/>
  <c r="BA104" i="20"/>
  <c r="BA597" i="20"/>
  <c r="BC130" i="20"/>
  <c r="BG368" i="20"/>
  <c r="BA603" i="20"/>
  <c r="BJ505" i="20"/>
  <c r="BD220" i="20"/>
  <c r="BA133" i="20"/>
  <c r="AZ575" i="20"/>
  <c r="BH345" i="20"/>
  <c r="BO599" i="20"/>
  <c r="BA23" i="20"/>
  <c r="AZ103" i="20"/>
  <c r="AZ340" i="20"/>
  <c r="BG372" i="20"/>
  <c r="BA214" i="20"/>
  <c r="BM449" i="20"/>
  <c r="AZ10" i="20"/>
  <c r="BN275" i="20"/>
  <c r="BB188" i="20"/>
  <c r="BN362" i="20"/>
  <c r="BA296" i="20"/>
  <c r="BC265" i="20"/>
  <c r="BN350" i="20"/>
  <c r="BA105" i="20"/>
  <c r="BC224" i="20"/>
  <c r="BK41" i="20"/>
  <c r="BA336" i="20"/>
  <c r="BO444" i="20"/>
  <c r="BA365" i="20"/>
  <c r="BN433" i="20"/>
  <c r="BO141" i="20"/>
  <c r="BB83" i="20"/>
  <c r="BC297" i="20"/>
  <c r="BM153" i="20"/>
  <c r="BB135" i="20"/>
  <c r="BM363" i="20"/>
  <c r="BN353" i="20"/>
  <c r="BN142" i="20"/>
  <c r="BC339" i="20"/>
  <c r="BQ281" i="20"/>
  <c r="BC86" i="20"/>
  <c r="BA9" i="20"/>
  <c r="BI501" i="20"/>
  <c r="BQ507" i="20"/>
  <c r="AZ309" i="20"/>
  <c r="BM119" i="20"/>
  <c r="BM22" i="20"/>
  <c r="BC21" i="20"/>
  <c r="BM174" i="20"/>
  <c r="BM14" i="20"/>
  <c r="AZ505" i="20"/>
  <c r="BA505" i="20" s="1"/>
  <c r="BB505" i="20" s="1"/>
  <c r="BC505" i="20" s="1"/>
  <c r="BD505" i="20" s="1"/>
  <c r="BE505" i="20" s="1"/>
  <c r="BF505" i="20" s="1"/>
  <c r="BB62" i="20"/>
  <c r="BM148" i="20"/>
  <c r="BH367" i="20"/>
  <c r="BO446" i="20"/>
  <c r="BD217" i="20"/>
  <c r="BP314" i="20"/>
  <c r="AZ94" i="20"/>
  <c r="BB264" i="20"/>
  <c r="BG550" i="20"/>
  <c r="BF536" i="20"/>
  <c r="BM445" i="20"/>
  <c r="BO194" i="20"/>
  <c r="BB357" i="20"/>
  <c r="BN263" i="20"/>
  <c r="BB149" i="20"/>
  <c r="BK499" i="20"/>
  <c r="BA131" i="20"/>
  <c r="BC239" i="20"/>
  <c r="BC610" i="20"/>
  <c r="BO288" i="20"/>
  <c r="AZ250" i="20"/>
  <c r="BC608" i="20"/>
  <c r="BO466" i="20"/>
  <c r="BN571" i="20"/>
  <c r="BO547" i="20"/>
  <c r="BN169" i="20"/>
  <c r="BA319" i="20"/>
  <c r="AZ212" i="20"/>
  <c r="BC75" i="20"/>
  <c r="BK42" i="20"/>
  <c r="BO582" i="20"/>
  <c r="BM473" i="20"/>
  <c r="BC258" i="20"/>
  <c r="BA225" i="20"/>
  <c r="BJ480" i="20"/>
  <c r="BB266" i="20"/>
  <c r="BJ428" i="20"/>
  <c r="BC148" i="20"/>
  <c r="BG349" i="20"/>
  <c r="BD342" i="20"/>
  <c r="BM154" i="20"/>
  <c r="BM469" i="20"/>
  <c r="BN163" i="20"/>
  <c r="BB516" i="20"/>
  <c r="BJ500" i="20"/>
  <c r="BM76" i="20"/>
  <c r="BN177" i="20"/>
  <c r="BK524" i="20"/>
  <c r="BA123" i="20"/>
  <c r="BN259" i="20"/>
  <c r="BN597" i="20"/>
  <c r="BB256" i="20"/>
  <c r="BA564" i="20"/>
  <c r="BK37" i="20"/>
  <c r="BN352" i="20"/>
  <c r="BN185" i="20"/>
  <c r="BB141" i="20"/>
  <c r="BJ526" i="20"/>
  <c r="BH540" i="20"/>
  <c r="BO607" i="20"/>
  <c r="BH407" i="20"/>
  <c r="BB272" i="20"/>
  <c r="BO605" i="20"/>
  <c r="BA100" i="20"/>
  <c r="BA25" i="20"/>
  <c r="BN394" i="20"/>
  <c r="BI475" i="20"/>
  <c r="BB517" i="20"/>
  <c r="BA129" i="20"/>
  <c r="BO90" i="20"/>
  <c r="BM266" i="20"/>
  <c r="BK429" i="20"/>
  <c r="BB270" i="20"/>
  <c r="AZ246" i="20"/>
  <c r="BM63" i="20"/>
  <c r="BN157" i="20"/>
  <c r="BC119" i="20"/>
  <c r="BO125" i="20"/>
  <c r="BI549" i="20"/>
  <c r="BC513" i="20"/>
  <c r="BB125" i="20"/>
  <c r="BC171" i="20"/>
  <c r="BP317" i="20"/>
  <c r="BD467" i="20"/>
  <c r="BA287" i="20"/>
  <c r="BB71" i="20"/>
  <c r="BM359" i="20"/>
  <c r="BN437" i="20"/>
  <c r="BM149" i="20"/>
  <c r="BI492" i="20"/>
  <c r="BG410" i="20"/>
  <c r="BA308" i="20"/>
  <c r="BI498" i="20"/>
  <c r="BG13" i="20"/>
  <c r="BC240" i="20"/>
  <c r="BB318" i="20"/>
  <c r="BA169" i="20"/>
  <c r="BB598" i="20"/>
  <c r="BN257" i="20"/>
  <c r="BC163" i="20"/>
  <c r="BP57" i="20"/>
  <c r="BA249" i="20"/>
  <c r="BB268" i="20"/>
  <c r="BA138" i="20"/>
  <c r="BB70" i="20"/>
  <c r="BA127" i="20"/>
  <c r="BP115" i="20"/>
  <c r="BB95" i="20"/>
  <c r="BO560" i="20"/>
  <c r="BM171" i="20"/>
  <c r="BM396" i="20"/>
  <c r="BG400" i="20"/>
  <c r="BA359" i="20"/>
  <c r="BC263" i="20"/>
  <c r="BJ502" i="20"/>
  <c r="BB332" i="20"/>
  <c r="BN130" i="20"/>
  <c r="BP321" i="20"/>
  <c r="BG376" i="20"/>
  <c r="BD604" i="20"/>
  <c r="BN21" i="20"/>
  <c r="BP291" i="20"/>
  <c r="BN357" i="20"/>
  <c r="BH369" i="20"/>
  <c r="BA393" i="20"/>
  <c r="BM454" i="20"/>
  <c r="BP166" i="20"/>
  <c r="BD226" i="20"/>
  <c r="BE471" i="20"/>
  <c r="BF471" i="20"/>
  <c r="BM65" i="20"/>
  <c r="BN356" i="20"/>
  <c r="AZ305" i="20"/>
  <c r="BB76" i="20"/>
  <c r="BK430" i="20"/>
  <c r="BN66" i="20"/>
  <c r="BI477" i="20"/>
  <c r="BB175" i="20"/>
  <c r="BB16" i="20"/>
  <c r="BN351" i="20"/>
  <c r="BM16" i="20"/>
  <c r="BA228" i="20"/>
  <c r="BO195" i="20"/>
  <c r="BN287" i="20"/>
  <c r="BP322" i="20"/>
  <c r="BM453" i="20"/>
  <c r="BM447" i="20"/>
  <c r="BA126" i="20"/>
  <c r="BP386" i="20"/>
  <c r="BB120" i="20"/>
  <c r="AZ481" i="20"/>
  <c r="BA98" i="20"/>
  <c r="BA215" i="20"/>
  <c r="AZ298" i="20"/>
  <c r="BQ118" i="20"/>
  <c r="BA189" i="20"/>
  <c r="BP117" i="20"/>
  <c r="AZ101" i="20"/>
  <c r="BP320" i="20"/>
  <c r="BB523" i="20"/>
  <c r="BO132" i="20"/>
  <c r="BN595" i="20"/>
  <c r="AZ278" i="20"/>
  <c r="AZ139" i="20"/>
  <c r="BN572" i="20"/>
  <c r="BM182" i="20"/>
  <c r="BN528" i="20"/>
  <c r="BH538" i="20"/>
  <c r="BP385" i="20"/>
  <c r="BA398" i="20"/>
  <c r="BN155" i="20"/>
  <c r="BM127" i="20"/>
  <c r="BB65" i="20"/>
  <c r="BD238" i="20"/>
  <c r="BM451" i="20"/>
  <c r="BN364" i="20"/>
  <c r="BM258" i="20"/>
  <c r="BP126" i="20"/>
  <c r="BP296" i="20"/>
  <c r="BC142" i="20"/>
  <c r="AZ134" i="20"/>
  <c r="BO584" i="20"/>
  <c r="BP510" i="20"/>
  <c r="BL425" i="20"/>
  <c r="S36" i="11"/>
  <c r="AA36" i="11" s="1"/>
  <c r="S27" i="11"/>
  <c r="AA27" i="11" s="1"/>
  <c r="S37" i="11"/>
  <c r="AA37" i="11" s="1"/>
  <c r="AB37" i="11" s="1"/>
  <c r="R28" i="11"/>
  <c r="S29" i="11"/>
  <c r="AA29" i="11" s="1"/>
  <c r="AC38" i="11"/>
  <c r="Z31" i="11"/>
  <c r="AC37" i="11"/>
  <c r="AE37" i="11" s="1"/>
  <c r="Z36" i="11"/>
  <c r="Z29" i="11"/>
  <c r="AC32" i="11"/>
  <c r="AE27" i="11"/>
  <c r="AE29" i="11"/>
  <c r="T27" i="11"/>
  <c r="R31" i="11"/>
  <c r="S31" i="11"/>
  <c r="AA31" i="11" s="1"/>
  <c r="T29" i="11"/>
  <c r="Z27" i="11"/>
  <c r="Z28" i="11"/>
  <c r="AC28" i="11"/>
  <c r="R25" i="11" l="1"/>
  <c r="BR283" i="20"/>
  <c r="AL283" i="20"/>
  <c r="AM283" i="20"/>
  <c r="AL118" i="20"/>
  <c r="AM118" i="20"/>
  <c r="AM282" i="20"/>
  <c r="AL282" i="20"/>
  <c r="AL456" i="20"/>
  <c r="AM456" i="20"/>
  <c r="AM281" i="20"/>
  <c r="AL281" i="20"/>
  <c r="BR507" i="20"/>
  <c r="AL507" i="20"/>
  <c r="AM507" i="20"/>
  <c r="AM419" i="20"/>
  <c r="AL419" i="20"/>
  <c r="O34" i="11"/>
  <c r="S34" i="11" s="1"/>
  <c r="AA34" i="11" s="1"/>
  <c r="AB34" i="11" s="1"/>
  <c r="R34" i="11"/>
  <c r="T34" i="11" s="1"/>
  <c r="F59" i="2"/>
  <c r="H25" i="11" s="1"/>
  <c r="F45" i="2"/>
  <c r="F56" i="2"/>
  <c r="F130" i="24"/>
  <c r="I31" i="23" s="1"/>
  <c r="F116" i="2"/>
  <c r="AE38" i="11"/>
  <c r="I25" i="11"/>
  <c r="K25" i="11" s="1"/>
  <c r="O25" i="11"/>
  <c r="T31" i="11"/>
  <c r="M30" i="23"/>
  <c r="U30" i="23"/>
  <c r="R30" i="23"/>
  <c r="K36" i="23"/>
  <c r="K35" i="23"/>
  <c r="V35" i="23" s="1"/>
  <c r="F520" i="24"/>
  <c r="F374" i="24"/>
  <c r="M36" i="23"/>
  <c r="R36" i="23"/>
  <c r="L36" i="23"/>
  <c r="U36" i="23"/>
  <c r="F437" i="24"/>
  <c r="K37" i="23"/>
  <c r="U35" i="23"/>
  <c r="R35" i="23"/>
  <c r="M35" i="23"/>
  <c r="L35" i="23"/>
  <c r="M37" i="23"/>
  <c r="R37" i="23"/>
  <c r="L37" i="23"/>
  <c r="U37" i="23"/>
  <c r="F248" i="24"/>
  <c r="K34" i="23"/>
  <c r="V34" i="23" s="1"/>
  <c r="H33" i="23"/>
  <c r="H34" i="23"/>
  <c r="F311" i="24"/>
  <c r="K33" i="23"/>
  <c r="BC522" i="20"/>
  <c r="BD522" i="20" s="1"/>
  <c r="BE522" i="20" s="1"/>
  <c r="BF522" i="20" s="1"/>
  <c r="BC523" i="20"/>
  <c r="BD523" i="20" s="1"/>
  <c r="BE523" i="20" s="1"/>
  <c r="BF523" i="20" s="1"/>
  <c r="BA500" i="20"/>
  <c r="BB500" i="20" s="1"/>
  <c r="BC500" i="20" s="1"/>
  <c r="BD500" i="20" s="1"/>
  <c r="BE500" i="20" s="1"/>
  <c r="BF500" i="20" s="1"/>
  <c r="BA481" i="20"/>
  <c r="BB481" i="20" s="1"/>
  <c r="BC481" i="20" s="1"/>
  <c r="BD481" i="20" s="1"/>
  <c r="BE481" i="20" s="1"/>
  <c r="BF481" i="20" s="1"/>
  <c r="BA485" i="20"/>
  <c r="BB485" i="20" s="1"/>
  <c r="BC485" i="20" s="1"/>
  <c r="BD485" i="20" s="1"/>
  <c r="BE485" i="20" s="1"/>
  <c r="BF485" i="20" s="1"/>
  <c r="BA483" i="20"/>
  <c r="BB483" i="20" s="1"/>
  <c r="BC483" i="20" s="1"/>
  <c r="BD483" i="20" s="1"/>
  <c r="BE483" i="20" s="1"/>
  <c r="BF483" i="20" s="1"/>
  <c r="K32" i="23"/>
  <c r="V32" i="23" s="1"/>
  <c r="R32" i="23"/>
  <c r="M32" i="23"/>
  <c r="U32" i="23"/>
  <c r="L32" i="23"/>
  <c r="F185" i="24"/>
  <c r="F120" i="24"/>
  <c r="M31" i="23"/>
  <c r="R31" i="23"/>
  <c r="U31" i="23"/>
  <c r="AE34" i="11"/>
  <c r="R32" i="11"/>
  <c r="T32" i="11" s="1"/>
  <c r="AD33" i="11"/>
  <c r="AE33" i="11" s="1"/>
  <c r="T33" i="11"/>
  <c r="O33" i="11"/>
  <c r="S33" i="11" s="1"/>
  <c r="AA33" i="11" s="1"/>
  <c r="AB33" i="11" s="1"/>
  <c r="Q26" i="11"/>
  <c r="S26" i="11"/>
  <c r="AA26" i="11" s="1"/>
  <c r="AB26" i="11" s="1"/>
  <c r="S32" i="11"/>
  <c r="AA32" i="11" s="1"/>
  <c r="AB32" i="11" s="1"/>
  <c r="AE32" i="11"/>
  <c r="AD35" i="11"/>
  <c r="AE35" i="11" s="1"/>
  <c r="T35" i="11"/>
  <c r="BC273" i="20"/>
  <c r="BA234" i="20"/>
  <c r="BN15" i="20"/>
  <c r="BG379" i="20"/>
  <c r="BG253" i="20"/>
  <c r="BB18" i="20"/>
  <c r="BB7" i="20"/>
  <c r="BP58" i="20"/>
  <c r="BI11" i="20"/>
  <c r="BP472" i="20"/>
  <c r="BB247" i="20"/>
  <c r="BA72" i="20"/>
  <c r="BP80" i="20"/>
  <c r="BB275" i="20"/>
  <c r="BH300" i="20"/>
  <c r="BP55" i="20"/>
  <c r="BC146" i="20"/>
  <c r="BH377" i="20"/>
  <c r="BA303" i="20"/>
  <c r="BN297" i="20"/>
  <c r="BH590" i="20"/>
  <c r="BP53" i="20"/>
  <c r="BN18" i="20"/>
  <c r="BO54" i="20"/>
  <c r="BP391" i="20"/>
  <c r="BB269" i="20"/>
  <c r="BL43" i="20"/>
  <c r="BN188" i="20"/>
  <c r="BE556" i="20"/>
  <c r="BB208" i="20"/>
  <c r="BJ493" i="20"/>
  <c r="BC255" i="20"/>
  <c r="BB30" i="20"/>
  <c r="BQ56" i="20"/>
  <c r="BB277" i="20"/>
  <c r="BO91" i="20"/>
  <c r="BO161" i="20"/>
  <c r="BB209" i="20"/>
  <c r="BI566" i="20"/>
  <c r="BA310" i="20"/>
  <c r="BN184" i="20"/>
  <c r="BA334" i="20"/>
  <c r="BA96" i="20"/>
  <c r="BG412" i="20"/>
  <c r="BD186" i="20"/>
  <c r="BG45" i="20"/>
  <c r="BO603" i="20"/>
  <c r="BE554" i="20"/>
  <c r="BB99" i="20"/>
  <c r="BC333" i="20"/>
  <c r="BC279" i="20"/>
  <c r="BN162" i="20"/>
  <c r="BB213" i="20"/>
  <c r="BD92" i="20"/>
  <c r="BB271" i="20"/>
  <c r="BN289" i="20"/>
  <c r="BJ50" i="20"/>
  <c r="BH381" i="20"/>
  <c r="BN434" i="20"/>
  <c r="BQ113" i="20"/>
  <c r="BO19" i="20"/>
  <c r="BE558" i="20"/>
  <c r="BP110" i="20"/>
  <c r="BI52" i="20"/>
  <c r="BN79" i="20"/>
  <c r="BH47" i="20"/>
  <c r="BN423" i="20"/>
  <c r="BO88" i="20"/>
  <c r="BG347" i="20"/>
  <c r="BG51" i="20"/>
  <c r="BB295" i="20"/>
  <c r="BG375" i="20"/>
  <c r="BA106" i="20"/>
  <c r="BC230" i="20"/>
  <c r="BP111" i="20"/>
  <c r="BK523" i="20"/>
  <c r="BG370" i="20"/>
  <c r="BE241" i="20"/>
  <c r="BC137" i="20"/>
  <c r="BH588" i="20"/>
  <c r="BN258" i="20"/>
  <c r="BA139" i="20"/>
  <c r="BP607" i="20"/>
  <c r="BP141" i="20"/>
  <c r="BK373" i="20"/>
  <c r="BN178" i="20"/>
  <c r="BA235" i="20"/>
  <c r="BB396" i="20"/>
  <c r="BP116" i="20"/>
  <c r="BN398" i="20"/>
  <c r="BP387" i="20"/>
  <c r="BC20" i="20"/>
  <c r="BC167" i="20"/>
  <c r="BO553" i="20"/>
  <c r="BA33" i="20"/>
  <c r="BK483" i="20"/>
  <c r="BD259" i="20"/>
  <c r="BI405" i="20"/>
  <c r="BJ484" i="20"/>
  <c r="BN69" i="20"/>
  <c r="BP201" i="20"/>
  <c r="BP439" i="20"/>
  <c r="BC102" i="20"/>
  <c r="BL426" i="20"/>
  <c r="BO397" i="20"/>
  <c r="BD142" i="20"/>
  <c r="BN451" i="20"/>
  <c r="BO155" i="20"/>
  <c r="BP132" i="20"/>
  <c r="BN16" i="20"/>
  <c r="BJ477" i="20"/>
  <c r="BB393" i="20"/>
  <c r="BO21" i="20"/>
  <c r="BH376" i="20"/>
  <c r="BB138" i="20"/>
  <c r="BC318" i="20"/>
  <c r="BB564" i="20"/>
  <c r="BO163" i="20"/>
  <c r="BB225" i="20"/>
  <c r="BO571" i="20"/>
  <c r="BA250" i="20"/>
  <c r="BC264" i="20"/>
  <c r="BD86" i="20"/>
  <c r="BO353" i="20"/>
  <c r="BN153" i="20"/>
  <c r="BB336" i="20"/>
  <c r="BO350" i="20"/>
  <c r="BO362" i="20"/>
  <c r="BN449" i="20"/>
  <c r="BP599" i="20"/>
  <c r="BE220" i="20"/>
  <c r="BO265" i="20"/>
  <c r="BN604" i="20"/>
  <c r="BO129" i="20"/>
  <c r="BO150" i="20"/>
  <c r="BJ346" i="20"/>
  <c r="BO175" i="20"/>
  <c r="BO172" i="20"/>
  <c r="BN455" i="20"/>
  <c r="BD580" i="20"/>
  <c r="BC331" i="20"/>
  <c r="BI378" i="20"/>
  <c r="BP114" i="20"/>
  <c r="BD511" i="20"/>
  <c r="BN83" i="20"/>
  <c r="BN594" i="20"/>
  <c r="BH371" i="20"/>
  <c r="BK494" i="20"/>
  <c r="BB363" i="20"/>
  <c r="BH539" i="20"/>
  <c r="BI252" i="20"/>
  <c r="BC68" i="20"/>
  <c r="BO424" i="20"/>
  <c r="BO20" i="20"/>
  <c r="BC397" i="20"/>
  <c r="BF465" i="20"/>
  <c r="BE465" i="20"/>
  <c r="BO68" i="20"/>
  <c r="BN143" i="20"/>
  <c r="BK485" i="20"/>
  <c r="BO186" i="20"/>
  <c r="BH49" i="20"/>
  <c r="BP199" i="20"/>
  <c r="BP393" i="20"/>
  <c r="BC8" i="20"/>
  <c r="BO600" i="20"/>
  <c r="BL38" i="20"/>
  <c r="BB207" i="20"/>
  <c r="BF557" i="20"/>
  <c r="BC404" i="20"/>
  <c r="BQ509" i="20"/>
  <c r="BB304" i="20"/>
  <c r="BI567" i="20"/>
  <c r="BI366" i="20"/>
  <c r="BC327" i="20"/>
  <c r="BO530" i="20"/>
  <c r="BF514" i="20"/>
  <c r="BA579" i="20"/>
  <c r="BN465" i="20"/>
  <c r="BC227" i="20"/>
  <c r="BE140" i="20"/>
  <c r="BR419" i="20"/>
  <c r="BI401" i="20"/>
  <c r="BF294" i="20"/>
  <c r="BE294" i="20"/>
  <c r="BO440" i="20"/>
  <c r="BB358" i="20"/>
  <c r="BB524" i="20"/>
  <c r="BC15" i="20"/>
  <c r="BO388" i="20"/>
  <c r="BQ358" i="20"/>
  <c r="BL521" i="20"/>
  <c r="BD289" i="20"/>
  <c r="BC14" i="20"/>
  <c r="BQ324" i="20"/>
  <c r="BN67" i="20"/>
  <c r="BA91" i="20"/>
  <c r="BA562" i="20"/>
  <c r="BN262" i="20"/>
  <c r="BN171" i="20"/>
  <c r="BN63" i="20"/>
  <c r="BC272" i="20"/>
  <c r="BO185" i="20"/>
  <c r="BO177" i="20"/>
  <c r="BK500" i="20"/>
  <c r="BE342" i="20"/>
  <c r="BB319" i="20"/>
  <c r="BQ314" i="20"/>
  <c r="BC62" i="20"/>
  <c r="BN174" i="20"/>
  <c r="BD297" i="20"/>
  <c r="BO433" i="20"/>
  <c r="BC80" i="20"/>
  <c r="BJ490" i="20"/>
  <c r="BC614" i="20"/>
  <c r="BO448" i="20"/>
  <c r="BA97" i="20"/>
  <c r="BC79" i="20"/>
  <c r="BC257" i="20"/>
  <c r="BO156" i="20"/>
  <c r="BC145" i="20"/>
  <c r="BC85" i="20"/>
  <c r="BB168" i="20"/>
  <c r="BO418" i="20"/>
  <c r="BC87" i="20"/>
  <c r="BC178" i="20"/>
  <c r="BQ315" i="20"/>
  <c r="BC248" i="20"/>
  <c r="BB361" i="20"/>
  <c r="BO573" i="20"/>
  <c r="BC159" i="20"/>
  <c r="BI568" i="20"/>
  <c r="BA93" i="20"/>
  <c r="BN183" i="20"/>
  <c r="BN421" i="20"/>
  <c r="BH548" i="20"/>
  <c r="BG251" i="20"/>
  <c r="BK478" i="20"/>
  <c r="BC464" i="20"/>
  <c r="BJ496" i="20"/>
  <c r="BQ87" i="20"/>
  <c r="BN467" i="20"/>
  <c r="BL489" i="20"/>
  <c r="BN413" i="20"/>
  <c r="BC299" i="20"/>
  <c r="BC136" i="20"/>
  <c r="BG44" i="20"/>
  <c r="BB153" i="20"/>
  <c r="BB395" i="20"/>
  <c r="BN180" i="20"/>
  <c r="BO151" i="20"/>
  <c r="BC151" i="20"/>
  <c r="BC174" i="20"/>
  <c r="BN441" i="20"/>
  <c r="BH12" i="20"/>
  <c r="BL522" i="20"/>
  <c r="BN264" i="20"/>
  <c r="BP286" i="20"/>
  <c r="BC276" i="20"/>
  <c r="BQ312" i="20"/>
  <c r="BC352" i="20"/>
  <c r="BN144" i="20"/>
  <c r="BG343" i="20"/>
  <c r="BM425" i="20"/>
  <c r="BK502" i="20"/>
  <c r="BC95" i="20"/>
  <c r="BO437" i="20"/>
  <c r="BJ475" i="20"/>
  <c r="BD148" i="20"/>
  <c r="BB296" i="20"/>
  <c r="BD162" i="20"/>
  <c r="BC411" i="20"/>
  <c r="BD577" i="20"/>
  <c r="BF515" i="20"/>
  <c r="BB109" i="20"/>
  <c r="BC143" i="20"/>
  <c r="BI46" i="20"/>
  <c r="BD184" i="20"/>
  <c r="BC63" i="20"/>
  <c r="BP415" i="20"/>
  <c r="BN260" i="20"/>
  <c r="BH569" i="20"/>
  <c r="BB242" i="20"/>
  <c r="BQ510" i="20"/>
  <c r="BE226" i="20"/>
  <c r="BO257" i="20"/>
  <c r="BE238" i="20"/>
  <c r="BB398" i="20"/>
  <c r="BI538" i="20"/>
  <c r="BA278" i="20"/>
  <c r="BO351" i="20"/>
  <c r="BI369" i="20"/>
  <c r="BQ321" i="20"/>
  <c r="BD263" i="20"/>
  <c r="BB127" i="20"/>
  <c r="BC268" i="20"/>
  <c r="BD240" i="20"/>
  <c r="BJ492" i="20"/>
  <c r="BN359" i="20"/>
  <c r="BB129" i="20"/>
  <c r="BC256" i="20"/>
  <c r="BK428" i="20"/>
  <c r="BD258" i="20"/>
  <c r="BD75" i="20"/>
  <c r="BB131" i="20"/>
  <c r="BG536" i="20"/>
  <c r="BP446" i="20"/>
  <c r="BN22" i="20"/>
  <c r="BR281" i="20"/>
  <c r="BC188" i="20"/>
  <c r="BB214" i="20"/>
  <c r="BA340" i="20"/>
  <c r="BI345" i="20"/>
  <c r="BK505" i="20"/>
  <c r="BD130" i="20"/>
  <c r="BC179" i="20"/>
  <c r="BP59" i="20"/>
  <c r="BA330" i="20"/>
  <c r="BD261" i="20"/>
  <c r="BK487" i="20"/>
  <c r="BP435" i="20"/>
  <c r="BD221" i="20"/>
  <c r="BC260" i="20"/>
  <c r="BF518" i="20"/>
  <c r="BO461" i="20"/>
  <c r="BE473" i="20"/>
  <c r="BF473" i="20" s="1"/>
  <c r="BC132" i="20"/>
  <c r="BP285" i="20"/>
  <c r="BA233" i="20"/>
  <c r="BK503" i="20"/>
  <c r="BB302" i="20"/>
  <c r="BO459" i="20"/>
  <c r="BO173" i="20"/>
  <c r="BO416" i="20"/>
  <c r="BC84" i="20"/>
  <c r="BC24" i="20"/>
  <c r="BO354" i="20"/>
  <c r="BO355" i="20"/>
  <c r="BA600" i="20"/>
  <c r="BN268" i="20"/>
  <c r="BD122" i="20"/>
  <c r="BA482" i="20"/>
  <c r="BB482" i="20" s="1"/>
  <c r="BC482" i="20" s="1"/>
  <c r="BD482" i="20" s="1"/>
  <c r="BE482" i="20" s="1"/>
  <c r="BF482" i="20" s="1"/>
  <c r="BK497" i="20"/>
  <c r="BF223" i="20"/>
  <c r="BB236" i="20"/>
  <c r="BO529" i="20"/>
  <c r="BO86" i="20"/>
  <c r="BB185" i="20"/>
  <c r="BC173" i="20"/>
  <c r="BC183" i="20"/>
  <c r="BA521" i="20"/>
  <c r="BC354" i="20"/>
  <c r="BO133" i="20"/>
  <c r="BK36" i="20"/>
  <c r="BE609" i="20"/>
  <c r="BP78" i="20"/>
  <c r="BN146" i="20"/>
  <c r="BN131" i="20"/>
  <c r="BC180" i="20"/>
  <c r="BO121" i="20"/>
  <c r="BD219" i="20"/>
  <c r="BK481" i="20"/>
  <c r="BO360" i="20"/>
  <c r="BN160" i="20"/>
  <c r="BC351" i="20"/>
  <c r="BB286" i="20"/>
  <c r="BC353" i="20"/>
  <c r="BJ592" i="20"/>
  <c r="BC362" i="20"/>
  <c r="BN543" i="20"/>
  <c r="BB152" i="20"/>
  <c r="BQ316" i="20"/>
  <c r="BJ474" i="20"/>
  <c r="BJ491" i="20"/>
  <c r="BB150" i="20"/>
  <c r="BA335" i="20"/>
  <c r="BD161" i="20"/>
  <c r="BN361" i="20"/>
  <c r="BJ476" i="20"/>
  <c r="BA101" i="20"/>
  <c r="BH400" i="20"/>
  <c r="BP605" i="20"/>
  <c r="BD239" i="20"/>
  <c r="BC147" i="20"/>
  <c r="BB19" i="20"/>
  <c r="BB154" i="20"/>
  <c r="BD285" i="20"/>
  <c r="BQ322" i="20"/>
  <c r="BQ115" i="20"/>
  <c r="BQ317" i="20"/>
  <c r="BJ549" i="20"/>
  <c r="BL429" i="20"/>
  <c r="BI540" i="20"/>
  <c r="BB123" i="20"/>
  <c r="BP584" i="20"/>
  <c r="BQ296" i="20"/>
  <c r="BO364" i="20"/>
  <c r="BO572" i="20"/>
  <c r="BQ117" i="20"/>
  <c r="BN447" i="20"/>
  <c r="BO66" i="20"/>
  <c r="BO356" i="20"/>
  <c r="BO357" i="20"/>
  <c r="BB359" i="20"/>
  <c r="BN396" i="20"/>
  <c r="BP560" i="20"/>
  <c r="BQ57" i="20"/>
  <c r="BC598" i="20"/>
  <c r="BB287" i="20"/>
  <c r="BP125" i="20"/>
  <c r="BC517" i="20"/>
  <c r="BB25" i="20"/>
  <c r="BI407" i="20"/>
  <c r="BK526" i="20"/>
  <c r="BN469" i="20"/>
  <c r="BH349" i="20"/>
  <c r="BC266" i="20"/>
  <c r="BP582" i="20"/>
  <c r="BP288" i="20"/>
  <c r="BC357" i="20"/>
  <c r="BE217" i="20"/>
  <c r="BN363" i="20"/>
  <c r="BL41" i="20"/>
  <c r="BA103" i="20"/>
  <c r="BA575" i="20"/>
  <c r="BC172" i="20"/>
  <c r="BD267" i="20"/>
  <c r="BC519" i="20"/>
  <c r="BL39" i="20"/>
  <c r="BO295" i="20"/>
  <c r="BQ545" i="20"/>
  <c r="BP197" i="20"/>
  <c r="BD205" i="20"/>
  <c r="BN81" i="20"/>
  <c r="BO470" i="20"/>
  <c r="BA243" i="20"/>
  <c r="BO17" i="20"/>
  <c r="BP587" i="20"/>
  <c r="BJ486" i="20"/>
  <c r="BC364" i="20"/>
  <c r="BQ82" i="20"/>
  <c r="BN294" i="20"/>
  <c r="BC74" i="20"/>
  <c r="BC81" i="20"/>
  <c r="BH541" i="20"/>
  <c r="BB170" i="20"/>
  <c r="BC244" i="20"/>
  <c r="BN181" i="20"/>
  <c r="BO458" i="20"/>
  <c r="BD155" i="20"/>
  <c r="BP432" i="20"/>
  <c r="BO179" i="20"/>
  <c r="BQ506" i="20"/>
  <c r="BC77" i="20"/>
  <c r="BH348" i="20"/>
  <c r="BC360" i="20"/>
  <c r="BP196" i="20"/>
  <c r="BN168" i="20"/>
  <c r="BN176" i="20"/>
  <c r="BN365" i="20"/>
  <c r="BC64" i="20"/>
  <c r="BN71" i="20"/>
  <c r="BC210" i="20"/>
  <c r="BN274" i="20"/>
  <c r="BI589" i="20"/>
  <c r="BN457" i="20"/>
  <c r="BP546" i="20"/>
  <c r="BA503" i="20"/>
  <c r="BB503" i="20" s="1"/>
  <c r="BC503" i="20" s="1"/>
  <c r="BD503" i="20" s="1"/>
  <c r="BE503" i="20" s="1"/>
  <c r="BF503" i="20" s="1"/>
  <c r="BO463" i="20"/>
  <c r="BO189" i="20"/>
  <c r="BC284" i="20"/>
  <c r="BJ402" i="20"/>
  <c r="BO431" i="20"/>
  <c r="BP200" i="20"/>
  <c r="BC66" i="20"/>
  <c r="BC356" i="20"/>
  <c r="BC60" i="20"/>
  <c r="BQ390" i="20"/>
  <c r="BE563" i="20"/>
  <c r="BB605" i="20"/>
  <c r="BP438" i="20"/>
  <c r="BK48" i="20"/>
  <c r="BD512" i="20"/>
  <c r="BO601" i="20"/>
  <c r="BC176" i="20"/>
  <c r="BI591" i="20"/>
  <c r="BO70" i="20"/>
  <c r="BC254" i="20"/>
  <c r="BC65" i="20"/>
  <c r="BB189" i="20"/>
  <c r="BB215" i="20"/>
  <c r="BB228" i="20"/>
  <c r="BC16" i="20"/>
  <c r="BC175" i="20"/>
  <c r="BC76" i="20"/>
  <c r="BQ166" i="20"/>
  <c r="BE604" i="20"/>
  <c r="BO130" i="20"/>
  <c r="BB308" i="20"/>
  <c r="BD171" i="20"/>
  <c r="BD513" i="20"/>
  <c r="BA246" i="20"/>
  <c r="BN266" i="20"/>
  <c r="BC141" i="20"/>
  <c r="BO352" i="20"/>
  <c r="BO597" i="20"/>
  <c r="BN76" i="20"/>
  <c r="BO169" i="20"/>
  <c r="BP466" i="20"/>
  <c r="BD610" i="20"/>
  <c r="BL499" i="20"/>
  <c r="BI367" i="20"/>
  <c r="BN119" i="20"/>
  <c r="BJ501" i="20"/>
  <c r="BD339" i="20"/>
  <c r="BC83" i="20"/>
  <c r="BB365" i="20"/>
  <c r="BO275" i="20"/>
  <c r="BH372" i="20"/>
  <c r="BB603" i="20"/>
  <c r="BB597" i="20"/>
  <c r="BB525" i="20"/>
  <c r="BE78" i="20"/>
  <c r="BF78" i="20" s="1"/>
  <c r="BD612" i="20"/>
  <c r="BO159" i="20"/>
  <c r="BP417" i="20"/>
  <c r="BB121" i="20"/>
  <c r="BC59" i="20"/>
  <c r="BO165" i="20"/>
  <c r="BL482" i="20"/>
  <c r="BC61" i="20"/>
  <c r="BN276" i="20"/>
  <c r="BB594" i="20"/>
  <c r="BB108" i="20"/>
  <c r="BG344" i="20"/>
  <c r="BR282" i="20"/>
  <c r="BC606" i="20"/>
  <c r="BQ392" i="20"/>
  <c r="BP193" i="20"/>
  <c r="BC534" i="20"/>
  <c r="BC307" i="20"/>
  <c r="BO551" i="20"/>
  <c r="BH570" i="20"/>
  <c r="BD222" i="20"/>
  <c r="BJ479" i="20"/>
  <c r="BB211" i="20"/>
  <c r="BO395" i="20"/>
  <c r="BO460" i="20"/>
  <c r="BO269" i="20"/>
  <c r="BF555" i="20"/>
  <c r="BQ187" i="20"/>
  <c r="BA206" i="20"/>
  <c r="BO468" i="20"/>
  <c r="BN85" i="20"/>
  <c r="BO574" i="20"/>
  <c r="BB602" i="20"/>
  <c r="BB290" i="20"/>
  <c r="BO170" i="20"/>
  <c r="BN272" i="20"/>
  <c r="BP191" i="20"/>
  <c r="BO273" i="20"/>
  <c r="BE581" i="20"/>
  <c r="BC274" i="20"/>
  <c r="BC69" i="20"/>
  <c r="BR456" i="20"/>
  <c r="BO542" i="20"/>
  <c r="BC355" i="20"/>
  <c r="BO261" i="20"/>
  <c r="BO442" i="20"/>
  <c r="BG374" i="20"/>
  <c r="BD611" i="20"/>
  <c r="BC181" i="20"/>
  <c r="BB578" i="20"/>
  <c r="BB26" i="20"/>
  <c r="BA326" i="20"/>
  <c r="BC157" i="20"/>
  <c r="BC82" i="20"/>
  <c r="BP559" i="20"/>
  <c r="BP471" i="20"/>
  <c r="BO527" i="20"/>
  <c r="BN182" i="20"/>
  <c r="BR118" i="20"/>
  <c r="BH13" i="20"/>
  <c r="BC71" i="20"/>
  <c r="BC125" i="20"/>
  <c r="BL37" i="20"/>
  <c r="BL524" i="20"/>
  <c r="BL42" i="20"/>
  <c r="BD608" i="20"/>
  <c r="BN445" i="20"/>
  <c r="BH550" i="20"/>
  <c r="BN148" i="20"/>
  <c r="BC306" i="20"/>
  <c r="BI399" i="20"/>
  <c r="BC67" i="20"/>
  <c r="BO544" i="20"/>
  <c r="BN420" i="20"/>
  <c r="BC160" i="20"/>
  <c r="BO462" i="20"/>
  <c r="BJ498" i="20"/>
  <c r="BQ126" i="20"/>
  <c r="BQ385" i="20"/>
  <c r="BO528" i="20"/>
  <c r="BO595" i="20"/>
  <c r="BC120" i="20"/>
  <c r="BN65" i="20"/>
  <c r="BN454" i="20"/>
  <c r="BC332" i="20"/>
  <c r="BC70" i="20"/>
  <c r="BD163" i="20"/>
  <c r="BN149" i="20"/>
  <c r="BE467" i="20"/>
  <c r="BF467" i="20"/>
  <c r="BD119" i="20"/>
  <c r="BO394" i="20"/>
  <c r="BB100" i="20"/>
  <c r="BC516" i="20"/>
  <c r="BN473" i="20"/>
  <c r="BP194" i="20"/>
  <c r="BB9" i="20"/>
  <c r="BC135" i="20"/>
  <c r="BD224" i="20"/>
  <c r="BD265" i="20"/>
  <c r="BB23" i="20"/>
  <c r="BP124" i="20"/>
  <c r="BC561" i="20"/>
  <c r="BK488" i="20"/>
  <c r="BN596" i="20"/>
  <c r="BO531" i="20"/>
  <c r="BL35" i="20"/>
  <c r="BB165" i="20"/>
  <c r="BN602" i="20"/>
  <c r="BD291" i="20"/>
  <c r="BP198" i="20"/>
  <c r="BQ313" i="20"/>
  <c r="BD328" i="20"/>
  <c r="BA599" i="20"/>
  <c r="BO389" i="20"/>
  <c r="BN552" i="20"/>
  <c r="BE144" i="20"/>
  <c r="BF144" i="20" s="1"/>
  <c r="BC311" i="20"/>
  <c r="BC350" i="20"/>
  <c r="BC156" i="20"/>
  <c r="BO152" i="20"/>
  <c r="BA601" i="20"/>
  <c r="BB164" i="20"/>
  <c r="BC613" i="20"/>
  <c r="BQ112" i="20"/>
  <c r="BD187" i="20"/>
  <c r="BC29" i="20"/>
  <c r="BO164" i="20"/>
  <c r="BC565" i="20"/>
  <c r="BP422" i="20"/>
  <c r="BB31" i="20"/>
  <c r="BC229" i="20"/>
  <c r="BN89" i="20"/>
  <c r="BH382" i="20"/>
  <c r="BO384" i="20"/>
  <c r="BA216" i="20"/>
  <c r="BC325" i="20"/>
  <c r="BI406" i="20"/>
  <c r="BQ84" i="20"/>
  <c r="BP586" i="20"/>
  <c r="BB293" i="20"/>
  <c r="BC177" i="20"/>
  <c r="BP203" i="20"/>
  <c r="BC190" i="20"/>
  <c r="BP443" i="20"/>
  <c r="BC27" i="20"/>
  <c r="BI593" i="20"/>
  <c r="BO123" i="20"/>
  <c r="BP190" i="20"/>
  <c r="BB288" i="20"/>
  <c r="BB6" i="20"/>
  <c r="BD73" i="20"/>
  <c r="BC182" i="20"/>
  <c r="BA292" i="20"/>
  <c r="BN127" i="20"/>
  <c r="BQ386" i="20"/>
  <c r="BA305" i="20"/>
  <c r="BA309" i="20"/>
  <c r="BN270" i="20"/>
  <c r="BC231" i="20"/>
  <c r="BB88" i="20"/>
  <c r="BO271" i="20"/>
  <c r="BP606" i="20"/>
  <c r="BD301" i="20"/>
  <c r="BQ323" i="20"/>
  <c r="BA532" i="20"/>
  <c r="BD166" i="20"/>
  <c r="BC128" i="20"/>
  <c r="BQ414" i="20"/>
  <c r="BJ504" i="20"/>
  <c r="BO145" i="20"/>
  <c r="BA298" i="20"/>
  <c r="BB126" i="20"/>
  <c r="BP195" i="20"/>
  <c r="BL430" i="20"/>
  <c r="BO263" i="20"/>
  <c r="BA134" i="20"/>
  <c r="BQ320" i="20"/>
  <c r="BB98" i="20"/>
  <c r="BN453" i="20"/>
  <c r="BO287" i="20"/>
  <c r="BQ291" i="20"/>
  <c r="BB249" i="20"/>
  <c r="BB169" i="20"/>
  <c r="BH410" i="20"/>
  <c r="BO157" i="20"/>
  <c r="BC270" i="20"/>
  <c r="BP90" i="20"/>
  <c r="BO259" i="20"/>
  <c r="BN154" i="20"/>
  <c r="BK480" i="20"/>
  <c r="BA212" i="20"/>
  <c r="BP547" i="20"/>
  <c r="BC149" i="20"/>
  <c r="BA94" i="20"/>
  <c r="BN14" i="20"/>
  <c r="BD21" i="20"/>
  <c r="BO142" i="20"/>
  <c r="BP444" i="20"/>
  <c r="BB105" i="20"/>
  <c r="BA10" i="20"/>
  <c r="BB133" i="20"/>
  <c r="BH368" i="20"/>
  <c r="BB104" i="20"/>
  <c r="BP120" i="20"/>
  <c r="BA533" i="20"/>
  <c r="BP122" i="20"/>
  <c r="BQ508" i="20"/>
  <c r="BK40" i="20"/>
  <c r="BB576" i="20"/>
  <c r="BP436" i="20"/>
  <c r="BE17" i="20"/>
  <c r="BF17" i="20" s="1"/>
  <c r="BP452" i="20"/>
  <c r="BD124" i="20"/>
  <c r="BC520" i="20"/>
  <c r="BA502" i="20"/>
  <c r="BB502" i="20" s="1"/>
  <c r="BC502" i="20" s="1"/>
  <c r="BD502" i="20" s="1"/>
  <c r="BE502" i="20" s="1"/>
  <c r="BF502" i="20" s="1"/>
  <c r="U5" i="20"/>
  <c r="BB5" i="20"/>
  <c r="BC218" i="20"/>
  <c r="BQ167" i="20"/>
  <c r="BC280" i="20"/>
  <c r="BE596" i="20"/>
  <c r="BD232" i="20"/>
  <c r="BC28" i="20"/>
  <c r="BG380" i="20"/>
  <c r="BA89" i="20"/>
  <c r="BP383" i="20"/>
  <c r="BA329" i="20"/>
  <c r="BP585" i="20"/>
  <c r="BL525" i="20"/>
  <c r="BA107" i="20"/>
  <c r="BH537" i="20"/>
  <c r="BA32" i="20"/>
  <c r="BP583" i="20"/>
  <c r="BJ409" i="20"/>
  <c r="BB394" i="20"/>
  <c r="BP192" i="20"/>
  <c r="BM427" i="20"/>
  <c r="BP147" i="20"/>
  <c r="BI495" i="20"/>
  <c r="BI408" i="20"/>
  <c r="BD535" i="20"/>
  <c r="BA34" i="20"/>
  <c r="BC341" i="20"/>
  <c r="BP202" i="20"/>
  <c r="BD337" i="20"/>
  <c r="BC262" i="20"/>
  <c r="BA607" i="20"/>
  <c r="BO158" i="20"/>
  <c r="BN77" i="20"/>
  <c r="BO290" i="20"/>
  <c r="BN450" i="20"/>
  <c r="BB338" i="20"/>
  <c r="BO128" i="20"/>
  <c r="BP204" i="20"/>
  <c r="BB595" i="20"/>
  <c r="BB245" i="20"/>
  <c r="BA480" i="20"/>
  <c r="BB480" i="20" s="1"/>
  <c r="BC480" i="20" s="1"/>
  <c r="BD480" i="20" s="1"/>
  <c r="BE480" i="20" s="1"/>
  <c r="BF480" i="20" s="1"/>
  <c r="BH403" i="20"/>
  <c r="BC90" i="20"/>
  <c r="BD237" i="20"/>
  <c r="BB22" i="20"/>
  <c r="BC158" i="20"/>
  <c r="BO64" i="20"/>
  <c r="BO267" i="20"/>
  <c r="R36" i="11"/>
  <c r="T36" i="11" s="1"/>
  <c r="AB27" i="11"/>
  <c r="AB36" i="11"/>
  <c r="S28" i="11"/>
  <c r="AA28" i="11" s="1"/>
  <c r="AB28" i="11" s="1"/>
  <c r="R38" i="11"/>
  <c r="T38" i="11" s="1"/>
  <c r="Q28" i="11"/>
  <c r="R37" i="11"/>
  <c r="T37" i="11" s="1"/>
  <c r="AB29" i="11"/>
  <c r="AB31" i="11"/>
  <c r="P25" i="11" l="1"/>
  <c r="Z25" i="11" s="1"/>
  <c r="AL508" i="20"/>
  <c r="AM508" i="20"/>
  <c r="BR385" i="20"/>
  <c r="BR115" i="20"/>
  <c r="AL115" i="20"/>
  <c r="AM115" i="20"/>
  <c r="AM56" i="20"/>
  <c r="AL56" i="20"/>
  <c r="AM167" i="20"/>
  <c r="AL167" i="20"/>
  <c r="AL291" i="20"/>
  <c r="AM291" i="20"/>
  <c r="BR386" i="20"/>
  <c r="AM84" i="20"/>
  <c r="AL84" i="20"/>
  <c r="AL187" i="20"/>
  <c r="AM187" i="20"/>
  <c r="AM82" i="20"/>
  <c r="AL82" i="20"/>
  <c r="AM316" i="20"/>
  <c r="AL316" i="20"/>
  <c r="AL113" i="20"/>
  <c r="AM113" i="20"/>
  <c r="AM126" i="20"/>
  <c r="AL126" i="20"/>
  <c r="AL545" i="20"/>
  <c r="AM545" i="20"/>
  <c r="AL322" i="20"/>
  <c r="AM322" i="20"/>
  <c r="AL358" i="20"/>
  <c r="AM358" i="20"/>
  <c r="AM323" i="20"/>
  <c r="AL323" i="20"/>
  <c r="AM510" i="20"/>
  <c r="AL510" i="20"/>
  <c r="AL296" i="20"/>
  <c r="AM296" i="20"/>
  <c r="AL324" i="20"/>
  <c r="AM324" i="20"/>
  <c r="AL390" i="20"/>
  <c r="AM390" i="20"/>
  <c r="BR117" i="20"/>
  <c r="AL117" i="20"/>
  <c r="AM117" i="20"/>
  <c r="BR321" i="20"/>
  <c r="AL321" i="20"/>
  <c r="AM321" i="20"/>
  <c r="AM315" i="20"/>
  <c r="AL315" i="20"/>
  <c r="AM414" i="20"/>
  <c r="AL414" i="20"/>
  <c r="AM112" i="20"/>
  <c r="AL112" i="20"/>
  <c r="AM166" i="20"/>
  <c r="AL166" i="20"/>
  <c r="AL506" i="20"/>
  <c r="AM506" i="20"/>
  <c r="AM57" i="20"/>
  <c r="AL57" i="20"/>
  <c r="AM317" i="20"/>
  <c r="AL317" i="20"/>
  <c r="BR87" i="20"/>
  <c r="AM87" i="20"/>
  <c r="AL87" i="20"/>
  <c r="AM320" i="20"/>
  <c r="AL320" i="20"/>
  <c r="AL313" i="20"/>
  <c r="AM313" i="20"/>
  <c r="AM392" i="20"/>
  <c r="AL392" i="20"/>
  <c r="AL312" i="20"/>
  <c r="AM312" i="20"/>
  <c r="AL314" i="20"/>
  <c r="AM314" i="20"/>
  <c r="AL509" i="20"/>
  <c r="AM509" i="20"/>
  <c r="K31" i="23"/>
  <c r="S31" i="23" s="1"/>
  <c r="T31" i="23" s="1"/>
  <c r="L31" i="23"/>
  <c r="S35" i="23"/>
  <c r="T35" i="23" s="1"/>
  <c r="S25" i="11"/>
  <c r="AA25" i="11" s="1"/>
  <c r="Q25" i="11"/>
  <c r="S36" i="23"/>
  <c r="T36" i="23" s="1"/>
  <c r="V36" i="23"/>
  <c r="W36" i="23" s="1"/>
  <c r="V37" i="23"/>
  <c r="W37" i="23" s="1"/>
  <c r="S37" i="23"/>
  <c r="T37" i="23" s="1"/>
  <c r="F37" i="24"/>
  <c r="F57" i="24" s="1"/>
  <c r="F36" i="24"/>
  <c r="W35" i="23"/>
  <c r="S34" i="23"/>
  <c r="S33" i="23"/>
  <c r="V33" i="23"/>
  <c r="R34" i="23"/>
  <c r="L34" i="23"/>
  <c r="M34" i="23"/>
  <c r="U34" i="23"/>
  <c r="W34" i="23" s="1"/>
  <c r="U33" i="23"/>
  <c r="M33" i="23"/>
  <c r="R33" i="23"/>
  <c r="L33" i="23"/>
  <c r="BF596" i="20"/>
  <c r="BC525" i="20"/>
  <c r="BD525" i="20" s="1"/>
  <c r="BE525" i="20" s="1"/>
  <c r="BF525" i="20" s="1"/>
  <c r="S32" i="23"/>
  <c r="T32" i="23" s="1"/>
  <c r="W32" i="23"/>
  <c r="AD26" i="11"/>
  <c r="AE26" i="11" s="1"/>
  <c r="T26" i="11"/>
  <c r="BD273" i="20"/>
  <c r="BO15" i="20"/>
  <c r="BB234" i="20"/>
  <c r="BH379" i="20"/>
  <c r="BC7" i="20"/>
  <c r="BJ11" i="20"/>
  <c r="BC18" i="20"/>
  <c r="BQ58" i="20"/>
  <c r="BH253" i="20"/>
  <c r="BQ111" i="20"/>
  <c r="BC295" i="20"/>
  <c r="BP88" i="20"/>
  <c r="BO79" i="20"/>
  <c r="BP19" i="20"/>
  <c r="BC99" i="20"/>
  <c r="BQ391" i="20"/>
  <c r="BQ80" i="20"/>
  <c r="BD137" i="20"/>
  <c r="BJ52" i="20"/>
  <c r="BR113" i="20"/>
  <c r="BO289" i="20"/>
  <c r="BH412" i="20"/>
  <c r="BB310" i="20"/>
  <c r="BP91" i="20"/>
  <c r="BO188" i="20"/>
  <c r="BP54" i="20"/>
  <c r="BF241" i="20"/>
  <c r="BD230" i="20"/>
  <c r="BO423" i="20"/>
  <c r="BO162" i="20"/>
  <c r="BF554" i="20"/>
  <c r="BD255" i="20"/>
  <c r="BO297" i="20"/>
  <c r="BQ55" i="20"/>
  <c r="BH51" i="20"/>
  <c r="BO434" i="20"/>
  <c r="BD279" i="20"/>
  <c r="BP603" i="20"/>
  <c r="BJ566" i="20"/>
  <c r="BC277" i="20"/>
  <c r="BB72" i="20"/>
  <c r="BH370" i="20"/>
  <c r="BI47" i="20"/>
  <c r="BQ110" i="20"/>
  <c r="BC271" i="20"/>
  <c r="BB96" i="20"/>
  <c r="BK493" i="20"/>
  <c r="BM43" i="20"/>
  <c r="BO18" i="20"/>
  <c r="BB303" i="20"/>
  <c r="BC247" i="20"/>
  <c r="BB106" i="20"/>
  <c r="BH347" i="20"/>
  <c r="BF558" i="20"/>
  <c r="BI381" i="20"/>
  <c r="BE92" i="20"/>
  <c r="BD333" i="20"/>
  <c r="BR56" i="20"/>
  <c r="BC208" i="20"/>
  <c r="BC269" i="20"/>
  <c r="BI377" i="20"/>
  <c r="BI300" i="20"/>
  <c r="BI588" i="20"/>
  <c r="BH375" i="20"/>
  <c r="BH45" i="20"/>
  <c r="BB334" i="20"/>
  <c r="BC209" i="20"/>
  <c r="BQ53" i="20"/>
  <c r="BC275" i="20"/>
  <c r="BQ472" i="20"/>
  <c r="BL523" i="20"/>
  <c r="BK50" i="20"/>
  <c r="BC213" i="20"/>
  <c r="BF186" i="20"/>
  <c r="BE186" i="20"/>
  <c r="BO184" i="20"/>
  <c r="BP161" i="20"/>
  <c r="BC30" i="20"/>
  <c r="BF556" i="20"/>
  <c r="BI590" i="20"/>
  <c r="BD146" i="20"/>
  <c r="BP64" i="20"/>
  <c r="BE237" i="20"/>
  <c r="BQ204" i="20"/>
  <c r="BD341" i="20"/>
  <c r="BD262" i="20"/>
  <c r="BD270" i="20"/>
  <c r="BQ194" i="20"/>
  <c r="BP128" i="20"/>
  <c r="BO77" i="20"/>
  <c r="BI537" i="20"/>
  <c r="BH380" i="20"/>
  <c r="BD218" i="20"/>
  <c r="BD520" i="20"/>
  <c r="BQ452" i="20"/>
  <c r="BC105" i="20"/>
  <c r="BL480" i="20"/>
  <c r="BP259" i="20"/>
  <c r="BC98" i="20"/>
  <c r="BR323" i="20"/>
  <c r="BQ190" i="20"/>
  <c r="BD27" i="20"/>
  <c r="BD613" i="20"/>
  <c r="BD311" i="20"/>
  <c r="BO552" i="20"/>
  <c r="BD135" i="20"/>
  <c r="BP394" i="20"/>
  <c r="BP595" i="20"/>
  <c r="BO420" i="20"/>
  <c r="BM524" i="20"/>
  <c r="BB326" i="20"/>
  <c r="BP442" i="20"/>
  <c r="BP460" i="20"/>
  <c r="BP551" i="20"/>
  <c r="BD534" i="20"/>
  <c r="BD606" i="20"/>
  <c r="BC108" i="20"/>
  <c r="BD59" i="20"/>
  <c r="BD83" i="20"/>
  <c r="BJ367" i="20"/>
  <c r="BF171" i="20"/>
  <c r="BE171" i="20"/>
  <c r="BR166" i="20"/>
  <c r="BC189" i="20"/>
  <c r="BF563" i="20"/>
  <c r="BD60" i="20"/>
  <c r="BQ200" i="20"/>
  <c r="BP189" i="20"/>
  <c r="BQ546" i="20"/>
  <c r="BD360" i="20"/>
  <c r="BK486" i="20"/>
  <c r="BQ197" i="20"/>
  <c r="BD519" i="20"/>
  <c r="BB103" i="20"/>
  <c r="BO469" i="20"/>
  <c r="BJ407" i="20"/>
  <c r="BQ125" i="20"/>
  <c r="BP572" i="20"/>
  <c r="BJ540" i="20"/>
  <c r="BR317" i="20"/>
  <c r="BE239" i="20"/>
  <c r="BO543" i="20"/>
  <c r="BC286" i="20"/>
  <c r="BP459" i="20"/>
  <c r="BB233" i="20"/>
  <c r="BG518" i="20"/>
  <c r="BE75" i="20"/>
  <c r="BD268" i="20"/>
  <c r="BE263" i="20"/>
  <c r="BF263" i="20"/>
  <c r="BC398" i="20"/>
  <c r="BI569" i="20"/>
  <c r="BD143" i="20"/>
  <c r="BD411" i="20"/>
  <c r="BE148" i="20"/>
  <c r="BI12" i="20"/>
  <c r="BO180" i="20"/>
  <c r="BO413" i="20"/>
  <c r="BD248" i="20"/>
  <c r="BD614" i="20"/>
  <c r="BE297" i="20"/>
  <c r="BF297" i="20"/>
  <c r="BC319" i="20"/>
  <c r="BP388" i="20"/>
  <c r="BD327" i="20"/>
  <c r="BC207" i="20"/>
  <c r="BI49" i="20"/>
  <c r="BI539" i="20"/>
  <c r="BO594" i="20"/>
  <c r="BD331" i="20"/>
  <c r="BF220" i="20"/>
  <c r="BP350" i="20"/>
  <c r="BB250" i="20"/>
  <c r="BC393" i="20"/>
  <c r="BF142" i="20"/>
  <c r="BE142" i="20"/>
  <c r="BJ405" i="20"/>
  <c r="BP553" i="20"/>
  <c r="BC396" i="20"/>
  <c r="BQ141" i="20"/>
  <c r="BR167" i="20"/>
  <c r="BC104" i="20"/>
  <c r="BD158" i="20"/>
  <c r="BD90" i="20"/>
  <c r="BC245" i="20"/>
  <c r="BE337" i="20"/>
  <c r="BB34" i="20"/>
  <c r="BQ192" i="20"/>
  <c r="BM525" i="20"/>
  <c r="BL40" i="20"/>
  <c r="BD149" i="20"/>
  <c r="BC169" i="20"/>
  <c r="BR291" i="20"/>
  <c r="BM430" i="20"/>
  <c r="BO127" i="20"/>
  <c r="BQ203" i="20"/>
  <c r="BQ586" i="20"/>
  <c r="BB216" i="20"/>
  <c r="BC31" i="20"/>
  <c r="BD29" i="20"/>
  <c r="BB599" i="20"/>
  <c r="BF291" i="20"/>
  <c r="BE291" i="20"/>
  <c r="BM35" i="20"/>
  <c r="BO596" i="20"/>
  <c r="BO454" i="20"/>
  <c r="BI13" i="20"/>
  <c r="BD82" i="20"/>
  <c r="BD181" i="20"/>
  <c r="BP261" i="20"/>
  <c r="BD69" i="20"/>
  <c r="BC290" i="20"/>
  <c r="BO85" i="20"/>
  <c r="BR187" i="20"/>
  <c r="BD61" i="20"/>
  <c r="BE612" i="20"/>
  <c r="BC603" i="20"/>
  <c r="BO76" i="20"/>
  <c r="BO266" i="20"/>
  <c r="BD254" i="20"/>
  <c r="BD176" i="20"/>
  <c r="BP431" i="20"/>
  <c r="BD210" i="20"/>
  <c r="BR506" i="20"/>
  <c r="D20" i="9"/>
  <c r="BO294" i="20"/>
  <c r="BM41" i="20"/>
  <c r="BD357" i="20"/>
  <c r="BQ582" i="20"/>
  <c r="BP357" i="20"/>
  <c r="BO447" i="20"/>
  <c r="BC154" i="20"/>
  <c r="BE161" i="20"/>
  <c r="BK474" i="20"/>
  <c r="BD362" i="20"/>
  <c r="BL481" i="20"/>
  <c r="BO131" i="20"/>
  <c r="BB521" i="20"/>
  <c r="BP86" i="20"/>
  <c r="BG223" i="20"/>
  <c r="BP355" i="20"/>
  <c r="BD84" i="20"/>
  <c r="BQ435" i="20"/>
  <c r="BQ59" i="20"/>
  <c r="BJ345" i="20"/>
  <c r="BC129" i="20"/>
  <c r="BP351" i="20"/>
  <c r="BF226" i="20"/>
  <c r="BE184" i="20"/>
  <c r="BF184" i="20" s="1"/>
  <c r="BK475" i="20"/>
  <c r="BL502" i="20"/>
  <c r="BD276" i="20"/>
  <c r="BK496" i="20"/>
  <c r="BI548" i="20"/>
  <c r="BO183" i="20"/>
  <c r="BD159" i="20"/>
  <c r="BD145" i="20"/>
  <c r="BK490" i="20"/>
  <c r="BP177" i="20"/>
  <c r="BO67" i="20"/>
  <c r="BE289" i="20"/>
  <c r="BP440" i="20"/>
  <c r="BF140" i="20"/>
  <c r="BG514" i="20"/>
  <c r="BJ366" i="20"/>
  <c r="BP68" i="20"/>
  <c r="BP150" i="20"/>
  <c r="BE86" i="20"/>
  <c r="BF86" i="20"/>
  <c r="BC138" i="20"/>
  <c r="BP397" i="20"/>
  <c r="BO398" i="20"/>
  <c r="BI403" i="20"/>
  <c r="BP158" i="20"/>
  <c r="BJ495" i="20"/>
  <c r="BQ583" i="20"/>
  <c r="BQ383" i="20"/>
  <c r="BD280" i="20"/>
  <c r="BB533" i="20"/>
  <c r="BE21" i="20"/>
  <c r="BF21" i="20" s="1"/>
  <c r="BR320" i="20"/>
  <c r="BE73" i="20"/>
  <c r="BP123" i="20"/>
  <c r="BR84" i="20"/>
  <c r="BC164" i="20"/>
  <c r="BE328" i="20"/>
  <c r="BO602" i="20"/>
  <c r="BC23" i="20"/>
  <c r="BE119" i="20"/>
  <c r="BF119" i="20" s="1"/>
  <c r="BJ399" i="20"/>
  <c r="BO445" i="20"/>
  <c r="BP527" i="20"/>
  <c r="BQ191" i="20"/>
  <c r="BG555" i="20"/>
  <c r="BP395" i="20"/>
  <c r="BE222" i="20"/>
  <c r="BQ193" i="20"/>
  <c r="BI372" i="20"/>
  <c r="BE610" i="20"/>
  <c r="BD76" i="20"/>
  <c r="BC228" i="20"/>
  <c r="BD65" i="20"/>
  <c r="BP70" i="20"/>
  <c r="BL48" i="20"/>
  <c r="BR390" i="20"/>
  <c r="BO457" i="20"/>
  <c r="BO176" i="20"/>
  <c r="BI348" i="20"/>
  <c r="BF155" i="20"/>
  <c r="BE155" i="20"/>
  <c r="BC170" i="20"/>
  <c r="BP470" i="20"/>
  <c r="BR545" i="20"/>
  <c r="BO363" i="20"/>
  <c r="BC25" i="20"/>
  <c r="BC287" i="20"/>
  <c r="BQ560" i="20"/>
  <c r="BB335" i="20"/>
  <c r="BR316" i="20"/>
  <c r="BL36" i="20"/>
  <c r="BE122" i="20"/>
  <c r="BF122" i="20" s="1"/>
  <c r="BH536" i="20"/>
  <c r="BE258" i="20"/>
  <c r="BF258" i="20"/>
  <c r="BO359" i="20"/>
  <c r="BO260" i="20"/>
  <c r="BC109" i="20"/>
  <c r="BF162" i="20"/>
  <c r="BE162" i="20"/>
  <c r="BO144" i="20"/>
  <c r="BM522" i="20"/>
  <c r="BO441" i="20"/>
  <c r="BD151" i="20"/>
  <c r="BC395" i="20"/>
  <c r="BH44" i="20"/>
  <c r="BL478" i="20"/>
  <c r="BR315" i="20"/>
  <c r="BP418" i="20"/>
  <c r="BD79" i="20"/>
  <c r="BO174" i="20"/>
  <c r="BO171" i="20"/>
  <c r="BR509" i="20"/>
  <c r="BM38" i="20"/>
  <c r="BQ393" i="20"/>
  <c r="BP186" i="20"/>
  <c r="BP424" i="20"/>
  <c r="BC363" i="20"/>
  <c r="BO83" i="20"/>
  <c r="BP129" i="20"/>
  <c r="AL599" i="20"/>
  <c r="BQ599" i="20"/>
  <c r="BP571" i="20"/>
  <c r="BP163" i="20"/>
  <c r="BI376" i="20"/>
  <c r="BP155" i="20"/>
  <c r="BQ201" i="20"/>
  <c r="BD167" i="20"/>
  <c r="BB235" i="20"/>
  <c r="AL607" i="20"/>
  <c r="BQ607" i="20"/>
  <c r="BB607" i="20"/>
  <c r="BN427" i="20"/>
  <c r="BB32" i="20"/>
  <c r="BP157" i="20"/>
  <c r="BD128" i="20"/>
  <c r="BC22" i="20"/>
  <c r="BC595" i="20"/>
  <c r="BO450" i="20"/>
  <c r="BE535" i="20"/>
  <c r="BB107" i="20"/>
  <c r="BD28" i="20"/>
  <c r="V5" i="20"/>
  <c r="BC5" i="20"/>
  <c r="BQ444" i="20"/>
  <c r="BO14" i="20"/>
  <c r="BO154" i="20"/>
  <c r="BP287" i="20"/>
  <c r="BQ195" i="20"/>
  <c r="BE166" i="20"/>
  <c r="BF166" i="20" s="1"/>
  <c r="BE301" i="20"/>
  <c r="BD231" i="20"/>
  <c r="BB305" i="20"/>
  <c r="BB292" i="20"/>
  <c r="BC6" i="20"/>
  <c r="BQ443" i="20"/>
  <c r="BP384" i="20"/>
  <c r="BQ422" i="20"/>
  <c r="BP389" i="20"/>
  <c r="BO473" i="20"/>
  <c r="BE163" i="20"/>
  <c r="BP528" i="20"/>
  <c r="BP462" i="20"/>
  <c r="BE608" i="20"/>
  <c r="BM37" i="20"/>
  <c r="BQ471" i="20"/>
  <c r="BC26" i="20"/>
  <c r="BE611" i="20"/>
  <c r="BD274" i="20"/>
  <c r="BC121" i="20"/>
  <c r="BE339" i="20"/>
  <c r="BP597" i="20"/>
  <c r="BP130" i="20"/>
  <c r="BQ438" i="20"/>
  <c r="BP463" i="20"/>
  <c r="BO71" i="20"/>
  <c r="BP179" i="20"/>
  <c r="BP458" i="20"/>
  <c r="BI541" i="20"/>
  <c r="BR82" i="20"/>
  <c r="BO81" i="20"/>
  <c r="BE267" i="20"/>
  <c r="BF267" i="20"/>
  <c r="BD266" i="20"/>
  <c r="BP356" i="20"/>
  <c r="BQ584" i="20"/>
  <c r="BM429" i="20"/>
  <c r="BR322" i="20"/>
  <c r="BC19" i="20"/>
  <c r="AL605" i="20"/>
  <c r="BQ605" i="20"/>
  <c r="BK476" i="20"/>
  <c r="BK592" i="20"/>
  <c r="BD351" i="20"/>
  <c r="BO146" i="20"/>
  <c r="BP133" i="20"/>
  <c r="BD183" i="20"/>
  <c r="BP354" i="20"/>
  <c r="BC302" i="20"/>
  <c r="BQ285" i="20"/>
  <c r="BP461" i="20"/>
  <c r="BB340" i="20"/>
  <c r="BB278" i="20"/>
  <c r="BF238" i="20"/>
  <c r="BR510" i="20"/>
  <c r="BD136" i="20"/>
  <c r="BO421" i="20"/>
  <c r="BB93" i="20"/>
  <c r="BP573" i="20"/>
  <c r="BD62" i="20"/>
  <c r="BP185" i="20"/>
  <c r="BO262" i="20"/>
  <c r="BM521" i="20"/>
  <c r="BD15" i="20"/>
  <c r="BD227" i="20"/>
  <c r="BJ567" i="20"/>
  <c r="BP175" i="20"/>
  <c r="BC564" i="20"/>
  <c r="BK477" i="20"/>
  <c r="BM426" i="20"/>
  <c r="BO69" i="20"/>
  <c r="BE259" i="20"/>
  <c r="BF259" i="20"/>
  <c r="BI368" i="20"/>
  <c r="BP145" i="20"/>
  <c r="BC88" i="20"/>
  <c r="BP267" i="20"/>
  <c r="BQ147" i="20"/>
  <c r="BC394" i="20"/>
  <c r="BR508" i="20"/>
  <c r="BQ120" i="20"/>
  <c r="BC133" i="20"/>
  <c r="BQ547" i="20"/>
  <c r="BK504" i="20"/>
  <c r="BE187" i="20"/>
  <c r="BF187" i="20" s="1"/>
  <c r="BB601" i="20"/>
  <c r="BD156" i="20"/>
  <c r="BR313" i="20"/>
  <c r="BC165" i="20"/>
  <c r="BL488" i="20"/>
  <c r="BE265" i="20"/>
  <c r="BF265" i="20" s="1"/>
  <c r="BD516" i="20"/>
  <c r="BO65" i="20"/>
  <c r="BR126" i="20"/>
  <c r="BP544" i="20"/>
  <c r="BO148" i="20"/>
  <c r="BD125" i="20"/>
  <c r="BD157" i="20"/>
  <c r="BD355" i="20"/>
  <c r="BO272" i="20"/>
  <c r="BC602" i="20"/>
  <c r="BP468" i="20"/>
  <c r="BP269" i="20"/>
  <c r="BD307" i="20"/>
  <c r="BM482" i="20"/>
  <c r="BQ417" i="20"/>
  <c r="BP275" i="20"/>
  <c r="BQ466" i="20"/>
  <c r="BB246" i="20"/>
  <c r="BC308" i="20"/>
  <c r="BC215" i="20"/>
  <c r="BP601" i="20"/>
  <c r="BD356" i="20"/>
  <c r="BK402" i="20"/>
  <c r="BJ589" i="20"/>
  <c r="BO168" i="20"/>
  <c r="BQ587" i="20"/>
  <c r="BL526" i="20"/>
  <c r="BP364" i="20"/>
  <c r="BK549" i="20"/>
  <c r="BI400" i="20"/>
  <c r="BC150" i="20"/>
  <c r="BC152" i="20"/>
  <c r="BE219" i="20"/>
  <c r="BP529" i="20"/>
  <c r="BL497" i="20"/>
  <c r="BO268" i="20"/>
  <c r="BP416" i="20"/>
  <c r="BL487" i="20"/>
  <c r="BD179" i="20"/>
  <c r="BQ415" i="20"/>
  <c r="BJ46" i="20"/>
  <c r="BG515" i="20"/>
  <c r="BQ286" i="20"/>
  <c r="BC153" i="20"/>
  <c r="BM489" i="20"/>
  <c r="BB97" i="20"/>
  <c r="BD80" i="20"/>
  <c r="BF342" i="20"/>
  <c r="BR324" i="20"/>
  <c r="BR358" i="20"/>
  <c r="BC524" i="20"/>
  <c r="BD524" i="20" s="1"/>
  <c r="BE524" i="20" s="1"/>
  <c r="BF524" i="20" s="1"/>
  <c r="BP530" i="20"/>
  <c r="BD404" i="20"/>
  <c r="BP600" i="20"/>
  <c r="BL485" i="20"/>
  <c r="BL494" i="20"/>
  <c r="BE511" i="20"/>
  <c r="BE580" i="20"/>
  <c r="BO449" i="20"/>
  <c r="BC336" i="20"/>
  <c r="BO16" i="20"/>
  <c r="BL483" i="20"/>
  <c r="BB139" i="20"/>
  <c r="BP290" i="20"/>
  <c r="BK409" i="20"/>
  <c r="BE232" i="20"/>
  <c r="BC338" i="20"/>
  <c r="BC9" i="20"/>
  <c r="BQ202" i="20"/>
  <c r="BQ585" i="20"/>
  <c r="BB89" i="20"/>
  <c r="BE124" i="20"/>
  <c r="BQ436" i="20"/>
  <c r="BB94" i="20"/>
  <c r="AL90" i="20"/>
  <c r="BQ90" i="20"/>
  <c r="BC249" i="20"/>
  <c r="BO453" i="20"/>
  <c r="BB134" i="20"/>
  <c r="BQ606" i="20"/>
  <c r="AL606" i="20"/>
  <c r="BO270" i="20"/>
  <c r="BJ593" i="20"/>
  <c r="BD190" i="20"/>
  <c r="BD177" i="20"/>
  <c r="BJ406" i="20"/>
  <c r="BO89" i="20"/>
  <c r="BD565" i="20"/>
  <c r="BD561" i="20"/>
  <c r="BE224" i="20"/>
  <c r="BD70" i="20"/>
  <c r="BQ559" i="20"/>
  <c r="BP542" i="20"/>
  <c r="BF581" i="20"/>
  <c r="BH344" i="20"/>
  <c r="BC594" i="20"/>
  <c r="BK501" i="20"/>
  <c r="BP352" i="20"/>
  <c r="BF604" i="20"/>
  <c r="BD175" i="20"/>
  <c r="BC605" i="20"/>
  <c r="BD77" i="20"/>
  <c r="BO181" i="20"/>
  <c r="BD81" i="20"/>
  <c r="BP17" i="20"/>
  <c r="BP295" i="20"/>
  <c r="BD172" i="20"/>
  <c r="BQ288" i="20"/>
  <c r="BI349" i="20"/>
  <c r="BO396" i="20"/>
  <c r="BC123" i="20"/>
  <c r="BO361" i="20"/>
  <c r="BO160" i="20"/>
  <c r="BP121" i="20"/>
  <c r="BD173" i="20"/>
  <c r="BL503" i="20"/>
  <c r="BD260" i="20"/>
  <c r="BC214" i="20"/>
  <c r="BO22" i="20"/>
  <c r="BL428" i="20"/>
  <c r="BK492" i="20"/>
  <c r="BC296" i="20"/>
  <c r="BP437" i="20"/>
  <c r="BN425" i="20"/>
  <c r="BD352" i="20"/>
  <c r="BD174" i="20"/>
  <c r="BO467" i="20"/>
  <c r="BD464" i="20"/>
  <c r="BH251" i="20"/>
  <c r="BC361" i="20"/>
  <c r="BD178" i="20"/>
  <c r="BC168" i="20"/>
  <c r="BP156" i="20"/>
  <c r="BR314" i="20"/>
  <c r="BD272" i="20"/>
  <c r="BB562" i="20"/>
  <c r="BJ401" i="20"/>
  <c r="BC304" i="20"/>
  <c r="BQ199" i="20"/>
  <c r="BD397" i="20"/>
  <c r="BD68" i="20"/>
  <c r="BO604" i="20"/>
  <c r="BO153" i="20"/>
  <c r="BD264" i="20"/>
  <c r="BD102" i="20"/>
  <c r="BK484" i="20"/>
  <c r="BD20" i="20"/>
  <c r="BO178" i="20"/>
  <c r="BQ122" i="20"/>
  <c r="BB10" i="20"/>
  <c r="BP142" i="20"/>
  <c r="BB212" i="20"/>
  <c r="BI410" i="20"/>
  <c r="BP263" i="20"/>
  <c r="BC126" i="20"/>
  <c r="BR414" i="20"/>
  <c r="BB532" i="20"/>
  <c r="BD182" i="20"/>
  <c r="BC288" i="20"/>
  <c r="BC293" i="20"/>
  <c r="BI382" i="20"/>
  <c r="BR112" i="20"/>
  <c r="BD350" i="20"/>
  <c r="BQ198" i="20"/>
  <c r="BC100" i="20"/>
  <c r="BO149" i="20"/>
  <c r="BD120" i="20"/>
  <c r="BD160" i="20"/>
  <c r="BD67" i="20"/>
  <c r="BD306" i="20"/>
  <c r="BI550" i="20"/>
  <c r="BM42" i="20"/>
  <c r="BD71" i="20"/>
  <c r="BO182" i="20"/>
  <c r="BC578" i="20"/>
  <c r="BH374" i="20"/>
  <c r="BP170" i="20"/>
  <c r="BB206" i="20"/>
  <c r="BC211" i="20"/>
  <c r="BR392" i="20"/>
  <c r="BO276" i="20"/>
  <c r="BC597" i="20"/>
  <c r="BC365" i="20"/>
  <c r="BO119" i="20"/>
  <c r="BE513" i="20"/>
  <c r="BD16" i="20"/>
  <c r="BE512" i="20"/>
  <c r="BD66" i="20"/>
  <c r="BD284" i="20"/>
  <c r="BO274" i="20"/>
  <c r="BD64" i="20"/>
  <c r="BQ196" i="20"/>
  <c r="BQ432" i="20"/>
  <c r="BD364" i="20"/>
  <c r="BE205" i="20"/>
  <c r="BB575" i="20"/>
  <c r="BD517" i="20"/>
  <c r="BD598" i="20"/>
  <c r="BP66" i="20"/>
  <c r="BK491" i="20"/>
  <c r="BQ78" i="20"/>
  <c r="BD354" i="20"/>
  <c r="BC185" i="20"/>
  <c r="BC236" i="20"/>
  <c r="BD132" i="20"/>
  <c r="BE261" i="20"/>
  <c r="BF261" i="20" s="1"/>
  <c r="BE130" i="20"/>
  <c r="BF130" i="20" s="1"/>
  <c r="BC131" i="20"/>
  <c r="BD256" i="20"/>
  <c r="BC127" i="20"/>
  <c r="BJ538" i="20"/>
  <c r="BD63" i="20"/>
  <c r="BE577" i="20"/>
  <c r="BP151" i="20"/>
  <c r="BD299" i="20"/>
  <c r="BD85" i="20"/>
  <c r="BP448" i="20"/>
  <c r="BP433" i="20"/>
  <c r="BD14" i="20"/>
  <c r="BO465" i="20"/>
  <c r="BG557" i="20"/>
  <c r="BO143" i="20"/>
  <c r="BI371" i="20"/>
  <c r="BJ378" i="20"/>
  <c r="BO455" i="20"/>
  <c r="BK346" i="20"/>
  <c r="BP265" i="20"/>
  <c r="BP362" i="20"/>
  <c r="BD318" i="20"/>
  <c r="BP21" i="20"/>
  <c r="BQ132" i="20"/>
  <c r="BO451" i="20"/>
  <c r="BQ116" i="20"/>
  <c r="BL373" i="20"/>
  <c r="BO258" i="20"/>
  <c r="BJ408" i="20"/>
  <c r="BB329" i="20"/>
  <c r="BC576" i="20"/>
  <c r="BB298" i="20"/>
  <c r="BP271" i="20"/>
  <c r="BB309" i="20"/>
  <c r="BD325" i="20"/>
  <c r="BD229" i="20"/>
  <c r="BP164" i="20"/>
  <c r="BP152" i="20"/>
  <c r="BP531" i="20"/>
  <c r="BQ124" i="20"/>
  <c r="BD332" i="20"/>
  <c r="BK498" i="20"/>
  <c r="BP273" i="20"/>
  <c r="BP574" i="20"/>
  <c r="BK479" i="20"/>
  <c r="BI570" i="20"/>
  <c r="BP165" i="20"/>
  <c r="BP159" i="20"/>
  <c r="BM499" i="20"/>
  <c r="BP169" i="20"/>
  <c r="BD141" i="20"/>
  <c r="BJ591" i="20"/>
  <c r="BO365" i="20"/>
  <c r="BD244" i="20"/>
  <c r="BD74" i="20"/>
  <c r="BB243" i="20"/>
  <c r="BM39" i="20"/>
  <c r="BF217" i="20"/>
  <c r="BR57" i="20"/>
  <c r="BC359" i="20"/>
  <c r="BR296" i="20"/>
  <c r="BE285" i="20"/>
  <c r="BF285" i="20" s="1"/>
  <c r="BD147" i="20"/>
  <c r="BB101" i="20"/>
  <c r="BD353" i="20"/>
  <c r="BP360" i="20"/>
  <c r="BD180" i="20"/>
  <c r="BF609" i="20"/>
  <c r="BB600" i="20"/>
  <c r="BD24" i="20"/>
  <c r="BP173" i="20"/>
  <c r="BE221" i="20"/>
  <c r="BB330" i="20"/>
  <c r="BL505" i="20"/>
  <c r="BD188" i="20"/>
  <c r="BQ446" i="20"/>
  <c r="BE240" i="20"/>
  <c r="BJ369" i="20"/>
  <c r="BP257" i="20"/>
  <c r="BC242" i="20"/>
  <c r="BD95" i="20"/>
  <c r="BH343" i="20"/>
  <c r="BR312" i="20"/>
  <c r="BO264" i="20"/>
  <c r="BJ568" i="20"/>
  <c r="BD87" i="20"/>
  <c r="BD257" i="20"/>
  <c r="BL500" i="20"/>
  <c r="BO63" i="20"/>
  <c r="BB91" i="20"/>
  <c r="BC358" i="20"/>
  <c r="BB579" i="20"/>
  <c r="BD8" i="20"/>
  <c r="BP20" i="20"/>
  <c r="BJ252" i="20"/>
  <c r="BQ114" i="20"/>
  <c r="BP172" i="20"/>
  <c r="BP353" i="20"/>
  <c r="BC225" i="20"/>
  <c r="BQ439" i="20"/>
  <c r="BB33" i="20"/>
  <c r="BQ387" i="20"/>
  <c r="AD28" i="11"/>
  <c r="AE28" i="11" s="1"/>
  <c r="T28" i="11"/>
  <c r="AC25" i="11" l="1"/>
  <c r="U25" i="11"/>
  <c r="BR190" i="20"/>
  <c r="AL190" i="20"/>
  <c r="AM190" i="20"/>
  <c r="AL391" i="20"/>
  <c r="AM391" i="20"/>
  <c r="AM387" i="20"/>
  <c r="AL387" i="20"/>
  <c r="BR196" i="20"/>
  <c r="AM202" i="20"/>
  <c r="AL202" i="20"/>
  <c r="AM443" i="20"/>
  <c r="AL443" i="20"/>
  <c r="AL195" i="20"/>
  <c r="AM195" i="20"/>
  <c r="AM191" i="20"/>
  <c r="AL191" i="20"/>
  <c r="AM583" i="20"/>
  <c r="AL583" i="20"/>
  <c r="AM59" i="20"/>
  <c r="AL59" i="20"/>
  <c r="AL582" i="20"/>
  <c r="AM582" i="20"/>
  <c r="AM452" i="20"/>
  <c r="AL452" i="20"/>
  <c r="AL472" i="20"/>
  <c r="AM472" i="20"/>
  <c r="AL55" i="20"/>
  <c r="AM55" i="20"/>
  <c r="AL111" i="20"/>
  <c r="AM111" i="20"/>
  <c r="AL386" i="20"/>
  <c r="AM386" i="20"/>
  <c r="AL547" i="20"/>
  <c r="AM547" i="20"/>
  <c r="AL383" i="20"/>
  <c r="AM383" i="20"/>
  <c r="AL199" i="20"/>
  <c r="AM199" i="20"/>
  <c r="AM288" i="20"/>
  <c r="AL288" i="20"/>
  <c r="AL559" i="20"/>
  <c r="AM559" i="20"/>
  <c r="AL444" i="20"/>
  <c r="AM444" i="20"/>
  <c r="AM193" i="20"/>
  <c r="AL193" i="20"/>
  <c r="AM125" i="20"/>
  <c r="AL125" i="20"/>
  <c r="AL197" i="20"/>
  <c r="AM197" i="20"/>
  <c r="AL204" i="20"/>
  <c r="AM204" i="20"/>
  <c r="AL116" i="20"/>
  <c r="AM116" i="20"/>
  <c r="AM466" i="20"/>
  <c r="AL466" i="20"/>
  <c r="AM285" i="20"/>
  <c r="AL285" i="20"/>
  <c r="AL435" i="20"/>
  <c r="AM435" i="20"/>
  <c r="AL200" i="20"/>
  <c r="AM200" i="20"/>
  <c r="AL53" i="20"/>
  <c r="AM53" i="20"/>
  <c r="AM286" i="20"/>
  <c r="AL286" i="20"/>
  <c r="AM417" i="20"/>
  <c r="AL417" i="20"/>
  <c r="AL78" i="20"/>
  <c r="AM78" i="20"/>
  <c r="AL122" i="20"/>
  <c r="AM122" i="20"/>
  <c r="AL436" i="20"/>
  <c r="AM436" i="20"/>
  <c r="AL120" i="20"/>
  <c r="AM120" i="20"/>
  <c r="AM438" i="20"/>
  <c r="AL438" i="20"/>
  <c r="AL192" i="20"/>
  <c r="AM192" i="20"/>
  <c r="AL385" i="20"/>
  <c r="AM385" i="20"/>
  <c r="AL432" i="20"/>
  <c r="AM432" i="20"/>
  <c r="AM147" i="20"/>
  <c r="AL147" i="20"/>
  <c r="AM584" i="20"/>
  <c r="AL584" i="20"/>
  <c r="AM415" i="20"/>
  <c r="AL415" i="20"/>
  <c r="AM587" i="20"/>
  <c r="AL587" i="20"/>
  <c r="AL393" i="20"/>
  <c r="AM393" i="20"/>
  <c r="BR586" i="20"/>
  <c r="AL586" i="20"/>
  <c r="AM586" i="20"/>
  <c r="AL194" i="20"/>
  <c r="AM194" i="20"/>
  <c r="BR80" i="20"/>
  <c r="AM80" i="20"/>
  <c r="AL80" i="20"/>
  <c r="AL439" i="20"/>
  <c r="AM439" i="20"/>
  <c r="AL422" i="20"/>
  <c r="AM422" i="20"/>
  <c r="AM560" i="20"/>
  <c r="AL560" i="20"/>
  <c r="AM141" i="20"/>
  <c r="AL141" i="20"/>
  <c r="AL58" i="20"/>
  <c r="AM58" i="20"/>
  <c r="AL132" i="20"/>
  <c r="AM132" i="20"/>
  <c r="AM114" i="20"/>
  <c r="AL114" i="20"/>
  <c r="AL124" i="20"/>
  <c r="AM124" i="20"/>
  <c r="AM446" i="20"/>
  <c r="AL446" i="20"/>
  <c r="AL198" i="20"/>
  <c r="AM198" i="20"/>
  <c r="AM585" i="20"/>
  <c r="AL585" i="20"/>
  <c r="AM471" i="20"/>
  <c r="AL471" i="20"/>
  <c r="AM201" i="20"/>
  <c r="AL201" i="20"/>
  <c r="AM203" i="20"/>
  <c r="AL203" i="20"/>
  <c r="AL546" i="20"/>
  <c r="AM546" i="20"/>
  <c r="AM110" i="20"/>
  <c r="AL110" i="20"/>
  <c r="AB25" i="11"/>
  <c r="AB39" i="11" s="1"/>
  <c r="D5" i="11" s="1"/>
  <c r="D7" i="11" s="1"/>
  <c r="V31" i="23"/>
  <c r="W31" i="23" s="1"/>
  <c r="AD25" i="11"/>
  <c r="T25" i="11"/>
  <c r="T39" i="11" s="1"/>
  <c r="D4" i="11" s="1"/>
  <c r="F66" i="24"/>
  <c r="I30" i="23" s="1"/>
  <c r="F56" i="24"/>
  <c r="T34" i="23"/>
  <c r="W33" i="23"/>
  <c r="T33" i="23"/>
  <c r="BC521" i="20"/>
  <c r="BD521" i="20" s="1"/>
  <c r="BE521" i="20" s="1"/>
  <c r="BF521" i="20" s="1"/>
  <c r="BE273" i="20"/>
  <c r="BF273" i="20" s="1"/>
  <c r="BC234" i="20"/>
  <c r="BP15" i="20"/>
  <c r="BI379" i="20"/>
  <c r="BI253" i="20"/>
  <c r="BK11" i="20"/>
  <c r="BR58" i="20"/>
  <c r="BD18" i="20"/>
  <c r="BD7" i="20"/>
  <c r="BD209" i="20"/>
  <c r="BI375" i="20"/>
  <c r="BD269" i="20"/>
  <c r="BI370" i="20"/>
  <c r="BG554" i="20"/>
  <c r="BD30" i="20"/>
  <c r="BR472" i="20"/>
  <c r="BC106" i="20"/>
  <c r="BP18" i="20"/>
  <c r="BD271" i="20"/>
  <c r="BE279" i="20"/>
  <c r="BP162" i="20"/>
  <c r="BC310" i="20"/>
  <c r="BQ88" i="20"/>
  <c r="BD213" i="20"/>
  <c r="BC334" i="20"/>
  <c r="BF92" i="20"/>
  <c r="BC72" i="20"/>
  <c r="BR55" i="20"/>
  <c r="BI412" i="20"/>
  <c r="BK52" i="20"/>
  <c r="BR391" i="20"/>
  <c r="BE146" i="20"/>
  <c r="BF146" i="20" s="1"/>
  <c r="BJ588" i="20"/>
  <c r="BD208" i="20"/>
  <c r="BJ381" i="20"/>
  <c r="BN43" i="20"/>
  <c r="BR110" i="20"/>
  <c r="BD277" i="20"/>
  <c r="BP297" i="20"/>
  <c r="BQ54" i="20"/>
  <c r="BD99" i="20"/>
  <c r="BD295" i="20"/>
  <c r="BQ161" i="20"/>
  <c r="BL50" i="20"/>
  <c r="BD275" i="20"/>
  <c r="BI45" i="20"/>
  <c r="BJ300" i="20"/>
  <c r="BD247" i="20"/>
  <c r="BL493" i="20"/>
  <c r="BP423" i="20"/>
  <c r="BP289" i="20"/>
  <c r="BE137" i="20"/>
  <c r="BR53" i="20"/>
  <c r="BK566" i="20"/>
  <c r="BP434" i="20"/>
  <c r="BE255" i="20"/>
  <c r="BE230" i="20"/>
  <c r="BP188" i="20"/>
  <c r="BQ19" i="20"/>
  <c r="BJ590" i="20"/>
  <c r="BM523" i="20"/>
  <c r="BJ377" i="20"/>
  <c r="BG558" i="20"/>
  <c r="BC303" i="20"/>
  <c r="BC96" i="20"/>
  <c r="BJ47" i="20"/>
  <c r="BI51" i="20"/>
  <c r="BQ91" i="20"/>
  <c r="BR111" i="20"/>
  <c r="BG556" i="20"/>
  <c r="BP184" i="20"/>
  <c r="BE333" i="20"/>
  <c r="BI347" i="20"/>
  <c r="BQ603" i="20"/>
  <c r="AL603" i="20"/>
  <c r="BG241" i="20"/>
  <c r="BP79" i="20"/>
  <c r="BQ169" i="20"/>
  <c r="BD605" i="20"/>
  <c r="BC246" i="20"/>
  <c r="BM488" i="20"/>
  <c r="BQ267" i="20"/>
  <c r="BP450" i="20"/>
  <c r="BK252" i="20"/>
  <c r="BE257" i="20"/>
  <c r="BF257" i="20" s="1"/>
  <c r="BE188" i="20"/>
  <c r="BF188" i="20" s="1"/>
  <c r="BE74" i="20"/>
  <c r="BQ574" i="20"/>
  <c r="BQ164" i="20"/>
  <c r="BQ271" i="20"/>
  <c r="BK408" i="20"/>
  <c r="BR116" i="20"/>
  <c r="BE318" i="20"/>
  <c r="BL346" i="20"/>
  <c r="BD578" i="20"/>
  <c r="BE160" i="20"/>
  <c r="BF160" i="20" s="1"/>
  <c r="BR122" i="20"/>
  <c r="BE102" i="20"/>
  <c r="BD304" i="20"/>
  <c r="BI251" i="20"/>
  <c r="BE352" i="20"/>
  <c r="BF352" i="20" s="1"/>
  <c r="BM503" i="20"/>
  <c r="BL501" i="20"/>
  <c r="BR559" i="20"/>
  <c r="BK406" i="20"/>
  <c r="BP453" i="20"/>
  <c r="BD9" i="20"/>
  <c r="BF580" i="20"/>
  <c r="BM485" i="20"/>
  <c r="BN489" i="20"/>
  <c r="BR286" i="20"/>
  <c r="BQ416" i="20"/>
  <c r="BF219" i="20"/>
  <c r="BL402" i="20"/>
  <c r="BD215" i="20"/>
  <c r="BQ275" i="20"/>
  <c r="BQ269" i="20"/>
  <c r="BE355" i="20"/>
  <c r="BF355" i="20"/>
  <c r="BE516" i="20"/>
  <c r="BD133" i="20"/>
  <c r="BD394" i="20"/>
  <c r="BD88" i="20"/>
  <c r="BP69" i="20"/>
  <c r="BQ175" i="20"/>
  <c r="BQ461" i="20"/>
  <c r="BQ354" i="20"/>
  <c r="BP146" i="20"/>
  <c r="BL476" i="20"/>
  <c r="BQ356" i="20"/>
  <c r="BQ179" i="20"/>
  <c r="BR438" i="20"/>
  <c r="BF339" i="20"/>
  <c r="BF611" i="20"/>
  <c r="BF608" i="20"/>
  <c r="BR422" i="20"/>
  <c r="BP14" i="20"/>
  <c r="BC107" i="20"/>
  <c r="BD22" i="20"/>
  <c r="BR607" i="20"/>
  <c r="BN38" i="20"/>
  <c r="BE151" i="20"/>
  <c r="BF151" i="20" s="1"/>
  <c r="BR560" i="20"/>
  <c r="BE65" i="20"/>
  <c r="BF65" i="20" s="1"/>
  <c r="BF222" i="20"/>
  <c r="BD164" i="20"/>
  <c r="BE280" i="20"/>
  <c r="BK366" i="20"/>
  <c r="BL490" i="20"/>
  <c r="BR435" i="20"/>
  <c r="BP131" i="20"/>
  <c r="BP76" i="20"/>
  <c r="BD31" i="20"/>
  <c r="BQ553" i="20"/>
  <c r="BE248" i="20"/>
  <c r="BP543" i="20"/>
  <c r="BK540" i="20"/>
  <c r="BM480" i="20"/>
  <c r="BE218" i="20"/>
  <c r="BR204" i="20"/>
  <c r="BP264" i="20"/>
  <c r="BP258" i="20"/>
  <c r="BP149" i="20"/>
  <c r="BE20" i="20"/>
  <c r="BF20" i="20"/>
  <c r="BE190" i="20"/>
  <c r="BM483" i="20"/>
  <c r="BQ185" i="20"/>
  <c r="BC278" i="20"/>
  <c r="BR584" i="20"/>
  <c r="BC91" i="20"/>
  <c r="BQ257" i="20"/>
  <c r="BG609" i="20"/>
  <c r="BC101" i="20"/>
  <c r="BD359" i="20"/>
  <c r="BN39" i="20"/>
  <c r="BE141" i="20"/>
  <c r="BF141" i="20"/>
  <c r="BQ165" i="20"/>
  <c r="BR124" i="20"/>
  <c r="BJ371" i="20"/>
  <c r="BP465" i="20"/>
  <c r="BE85" i="20"/>
  <c r="BF85" i="20"/>
  <c r="BD185" i="20"/>
  <c r="BE598" i="20"/>
  <c r="BD597" i="20"/>
  <c r="BN42" i="20"/>
  <c r="BE182" i="20"/>
  <c r="BF182" i="20"/>
  <c r="BQ263" i="20"/>
  <c r="BC212" i="20"/>
  <c r="BE272" i="20"/>
  <c r="BF272" i="20" s="1"/>
  <c r="BD168" i="20"/>
  <c r="BD214" i="20"/>
  <c r="BP361" i="20"/>
  <c r="BJ349" i="20"/>
  <c r="BQ295" i="20"/>
  <c r="BE77" i="20"/>
  <c r="BF77" i="20" s="1"/>
  <c r="BE175" i="20"/>
  <c r="BF175" i="20"/>
  <c r="BP270" i="20"/>
  <c r="BD338" i="20"/>
  <c r="BF511" i="20"/>
  <c r="BQ600" i="20"/>
  <c r="AL600" i="20"/>
  <c r="BG342" i="20"/>
  <c r="BR587" i="20"/>
  <c r="BE356" i="20"/>
  <c r="BF356" i="20" s="1"/>
  <c r="BP262" i="20"/>
  <c r="BE62" i="20"/>
  <c r="BE266" i="20"/>
  <c r="BF266" i="20" s="1"/>
  <c r="BF163" i="20"/>
  <c r="BQ384" i="20"/>
  <c r="BC292" i="20"/>
  <c r="BC32" i="20"/>
  <c r="BC235" i="20"/>
  <c r="BR599" i="20"/>
  <c r="BQ424" i="20"/>
  <c r="BP441" i="20"/>
  <c r="BM36" i="20"/>
  <c r="BJ372" i="20"/>
  <c r="BQ527" i="20"/>
  <c r="BD23" i="20"/>
  <c r="BL475" i="20"/>
  <c r="BQ86" i="20"/>
  <c r="BR582" i="20"/>
  <c r="BD603" i="20"/>
  <c r="BQ261" i="20"/>
  <c r="BF337" i="20"/>
  <c r="BE158" i="20"/>
  <c r="BF158" i="20"/>
  <c r="BC250" i="20"/>
  <c r="BP594" i="20"/>
  <c r="BD207" i="20"/>
  <c r="BD319" i="20"/>
  <c r="BP413" i="20"/>
  <c r="BE411" i="20"/>
  <c r="BH518" i="20"/>
  <c r="BQ572" i="20"/>
  <c r="BC103" i="20"/>
  <c r="BQ189" i="20"/>
  <c r="BG563" i="20"/>
  <c r="BQ442" i="20"/>
  <c r="BE135" i="20"/>
  <c r="BQ128" i="20"/>
  <c r="BE270" i="20"/>
  <c r="BF270" i="20"/>
  <c r="BK568" i="20"/>
  <c r="BD576" i="20"/>
  <c r="BJ410" i="20"/>
  <c r="BD361" i="20"/>
  <c r="BD602" i="20"/>
  <c r="BR443" i="20"/>
  <c r="BQ287" i="20"/>
  <c r="BP83" i="20"/>
  <c r="BR387" i="20"/>
  <c r="BQ353" i="20"/>
  <c r="BQ20" i="20"/>
  <c r="BE87" i="20"/>
  <c r="BI343" i="20"/>
  <c r="BK369" i="20"/>
  <c r="BQ173" i="20"/>
  <c r="BE180" i="20"/>
  <c r="BF180" i="20" s="1"/>
  <c r="BE244" i="20"/>
  <c r="BQ273" i="20"/>
  <c r="BQ531" i="20"/>
  <c r="BP451" i="20"/>
  <c r="BP143" i="20"/>
  <c r="BQ151" i="20"/>
  <c r="BE63" i="20"/>
  <c r="BF63" i="20" s="1"/>
  <c r="BE256" i="20"/>
  <c r="BE132" i="20"/>
  <c r="BF132" i="20" s="1"/>
  <c r="BE354" i="20"/>
  <c r="BF354" i="20"/>
  <c r="BL491" i="20"/>
  <c r="BE517" i="20"/>
  <c r="BF205" i="20"/>
  <c r="BE66" i="20"/>
  <c r="BF66" i="20" s="1"/>
  <c r="BF513" i="20"/>
  <c r="BP276" i="20"/>
  <c r="BJ550" i="20"/>
  <c r="BE120" i="20"/>
  <c r="BF120" i="20" s="1"/>
  <c r="BR198" i="20"/>
  <c r="BJ382" i="20"/>
  <c r="BC532" i="20"/>
  <c r="BP178" i="20"/>
  <c r="BE264" i="20"/>
  <c r="BF264" i="20" s="1"/>
  <c r="BE68" i="20"/>
  <c r="BF68" i="20" s="1"/>
  <c r="BE178" i="20"/>
  <c r="BF178" i="20" s="1"/>
  <c r="BE173" i="20"/>
  <c r="BF173" i="20"/>
  <c r="BQ17" i="20"/>
  <c r="BD594" i="20"/>
  <c r="BE177" i="20"/>
  <c r="BF177" i="20"/>
  <c r="BR436" i="20"/>
  <c r="BD153" i="20"/>
  <c r="BP268" i="20"/>
  <c r="BD308" i="20"/>
  <c r="BQ468" i="20"/>
  <c r="BQ544" i="20"/>
  <c r="BR147" i="20"/>
  <c r="BN426" i="20"/>
  <c r="BE227" i="20"/>
  <c r="BC93" i="20"/>
  <c r="BG238" i="20"/>
  <c r="BR285" i="20"/>
  <c r="BE351" i="20"/>
  <c r="BF351" i="20"/>
  <c r="BN429" i="20"/>
  <c r="BJ541" i="20"/>
  <c r="BQ130" i="20"/>
  <c r="BD121" i="20"/>
  <c r="BP473" i="20"/>
  <c r="BC305" i="20"/>
  <c r="BR195" i="20"/>
  <c r="BF535" i="20"/>
  <c r="BO427" i="20"/>
  <c r="BE79" i="20"/>
  <c r="BF79" i="20"/>
  <c r="BM478" i="20"/>
  <c r="BD287" i="20"/>
  <c r="BQ470" i="20"/>
  <c r="BD228" i="20"/>
  <c r="BR193" i="20"/>
  <c r="BQ395" i="20"/>
  <c r="BQ158" i="20"/>
  <c r="BD138" i="20"/>
  <c r="BF289" i="20"/>
  <c r="BE145" i="20"/>
  <c r="BF145" i="20"/>
  <c r="BL496" i="20"/>
  <c r="BD129" i="20"/>
  <c r="BF161" i="20"/>
  <c r="BE254" i="20"/>
  <c r="BP85" i="20"/>
  <c r="BR203" i="20"/>
  <c r="BD169" i="20"/>
  <c r="BM40" i="20"/>
  <c r="BK405" i="20"/>
  <c r="BC233" i="20"/>
  <c r="BF239" i="20"/>
  <c r="BL486" i="20"/>
  <c r="BK367" i="20"/>
  <c r="BE606" i="20"/>
  <c r="AM606" i="20"/>
  <c r="BP420" i="20"/>
  <c r="BE613" i="20"/>
  <c r="BD105" i="20"/>
  <c r="BI380" i="20"/>
  <c r="BF237" i="20"/>
  <c r="BE95" i="20"/>
  <c r="BE147" i="20"/>
  <c r="BF147" i="20"/>
  <c r="BL498" i="20"/>
  <c r="BP274" i="20"/>
  <c r="BE306" i="20"/>
  <c r="BM428" i="20"/>
  <c r="BF232" i="20"/>
  <c r="BE404" i="20"/>
  <c r="BN482" i="20"/>
  <c r="BL477" i="20"/>
  <c r="BC33" i="20"/>
  <c r="BQ172" i="20"/>
  <c r="BE8" i="20"/>
  <c r="BP63" i="20"/>
  <c r="BM505" i="20"/>
  <c r="BE229" i="20"/>
  <c r="BC298" i="20"/>
  <c r="BQ362" i="20"/>
  <c r="BP455" i="20"/>
  <c r="BE14" i="20"/>
  <c r="BF14" i="20" s="1"/>
  <c r="BD131" i="20"/>
  <c r="BE64" i="20"/>
  <c r="BF64" i="20" s="1"/>
  <c r="BF512" i="20"/>
  <c r="BC206" i="20"/>
  <c r="BQ142" i="20"/>
  <c r="BE464" i="20"/>
  <c r="BO425" i="20"/>
  <c r="BL492" i="20"/>
  <c r="BE260" i="20"/>
  <c r="BF260" i="20" s="1"/>
  <c r="BQ121" i="20"/>
  <c r="BR288" i="20"/>
  <c r="BG581" i="20"/>
  <c r="BE70" i="20"/>
  <c r="BF70" i="20"/>
  <c r="BE565" i="20"/>
  <c r="BR606" i="20"/>
  <c r="BD249" i="20"/>
  <c r="BF124" i="20"/>
  <c r="BC139" i="20"/>
  <c r="BE80" i="20"/>
  <c r="BH515" i="20"/>
  <c r="BE179" i="20"/>
  <c r="BD152" i="20"/>
  <c r="BL549" i="20"/>
  <c r="BP168" i="20"/>
  <c r="BR417" i="20"/>
  <c r="BE157" i="20"/>
  <c r="BF157" i="20" s="1"/>
  <c r="BL504" i="20"/>
  <c r="BR120" i="20"/>
  <c r="BQ145" i="20"/>
  <c r="BP421" i="20"/>
  <c r="BE183" i="20"/>
  <c r="BF183" i="20" s="1"/>
  <c r="BR605" i="20"/>
  <c r="BP71" i="20"/>
  <c r="BD26" i="20"/>
  <c r="BR444" i="20"/>
  <c r="BF167" i="20"/>
  <c r="BE167" i="20"/>
  <c r="BJ376" i="20"/>
  <c r="BQ129" i="20"/>
  <c r="BI44" i="20"/>
  <c r="BD109" i="20"/>
  <c r="BD25" i="20"/>
  <c r="BJ348" i="20"/>
  <c r="BH555" i="20"/>
  <c r="BP445" i="20"/>
  <c r="BQ123" i="20"/>
  <c r="BR383" i="20"/>
  <c r="BJ403" i="20"/>
  <c r="BQ68" i="20"/>
  <c r="BH514" i="20"/>
  <c r="BP67" i="20"/>
  <c r="BK345" i="20"/>
  <c r="BE84" i="20"/>
  <c r="BM481" i="20"/>
  <c r="BE210" i="20"/>
  <c r="BP454" i="20"/>
  <c r="BC599" i="20"/>
  <c r="BD245" i="20"/>
  <c r="BD104" i="20"/>
  <c r="BQ350" i="20"/>
  <c r="BP180" i="20"/>
  <c r="BE268" i="20"/>
  <c r="BF268" i="20"/>
  <c r="BR125" i="20"/>
  <c r="BE519" i="20"/>
  <c r="BD189" i="20"/>
  <c r="BE83" i="20"/>
  <c r="BF83" i="20"/>
  <c r="BC326" i="20"/>
  <c r="BP552" i="20"/>
  <c r="BD98" i="20"/>
  <c r="BR194" i="20"/>
  <c r="BE262" i="20"/>
  <c r="BF262" i="20" s="1"/>
  <c r="BQ186" i="20"/>
  <c r="BQ418" i="20"/>
  <c r="BN522" i="20"/>
  <c r="BI536" i="20"/>
  <c r="BP176" i="20"/>
  <c r="BM48" i="20"/>
  <c r="BE76" i="20"/>
  <c r="BF76" i="20" s="1"/>
  <c r="BP602" i="20"/>
  <c r="BC533" i="20"/>
  <c r="BR583" i="20"/>
  <c r="BG140" i="20"/>
  <c r="BE159" i="20"/>
  <c r="BF159" i="20" s="1"/>
  <c r="BE276" i="20"/>
  <c r="BF276" i="20" s="1"/>
  <c r="BD154" i="20"/>
  <c r="BE357" i="20"/>
  <c r="BF357" i="20" s="1"/>
  <c r="BF612" i="20"/>
  <c r="BD290" i="20"/>
  <c r="BE181" i="20"/>
  <c r="BF181" i="20" s="1"/>
  <c r="BP127" i="20"/>
  <c r="BN525" i="20"/>
  <c r="BG220" i="20"/>
  <c r="BJ539" i="20"/>
  <c r="BE143" i="20"/>
  <c r="BF143" i="20" s="1"/>
  <c r="BQ459" i="20"/>
  <c r="BR200" i="20"/>
  <c r="BE534" i="20"/>
  <c r="BQ595" i="20"/>
  <c r="AL595" i="20"/>
  <c r="BE27" i="20"/>
  <c r="BR452" i="20"/>
  <c r="BJ537" i="20"/>
  <c r="BR114" i="20"/>
  <c r="BF240" i="20"/>
  <c r="BC330" i="20"/>
  <c r="BE24" i="20"/>
  <c r="BQ360" i="20"/>
  <c r="BP365" i="20"/>
  <c r="BJ570" i="20"/>
  <c r="BR132" i="20"/>
  <c r="BQ265" i="20"/>
  <c r="BQ433" i="20"/>
  <c r="BE299" i="20"/>
  <c r="BR78" i="20"/>
  <c r="BP119" i="20"/>
  <c r="BE350" i="20"/>
  <c r="BF350" i="20" s="1"/>
  <c r="BC10" i="20"/>
  <c r="BP153" i="20"/>
  <c r="BE397" i="20"/>
  <c r="BF397" i="20"/>
  <c r="BP396" i="20"/>
  <c r="BI344" i="20"/>
  <c r="BQ542" i="20"/>
  <c r="BF224" i="20"/>
  <c r="BP89" i="20"/>
  <c r="BR90" i="20"/>
  <c r="BC89" i="20"/>
  <c r="BR202" i="20"/>
  <c r="BP449" i="20"/>
  <c r="BM494" i="20"/>
  <c r="BC97" i="20"/>
  <c r="BK46" i="20"/>
  <c r="BM487" i="20"/>
  <c r="BK589" i="20"/>
  <c r="BE125" i="20"/>
  <c r="BF125" i="20"/>
  <c r="BE156" i="20"/>
  <c r="BF156" i="20" s="1"/>
  <c r="BR547" i="20"/>
  <c r="BE15" i="20"/>
  <c r="BF15" i="20" s="1"/>
  <c r="BE136" i="20"/>
  <c r="BD302" i="20"/>
  <c r="BP81" i="20"/>
  <c r="BQ458" i="20"/>
  <c r="BQ463" i="20"/>
  <c r="BQ389" i="20"/>
  <c r="BE231" i="20"/>
  <c r="W5" i="20"/>
  <c r="BD5" i="20"/>
  <c r="BE128" i="20"/>
  <c r="BF128" i="20" s="1"/>
  <c r="BR201" i="20"/>
  <c r="BP260" i="20"/>
  <c r="BP363" i="20"/>
  <c r="BF328" i="20"/>
  <c r="BP398" i="20"/>
  <c r="BQ177" i="20"/>
  <c r="BP183" i="20"/>
  <c r="BG226" i="20"/>
  <c r="BQ355" i="20"/>
  <c r="BE362" i="20"/>
  <c r="BF362" i="20" s="1"/>
  <c r="BP447" i="20"/>
  <c r="BN41" i="20"/>
  <c r="BP266" i="20"/>
  <c r="BP596" i="20"/>
  <c r="BC216" i="20"/>
  <c r="BE149" i="20"/>
  <c r="BF149" i="20" s="1"/>
  <c r="BR192" i="20"/>
  <c r="BR141" i="20"/>
  <c r="BE614" i="20"/>
  <c r="BJ569" i="20"/>
  <c r="BF75" i="20"/>
  <c r="BQ551" i="20"/>
  <c r="BQ259" i="20"/>
  <c r="BQ64" i="20"/>
  <c r="BC243" i="20"/>
  <c r="BE325" i="20"/>
  <c r="BP182" i="20"/>
  <c r="BK401" i="20"/>
  <c r="BQ437" i="20"/>
  <c r="BD123" i="20"/>
  <c r="BQ352" i="20"/>
  <c r="BD336" i="20"/>
  <c r="BQ364" i="20"/>
  <c r="BD19" i="20"/>
  <c r="AL597" i="20"/>
  <c r="BQ597" i="20"/>
  <c r="BR471" i="20"/>
  <c r="BQ462" i="20"/>
  <c r="BQ163" i="20"/>
  <c r="BR439" i="20"/>
  <c r="BC579" i="20"/>
  <c r="BM500" i="20"/>
  <c r="BD242" i="20"/>
  <c r="BR446" i="20"/>
  <c r="BF221" i="20"/>
  <c r="BC600" i="20"/>
  <c r="BN499" i="20"/>
  <c r="BL479" i="20"/>
  <c r="BE332" i="20"/>
  <c r="BQ152" i="20"/>
  <c r="BC309" i="20"/>
  <c r="BC329" i="20"/>
  <c r="BQ21" i="20"/>
  <c r="BK378" i="20"/>
  <c r="BF577" i="20"/>
  <c r="BK538" i="20"/>
  <c r="BD236" i="20"/>
  <c r="BQ66" i="20"/>
  <c r="BR432" i="20"/>
  <c r="BE284" i="20"/>
  <c r="BD365" i="20"/>
  <c r="BI374" i="20"/>
  <c r="BE71" i="20"/>
  <c r="BF71" i="20" s="1"/>
  <c r="BE67" i="20"/>
  <c r="BF67" i="20"/>
  <c r="BD288" i="20"/>
  <c r="BP604" i="20"/>
  <c r="BR199" i="20"/>
  <c r="BE174" i="20"/>
  <c r="BF174" i="20" s="1"/>
  <c r="BD296" i="20"/>
  <c r="BP160" i="20"/>
  <c r="BE172" i="20"/>
  <c r="BF172" i="20"/>
  <c r="BP181" i="20"/>
  <c r="BK593" i="20"/>
  <c r="BC134" i="20"/>
  <c r="BC94" i="20"/>
  <c r="BL409" i="20"/>
  <c r="BR415" i="20"/>
  <c r="BQ529" i="20"/>
  <c r="BD150" i="20"/>
  <c r="BM526" i="20"/>
  <c r="BQ601" i="20"/>
  <c r="AL601" i="20"/>
  <c r="BR466" i="20"/>
  <c r="BP272" i="20"/>
  <c r="BP65" i="20"/>
  <c r="BD165" i="20"/>
  <c r="BD564" i="20"/>
  <c r="BK567" i="20"/>
  <c r="BN521" i="20"/>
  <c r="BQ573" i="20"/>
  <c r="BQ133" i="20"/>
  <c r="BL592" i="20"/>
  <c r="BE274" i="20"/>
  <c r="BF274" i="20" s="1"/>
  <c r="BN37" i="20"/>
  <c r="BQ528" i="20"/>
  <c r="BD6" i="20"/>
  <c r="BF301" i="20"/>
  <c r="BP154" i="20"/>
  <c r="BE28" i="20"/>
  <c r="BD595" i="20"/>
  <c r="BQ157" i="20"/>
  <c r="BQ571" i="20"/>
  <c r="BR393" i="20"/>
  <c r="BP171" i="20"/>
  <c r="BD395" i="20"/>
  <c r="BC335" i="20"/>
  <c r="BD170" i="20"/>
  <c r="BQ70" i="20"/>
  <c r="BF610" i="20"/>
  <c r="BR191" i="20"/>
  <c r="BK399" i="20"/>
  <c r="BF73" i="20"/>
  <c r="BQ150" i="20"/>
  <c r="BR59" i="20"/>
  <c r="BH223" i="20"/>
  <c r="BQ431" i="20"/>
  <c r="BE61" i="20"/>
  <c r="BE69" i="20"/>
  <c r="BF69" i="20" s="1"/>
  <c r="BE82" i="20"/>
  <c r="BE29" i="20"/>
  <c r="BE90" i="20"/>
  <c r="BD396" i="20"/>
  <c r="BD393" i="20"/>
  <c r="BE327" i="20"/>
  <c r="BJ12" i="20"/>
  <c r="BD286" i="20"/>
  <c r="BK407" i="20"/>
  <c r="BR197" i="20"/>
  <c r="BE360" i="20"/>
  <c r="BE60" i="20"/>
  <c r="BE59" i="20"/>
  <c r="BF59" i="20" s="1"/>
  <c r="BN524" i="20"/>
  <c r="BE311" i="20"/>
  <c r="BE520" i="20"/>
  <c r="BP77" i="20"/>
  <c r="BE341" i="20"/>
  <c r="BE364" i="20"/>
  <c r="BF364" i="20" s="1"/>
  <c r="BQ170" i="20"/>
  <c r="BD293" i="20"/>
  <c r="BP467" i="20"/>
  <c r="BE81" i="20"/>
  <c r="BF81" i="20" s="1"/>
  <c r="BM497" i="20"/>
  <c r="BC607" i="20"/>
  <c r="BD225" i="20"/>
  <c r="BD358" i="20"/>
  <c r="BE353" i="20"/>
  <c r="BF353" i="20"/>
  <c r="BG217" i="20"/>
  <c r="BK591" i="20"/>
  <c r="BQ159" i="20"/>
  <c r="BM373" i="20"/>
  <c r="BH557" i="20"/>
  <c r="BQ448" i="20"/>
  <c r="BD127" i="20"/>
  <c r="BC575" i="20"/>
  <c r="BE16" i="20"/>
  <c r="BF16" i="20"/>
  <c r="BD211" i="20"/>
  <c r="BD100" i="20"/>
  <c r="BD126" i="20"/>
  <c r="BL484" i="20"/>
  <c r="BC562" i="20"/>
  <c r="BQ156" i="20"/>
  <c r="BP22" i="20"/>
  <c r="BE561" i="20"/>
  <c r="BR585" i="20"/>
  <c r="BQ290" i="20"/>
  <c r="BP16" i="20"/>
  <c r="BQ530" i="20"/>
  <c r="BJ400" i="20"/>
  <c r="BE307" i="20"/>
  <c r="BP148" i="20"/>
  <c r="BC601" i="20"/>
  <c r="BJ368" i="20"/>
  <c r="BC340" i="20"/>
  <c r="BQ155" i="20"/>
  <c r="BD363" i="20"/>
  <c r="BP174" i="20"/>
  <c r="BP144" i="20"/>
  <c r="BP359" i="20"/>
  <c r="BP457" i="20"/>
  <c r="BK495" i="20"/>
  <c r="BQ397" i="20"/>
  <c r="BQ440" i="20"/>
  <c r="BJ548" i="20"/>
  <c r="BM502" i="20"/>
  <c r="BQ351" i="20"/>
  <c r="BL474" i="20"/>
  <c r="BQ357" i="20"/>
  <c r="BP294" i="20"/>
  <c r="BE176" i="20"/>
  <c r="BF176" i="20"/>
  <c r="BJ13" i="20"/>
  <c r="BN35" i="20"/>
  <c r="BN430" i="20"/>
  <c r="BC34" i="20"/>
  <c r="BE331" i="20"/>
  <c r="BJ49" i="20"/>
  <c r="BQ388" i="20"/>
  <c r="BF148" i="20"/>
  <c r="BD398" i="20"/>
  <c r="BP469" i="20"/>
  <c r="BR546" i="20"/>
  <c r="BD108" i="20"/>
  <c r="BQ460" i="20"/>
  <c r="BQ394" i="20"/>
  <c r="AE25" i="11" l="1"/>
  <c r="AE39" i="11" s="1"/>
  <c r="D8" i="11" s="1"/>
  <c r="AL440" i="20"/>
  <c r="AM440" i="20"/>
  <c r="AL448" i="20"/>
  <c r="AM448" i="20"/>
  <c r="AL70" i="20"/>
  <c r="AM70" i="20"/>
  <c r="AL259" i="20"/>
  <c r="AM259" i="20"/>
  <c r="AM458" i="20"/>
  <c r="AL458" i="20"/>
  <c r="AL20" i="20"/>
  <c r="AM20" i="20"/>
  <c r="AL287" i="20"/>
  <c r="AM287" i="20"/>
  <c r="AL553" i="20"/>
  <c r="AM553" i="20"/>
  <c r="AM269" i="20"/>
  <c r="AL269" i="20"/>
  <c r="AM571" i="20"/>
  <c r="AL571" i="20"/>
  <c r="AM152" i="20"/>
  <c r="AL152" i="20"/>
  <c r="AL163" i="20"/>
  <c r="AM163" i="20"/>
  <c r="AL364" i="20"/>
  <c r="AM364" i="20"/>
  <c r="AL186" i="20"/>
  <c r="AM186" i="20"/>
  <c r="AL350" i="20"/>
  <c r="AM350" i="20"/>
  <c r="AL173" i="20"/>
  <c r="AM173" i="20"/>
  <c r="AM551" i="20"/>
  <c r="AL551" i="20"/>
  <c r="AL68" i="20"/>
  <c r="AM68" i="20"/>
  <c r="AL145" i="20"/>
  <c r="AM145" i="20"/>
  <c r="AL544" i="20"/>
  <c r="AM544" i="20"/>
  <c r="AM353" i="20"/>
  <c r="AL353" i="20"/>
  <c r="AM189" i="20"/>
  <c r="AL189" i="20"/>
  <c r="AM86" i="20"/>
  <c r="AL86" i="20"/>
  <c r="AL295" i="20"/>
  <c r="AM295" i="20"/>
  <c r="AL179" i="20"/>
  <c r="AM179" i="20"/>
  <c r="AM354" i="20"/>
  <c r="AL354" i="20"/>
  <c r="AM275" i="20"/>
  <c r="AL275" i="20"/>
  <c r="AL416" i="20"/>
  <c r="AM416" i="20"/>
  <c r="AL271" i="20"/>
  <c r="AM271" i="20"/>
  <c r="AM351" i="20"/>
  <c r="AL351" i="20"/>
  <c r="AM431" i="20"/>
  <c r="AL431" i="20"/>
  <c r="AM133" i="20"/>
  <c r="AL133" i="20"/>
  <c r="AL66" i="20"/>
  <c r="AM66" i="20"/>
  <c r="AL462" i="20"/>
  <c r="AM462" i="20"/>
  <c r="AM352" i="20"/>
  <c r="AL352" i="20"/>
  <c r="AL389" i="20"/>
  <c r="AM389" i="20"/>
  <c r="AL121" i="20"/>
  <c r="AM121" i="20"/>
  <c r="AL142" i="20"/>
  <c r="AM142" i="20"/>
  <c r="AL470" i="20"/>
  <c r="AM470" i="20"/>
  <c r="AM130" i="20"/>
  <c r="AL130" i="20"/>
  <c r="AL263" i="20"/>
  <c r="AM263" i="20"/>
  <c r="AM165" i="20"/>
  <c r="AL165" i="20"/>
  <c r="AL185" i="20"/>
  <c r="AM185" i="20"/>
  <c r="AM528" i="20"/>
  <c r="AL528" i="20"/>
  <c r="AM177" i="20"/>
  <c r="AL177" i="20"/>
  <c r="AL433" i="20"/>
  <c r="AM433" i="20"/>
  <c r="AL129" i="20"/>
  <c r="AM129" i="20"/>
  <c r="AL468" i="20"/>
  <c r="AM468" i="20"/>
  <c r="AM531" i="20"/>
  <c r="AL531" i="20"/>
  <c r="AL128" i="20"/>
  <c r="AM128" i="20"/>
  <c r="AL384" i="20"/>
  <c r="AM384" i="20"/>
  <c r="AM356" i="20"/>
  <c r="AL356" i="20"/>
  <c r="BR54" i="20"/>
  <c r="AM54" i="20"/>
  <c r="AL54" i="20"/>
  <c r="AM157" i="20"/>
  <c r="AL157" i="20"/>
  <c r="AL530" i="20"/>
  <c r="AM530" i="20"/>
  <c r="AM394" i="20"/>
  <c r="AL394" i="20"/>
  <c r="AM156" i="20"/>
  <c r="AL156" i="20"/>
  <c r="AL573" i="20"/>
  <c r="AM573" i="20"/>
  <c r="AM21" i="20"/>
  <c r="AL21" i="20"/>
  <c r="AL542" i="20"/>
  <c r="AM542" i="20"/>
  <c r="AL459" i="20"/>
  <c r="AM459" i="20"/>
  <c r="AL158" i="20"/>
  <c r="AM158" i="20"/>
  <c r="AM273" i="20"/>
  <c r="AL273" i="20"/>
  <c r="AM261" i="20"/>
  <c r="AL261" i="20"/>
  <c r="AL461" i="20"/>
  <c r="AM461" i="20"/>
  <c r="AL164" i="20"/>
  <c r="AM164" i="20"/>
  <c r="BR91" i="20"/>
  <c r="AL91" i="20"/>
  <c r="AL19" i="20"/>
  <c r="AM19" i="20"/>
  <c r="AL88" i="20"/>
  <c r="AM88" i="20"/>
  <c r="AM397" i="20"/>
  <c r="AL397" i="20"/>
  <c r="AM159" i="20"/>
  <c r="AL159" i="20"/>
  <c r="AM437" i="20"/>
  <c r="AL437" i="20"/>
  <c r="AM64" i="20"/>
  <c r="AL64" i="20"/>
  <c r="AM355" i="20"/>
  <c r="AL355" i="20"/>
  <c r="AL463" i="20"/>
  <c r="AM463" i="20"/>
  <c r="AL265" i="20"/>
  <c r="AM265" i="20"/>
  <c r="AL360" i="20"/>
  <c r="AM360" i="20"/>
  <c r="AL418" i="20"/>
  <c r="AM418" i="20"/>
  <c r="AL362" i="20"/>
  <c r="AM362" i="20"/>
  <c r="AM172" i="20"/>
  <c r="AL172" i="20"/>
  <c r="AM17" i="20"/>
  <c r="AL17" i="20"/>
  <c r="AL151" i="20"/>
  <c r="AM151" i="20"/>
  <c r="AM572" i="20"/>
  <c r="AL572" i="20"/>
  <c r="AM257" i="20"/>
  <c r="AL257" i="20"/>
  <c r="AL175" i="20"/>
  <c r="AM175" i="20"/>
  <c r="AM169" i="20"/>
  <c r="AL169" i="20"/>
  <c r="AL196" i="20"/>
  <c r="AM196" i="20"/>
  <c r="AM460" i="20"/>
  <c r="AL460" i="20"/>
  <c r="AL388" i="20"/>
  <c r="AM388" i="20"/>
  <c r="AL357" i="20"/>
  <c r="AM357" i="20"/>
  <c r="AL155" i="20"/>
  <c r="AM155" i="20"/>
  <c r="AM290" i="20"/>
  <c r="AL290" i="20"/>
  <c r="AL170" i="20"/>
  <c r="AM170" i="20"/>
  <c r="AM150" i="20"/>
  <c r="AL150" i="20"/>
  <c r="AL529" i="20"/>
  <c r="AM529" i="20"/>
  <c r="AL123" i="20"/>
  <c r="AM123" i="20"/>
  <c r="AL395" i="20"/>
  <c r="AM395" i="20"/>
  <c r="AM442" i="20"/>
  <c r="AL442" i="20"/>
  <c r="AL527" i="20"/>
  <c r="AM527" i="20"/>
  <c r="AM424" i="20"/>
  <c r="AL424" i="20"/>
  <c r="AM574" i="20"/>
  <c r="AL574" i="20"/>
  <c r="AM267" i="20"/>
  <c r="AL267" i="20"/>
  <c r="AM161" i="20"/>
  <c r="AL161" i="20"/>
  <c r="K30" i="23"/>
  <c r="L30" i="23"/>
  <c r="L38" i="23" s="1"/>
  <c r="D4" i="23" s="1"/>
  <c r="BF598" i="20"/>
  <c r="AM598" i="20"/>
  <c r="BF90" i="20"/>
  <c r="AM90" i="20"/>
  <c r="BQ15" i="20"/>
  <c r="BD234" i="20"/>
  <c r="BJ379" i="20"/>
  <c r="F11" i="6"/>
  <c r="BE18" i="20"/>
  <c r="BF18" i="20" s="1"/>
  <c r="BL11" i="20"/>
  <c r="BE7" i="20"/>
  <c r="BJ253" i="20"/>
  <c r="BQ79" i="20"/>
  <c r="BF333" i="20"/>
  <c r="BL566" i="20"/>
  <c r="BK300" i="20"/>
  <c r="BD106" i="20"/>
  <c r="BJ370" i="20"/>
  <c r="BQ423" i="20"/>
  <c r="BJ45" i="20"/>
  <c r="BQ297" i="20"/>
  <c r="BK381" i="20"/>
  <c r="BE213" i="20"/>
  <c r="BF279" i="20"/>
  <c r="BQ188" i="20"/>
  <c r="BH241" i="20"/>
  <c r="BQ184" i="20"/>
  <c r="BD303" i="20"/>
  <c r="BN523" i="20"/>
  <c r="BF230" i="20"/>
  <c r="BE295" i="20"/>
  <c r="BF295" i="20" s="1"/>
  <c r="BD72" i="20"/>
  <c r="BE269" i="20"/>
  <c r="BF269" i="20" s="1"/>
  <c r="BD96" i="20"/>
  <c r="BR603" i="20"/>
  <c r="BH558" i="20"/>
  <c r="BK590" i="20"/>
  <c r="BE277" i="20"/>
  <c r="BF271" i="20"/>
  <c r="BE271" i="20"/>
  <c r="BE30" i="20"/>
  <c r="BJ375" i="20"/>
  <c r="BQ162" i="20"/>
  <c r="BH556" i="20"/>
  <c r="BJ51" i="20"/>
  <c r="BF255" i="20"/>
  <c r="BM493" i="20"/>
  <c r="BE275" i="20"/>
  <c r="BF275" i="20" s="1"/>
  <c r="BE99" i="20"/>
  <c r="BE208" i="20"/>
  <c r="BG92" i="20"/>
  <c r="BR88" i="20"/>
  <c r="BJ347" i="20"/>
  <c r="BK377" i="20"/>
  <c r="BR19" i="20"/>
  <c r="BF137" i="20"/>
  <c r="BE247" i="20"/>
  <c r="BK588" i="20"/>
  <c r="BL52" i="20"/>
  <c r="BQ289" i="20"/>
  <c r="BR161" i="20"/>
  <c r="BO43" i="20"/>
  <c r="BK47" i="20"/>
  <c r="BQ434" i="20"/>
  <c r="BM50" i="20"/>
  <c r="BJ412" i="20"/>
  <c r="BD334" i="20"/>
  <c r="BD310" i="20"/>
  <c r="BQ18" i="20"/>
  <c r="BH554" i="20"/>
  <c r="BE209" i="20"/>
  <c r="BR152" i="20"/>
  <c r="BQ447" i="20"/>
  <c r="BR542" i="20"/>
  <c r="BF565" i="20"/>
  <c r="BR442" i="20"/>
  <c r="BE185" i="20"/>
  <c r="BF185" i="20" s="1"/>
  <c r="BH609" i="20"/>
  <c r="BG219" i="20"/>
  <c r="BQ450" i="20"/>
  <c r="BO35" i="20"/>
  <c r="BQ294" i="20"/>
  <c r="BR397" i="20"/>
  <c r="BE363" i="20"/>
  <c r="BF363" i="20" s="1"/>
  <c r="BR290" i="20"/>
  <c r="BD562" i="20"/>
  <c r="BE100" i="20"/>
  <c r="BD575" i="20"/>
  <c r="BH217" i="20"/>
  <c r="BR170" i="20"/>
  <c r="BL407" i="20"/>
  <c r="BF327" i="20"/>
  <c r="BE395" i="20"/>
  <c r="BF395" i="20"/>
  <c r="BR157" i="20"/>
  <c r="BG301" i="20"/>
  <c r="BO37" i="20"/>
  <c r="BR133" i="20"/>
  <c r="BE564" i="20"/>
  <c r="BL593" i="20"/>
  <c r="BR66" i="20"/>
  <c r="BG577" i="20"/>
  <c r="BD329" i="20"/>
  <c r="BR551" i="20"/>
  <c r="BF614" i="20"/>
  <c r="BO41" i="20"/>
  <c r="BR355" i="20"/>
  <c r="BQ363" i="20"/>
  <c r="BQ81" i="20"/>
  <c r="AL89" i="20"/>
  <c r="BQ89" i="20"/>
  <c r="BF299" i="20"/>
  <c r="BK570" i="20"/>
  <c r="BK537" i="20"/>
  <c r="BR595" i="20"/>
  <c r="BR459" i="20"/>
  <c r="BH140" i="20"/>
  <c r="BQ602" i="20"/>
  <c r="AL602" i="20"/>
  <c r="BE104" i="20"/>
  <c r="BQ454" i="20"/>
  <c r="BL345" i="20"/>
  <c r="BK403" i="20"/>
  <c r="BI555" i="20"/>
  <c r="BQ71" i="20"/>
  <c r="BQ168" i="20"/>
  <c r="BD298" i="20"/>
  <c r="BF8" i="20"/>
  <c r="BN428" i="20"/>
  <c r="BG237" i="20"/>
  <c r="BN478" i="20"/>
  <c r="BG535" i="20"/>
  <c r="BQ473" i="20"/>
  <c r="BE308" i="20"/>
  <c r="BQ178" i="20"/>
  <c r="BR173" i="20"/>
  <c r="BF87" i="20"/>
  <c r="BR189" i="20"/>
  <c r="BE207" i="20"/>
  <c r="BR86" i="20"/>
  <c r="BR384" i="20"/>
  <c r="BF62" i="20"/>
  <c r="BQ270" i="20"/>
  <c r="BE168" i="20"/>
  <c r="BF168" i="20" s="1"/>
  <c r="BE359" i="20"/>
  <c r="BF359" i="20" s="1"/>
  <c r="BD91" i="20"/>
  <c r="BR553" i="20"/>
  <c r="BQ76" i="20"/>
  <c r="BL366" i="20"/>
  <c r="BG608" i="20"/>
  <c r="BR179" i="20"/>
  <c r="BQ146" i="20"/>
  <c r="BE215" i="20"/>
  <c r="BR416" i="20"/>
  <c r="BN488" i="20"/>
  <c r="BK13" i="20"/>
  <c r="BR530" i="20"/>
  <c r="BF28" i="20"/>
  <c r="BQ604" i="20"/>
  <c r="AL604" i="20"/>
  <c r="BN500" i="20"/>
  <c r="BG612" i="20"/>
  <c r="BE189" i="20"/>
  <c r="BF189" i="20" s="1"/>
  <c r="BF95" i="20"/>
  <c r="BF244" i="20"/>
  <c r="BH342" i="20"/>
  <c r="BQ258" i="20"/>
  <c r="BE108" i="20"/>
  <c r="BE398" i="20"/>
  <c r="BF398" i="20" s="1"/>
  <c r="BN502" i="20"/>
  <c r="BR155" i="20"/>
  <c r="BQ148" i="20"/>
  <c r="BN373" i="20"/>
  <c r="BE225" i="20"/>
  <c r="BR70" i="20"/>
  <c r="BQ171" i="20"/>
  <c r="BF150" i="20"/>
  <c r="BE150" i="20"/>
  <c r="BM409" i="20"/>
  <c r="BE365" i="20"/>
  <c r="BF365" i="20" s="1"/>
  <c r="BO499" i="20"/>
  <c r="BE336" i="20"/>
  <c r="BD243" i="20"/>
  <c r="X5" i="20"/>
  <c r="BE5" i="20"/>
  <c r="BL46" i="20"/>
  <c r="BG224" i="20"/>
  <c r="BR433" i="20"/>
  <c r="BD330" i="20"/>
  <c r="BD326" i="20"/>
  <c r="BF210" i="20"/>
  <c r="BJ44" i="20"/>
  <c r="BM549" i="20"/>
  <c r="BF80" i="20"/>
  <c r="BR142" i="20"/>
  <c r="BF229" i="20"/>
  <c r="BR172" i="20"/>
  <c r="BO482" i="20"/>
  <c r="BN40" i="20"/>
  <c r="BF121" i="20"/>
  <c r="BE121" i="20"/>
  <c r="BO429" i="20"/>
  <c r="BH238" i="20"/>
  <c r="BE594" i="20"/>
  <c r="BR531" i="20"/>
  <c r="BQ83" i="20"/>
  <c r="BE361" i="20"/>
  <c r="BF361" i="20" s="1"/>
  <c r="BL568" i="20"/>
  <c r="BF135" i="20"/>
  <c r="AM603" i="20"/>
  <c r="BE603" i="20"/>
  <c r="BM475" i="20"/>
  <c r="BG511" i="20"/>
  <c r="BR295" i="20"/>
  <c r="BR165" i="20"/>
  <c r="BF218" i="20"/>
  <c r="BL540" i="20"/>
  <c r="BQ131" i="20"/>
  <c r="BG222" i="20"/>
  <c r="BR354" i="20"/>
  <c r="BQ69" i="20"/>
  <c r="BF516" i="20"/>
  <c r="BL406" i="20"/>
  <c r="BN503" i="20"/>
  <c r="BE304" i="20"/>
  <c r="BR574" i="20"/>
  <c r="BL252" i="20"/>
  <c r="BF561" i="20"/>
  <c r="BR163" i="20"/>
  <c r="BE123" i="20"/>
  <c r="BF123" i="20" s="1"/>
  <c r="BQ596" i="20"/>
  <c r="AL596" i="20"/>
  <c r="BN494" i="20"/>
  <c r="BN48" i="20"/>
  <c r="BI514" i="20"/>
  <c r="BQ543" i="20"/>
  <c r="BF331" i="20"/>
  <c r="BL495" i="20"/>
  <c r="BQ359" i="20"/>
  <c r="BK368" i="20"/>
  <c r="BF307" i="20"/>
  <c r="BM484" i="20"/>
  <c r="BE211" i="20"/>
  <c r="BE127" i="20"/>
  <c r="BF127" i="20" s="1"/>
  <c r="BD607" i="20"/>
  <c r="BF311" i="20"/>
  <c r="BF60" i="20"/>
  <c r="BE286" i="20"/>
  <c r="BF286" i="20" s="1"/>
  <c r="BE393" i="20"/>
  <c r="BF61" i="20"/>
  <c r="BI223" i="20"/>
  <c r="BG73" i="20"/>
  <c r="BE595" i="20"/>
  <c r="BE6" i="20"/>
  <c r="BQ160" i="20"/>
  <c r="BF284" i="20"/>
  <c r="BL378" i="20"/>
  <c r="BD309" i="20"/>
  <c r="BE242" i="20"/>
  <c r="BR352" i="20"/>
  <c r="BL401" i="20"/>
  <c r="BG75" i="20"/>
  <c r="BD216" i="20"/>
  <c r="BQ398" i="20"/>
  <c r="BQ260" i="20"/>
  <c r="BF231" i="20"/>
  <c r="BE302" i="20"/>
  <c r="BQ119" i="20"/>
  <c r="BG240" i="20"/>
  <c r="BH220" i="20"/>
  <c r="BF290" i="20"/>
  <c r="BE290" i="20"/>
  <c r="BO522" i="20"/>
  <c r="BK348" i="20"/>
  <c r="BH581" i="20"/>
  <c r="BM492" i="20"/>
  <c r="BG512" i="20"/>
  <c r="BF306" i="20"/>
  <c r="BQ420" i="20"/>
  <c r="BG239" i="20"/>
  <c r="BF169" i="20"/>
  <c r="BE169" i="20"/>
  <c r="BQ85" i="20"/>
  <c r="BM496" i="20"/>
  <c r="BE228" i="20"/>
  <c r="BD532" i="20"/>
  <c r="BR151" i="20"/>
  <c r="BR273" i="20"/>
  <c r="BR20" i="20"/>
  <c r="BK410" i="20"/>
  <c r="BF411" i="20"/>
  <c r="BG337" i="20"/>
  <c r="BN36" i="20"/>
  <c r="BK349" i="20"/>
  <c r="BD101" i="20"/>
  <c r="BQ149" i="20"/>
  <c r="BO38" i="20"/>
  <c r="BG611" i="20"/>
  <c r="BR356" i="20"/>
  <c r="BE88" i="20"/>
  <c r="BM402" i="20"/>
  <c r="BG580" i="20"/>
  <c r="BL408" i="20"/>
  <c r="BF74" i="20"/>
  <c r="BD246" i="20"/>
  <c r="BR448" i="20"/>
  <c r="BQ77" i="20"/>
  <c r="BR597" i="20"/>
  <c r="BD33" i="20"/>
  <c r="BE576" i="20"/>
  <c r="BR269" i="20"/>
  <c r="BR357" i="20"/>
  <c r="BK548" i="20"/>
  <c r="BQ22" i="20"/>
  <c r="BR159" i="20"/>
  <c r="BF360" i="20"/>
  <c r="BL399" i="20"/>
  <c r="BE170" i="20"/>
  <c r="BF170" i="20" s="1"/>
  <c r="BR573" i="20"/>
  <c r="BE165" i="20"/>
  <c r="BF165" i="20"/>
  <c r="BR601" i="20"/>
  <c r="BR529" i="20"/>
  <c r="BE236" i="20"/>
  <c r="BD600" i="20"/>
  <c r="BR64" i="20"/>
  <c r="BH226" i="20"/>
  <c r="BG328" i="20"/>
  <c r="BF136" i="20"/>
  <c r="BL589" i="20"/>
  <c r="BD97" i="20"/>
  <c r="BD89" i="20"/>
  <c r="BR265" i="20"/>
  <c r="BQ365" i="20"/>
  <c r="BF534" i="20"/>
  <c r="BO525" i="20"/>
  <c r="BE154" i="20"/>
  <c r="BF154" i="20"/>
  <c r="BR418" i="20"/>
  <c r="BE245" i="20"/>
  <c r="BN481" i="20"/>
  <c r="BQ67" i="20"/>
  <c r="BR129" i="20"/>
  <c r="BR145" i="20"/>
  <c r="BD139" i="20"/>
  <c r="BN505" i="20"/>
  <c r="BF404" i="20"/>
  <c r="BJ380" i="20"/>
  <c r="BF606" i="20"/>
  <c r="BE138" i="20"/>
  <c r="BD93" i="20"/>
  <c r="BQ268" i="20"/>
  <c r="BR17" i="20"/>
  <c r="BK382" i="20"/>
  <c r="BK550" i="20"/>
  <c r="BQ143" i="20"/>
  <c r="BL369" i="20"/>
  <c r="BR287" i="20"/>
  <c r="BD103" i="20"/>
  <c r="BQ413" i="20"/>
  <c r="BQ594" i="20"/>
  <c r="AL594" i="20"/>
  <c r="BQ441" i="20"/>
  <c r="BD235" i="20"/>
  <c r="BQ262" i="20"/>
  <c r="BE338" i="20"/>
  <c r="BN483" i="20"/>
  <c r="BD107" i="20"/>
  <c r="BF102" i="20"/>
  <c r="BM346" i="20"/>
  <c r="BE605" i="20"/>
  <c r="AM605" i="20"/>
  <c r="BD34" i="20"/>
  <c r="BQ144" i="20"/>
  <c r="BD94" i="20"/>
  <c r="BG232" i="20"/>
  <c r="BG205" i="20"/>
  <c r="BR271" i="20"/>
  <c r="BR440" i="20"/>
  <c r="BL591" i="20"/>
  <c r="BQ467" i="20"/>
  <c r="BK12" i="20"/>
  <c r="BF396" i="20"/>
  <c r="BE396" i="20"/>
  <c r="BF29" i="20"/>
  <c r="BR431" i="20"/>
  <c r="BM592" i="20"/>
  <c r="BQ65" i="20"/>
  <c r="BD134" i="20"/>
  <c r="BE296" i="20"/>
  <c r="BE288" i="20"/>
  <c r="BL538" i="20"/>
  <c r="BF332" i="20"/>
  <c r="BG221" i="20"/>
  <c r="BQ182" i="20"/>
  <c r="BK569" i="20"/>
  <c r="BR389" i="20"/>
  <c r="BN487" i="20"/>
  <c r="BQ153" i="20"/>
  <c r="BR360" i="20"/>
  <c r="BE98" i="20"/>
  <c r="BQ180" i="20"/>
  <c r="BD599" i="20"/>
  <c r="BE25" i="20"/>
  <c r="BK376" i="20"/>
  <c r="BE26" i="20"/>
  <c r="BF179" i="20"/>
  <c r="BE131" i="20"/>
  <c r="BF131" i="20" s="1"/>
  <c r="BE105" i="20"/>
  <c r="BL367" i="20"/>
  <c r="BR158" i="20"/>
  <c r="BR470" i="20"/>
  <c r="BP427" i="20"/>
  <c r="BR130" i="20"/>
  <c r="BE153" i="20"/>
  <c r="BF153" i="20"/>
  <c r="BJ343" i="20"/>
  <c r="BR128" i="20"/>
  <c r="BR572" i="20"/>
  <c r="BD250" i="20"/>
  <c r="BD32" i="20"/>
  <c r="BQ361" i="20"/>
  <c r="BD212" i="20"/>
  <c r="BK371" i="20"/>
  <c r="BO39" i="20"/>
  <c r="BD278" i="20"/>
  <c r="BF190" i="20"/>
  <c r="BE31" i="20"/>
  <c r="BF280" i="20"/>
  <c r="BQ14" i="20"/>
  <c r="BG339" i="20"/>
  <c r="BM476" i="20"/>
  <c r="BR461" i="20"/>
  <c r="BE394" i="20"/>
  <c r="BF394" i="20" s="1"/>
  <c r="BE9" i="20"/>
  <c r="BM501" i="20"/>
  <c r="BR267" i="20"/>
  <c r="BM474" i="20"/>
  <c r="BR463" i="20"/>
  <c r="BE152" i="20"/>
  <c r="BF152" i="20"/>
  <c r="BQ455" i="20"/>
  <c r="BN480" i="20"/>
  <c r="BQ469" i="20"/>
  <c r="BR388" i="20"/>
  <c r="BO430" i="20"/>
  <c r="BR351" i="20"/>
  <c r="BQ457" i="20"/>
  <c r="BQ174" i="20"/>
  <c r="BD601" i="20"/>
  <c r="BK400" i="20"/>
  <c r="BQ16" i="20"/>
  <c r="BF126" i="20"/>
  <c r="BE126" i="20"/>
  <c r="BI557" i="20"/>
  <c r="BE358" i="20"/>
  <c r="BF358" i="20" s="1"/>
  <c r="BN497" i="20"/>
  <c r="BE293" i="20"/>
  <c r="BF82" i="20"/>
  <c r="BD335" i="20"/>
  <c r="BQ154" i="20"/>
  <c r="BR528" i="20"/>
  <c r="BL567" i="20"/>
  <c r="BQ181" i="20"/>
  <c r="BJ374" i="20"/>
  <c r="BR21" i="20"/>
  <c r="BR462" i="20"/>
  <c r="BE19" i="20"/>
  <c r="BR364" i="20"/>
  <c r="BF325" i="20"/>
  <c r="BR259" i="20"/>
  <c r="BQ266" i="20"/>
  <c r="BQ183" i="20"/>
  <c r="BR458" i="20"/>
  <c r="D11" i="9"/>
  <c r="BQ449" i="20"/>
  <c r="BQ396" i="20"/>
  <c r="BF27" i="20"/>
  <c r="BK539" i="20"/>
  <c r="BD533" i="20"/>
  <c r="BQ176" i="20"/>
  <c r="BR186" i="20"/>
  <c r="BR350" i="20"/>
  <c r="BF84" i="20"/>
  <c r="BR68" i="20"/>
  <c r="BE109" i="20"/>
  <c r="BR121" i="20"/>
  <c r="BP425" i="20"/>
  <c r="BR362" i="20"/>
  <c r="BQ63" i="20"/>
  <c r="BM477" i="20"/>
  <c r="BL405" i="20"/>
  <c r="BD305" i="20"/>
  <c r="BK541" i="20"/>
  <c r="BR468" i="20"/>
  <c r="BQ276" i="20"/>
  <c r="BF517" i="20"/>
  <c r="BF256" i="20"/>
  <c r="BE602" i="20"/>
  <c r="AM602" i="20"/>
  <c r="BH563" i="20"/>
  <c r="BE319" i="20"/>
  <c r="BR527" i="20"/>
  <c r="BR424" i="20"/>
  <c r="BR600" i="20"/>
  <c r="BE214" i="20"/>
  <c r="BR263" i="20"/>
  <c r="BO42" i="20"/>
  <c r="BQ264" i="20"/>
  <c r="BM490" i="20"/>
  <c r="BR175" i="20"/>
  <c r="BF133" i="20"/>
  <c r="BE133" i="20"/>
  <c r="BR275" i="20"/>
  <c r="BO489" i="20"/>
  <c r="BQ453" i="20"/>
  <c r="BE578" i="20"/>
  <c r="BF318" i="20"/>
  <c r="BR169" i="20"/>
  <c r="BR394" i="20"/>
  <c r="BO524" i="20"/>
  <c r="BO521" i="20"/>
  <c r="BR123" i="20"/>
  <c r="BQ274" i="20"/>
  <c r="BD233" i="20"/>
  <c r="BF254" i="20"/>
  <c r="BF227" i="20"/>
  <c r="BR544" i="20"/>
  <c r="BR353" i="20"/>
  <c r="BE23" i="20"/>
  <c r="BQ465" i="20"/>
  <c r="BR460" i="20"/>
  <c r="BK49" i="20"/>
  <c r="BD340" i="20"/>
  <c r="BR156" i="20"/>
  <c r="BF341" i="20"/>
  <c r="BF520" i="20"/>
  <c r="BR150" i="20"/>
  <c r="BG610" i="20"/>
  <c r="BR571" i="20"/>
  <c r="BQ272" i="20"/>
  <c r="BN526" i="20"/>
  <c r="BM479" i="20"/>
  <c r="BD579" i="20"/>
  <c r="BR437" i="20"/>
  <c r="BR177" i="20"/>
  <c r="BJ344" i="20"/>
  <c r="BD10" i="20"/>
  <c r="BF24" i="20"/>
  <c r="BQ127" i="20"/>
  <c r="BJ536" i="20"/>
  <c r="BQ552" i="20"/>
  <c r="BF519" i="20"/>
  <c r="BQ445" i="20"/>
  <c r="BQ421" i="20"/>
  <c r="BM504" i="20"/>
  <c r="BI515" i="20"/>
  <c r="BE249" i="20"/>
  <c r="BF464" i="20"/>
  <c r="BD206" i="20"/>
  <c r="BM498" i="20"/>
  <c r="BF613" i="20"/>
  <c r="BM486" i="20"/>
  <c r="BF129" i="20"/>
  <c r="BE129" i="20"/>
  <c r="BR395" i="20"/>
  <c r="BE287" i="20"/>
  <c r="BF287" i="20" s="1"/>
  <c r="BO426" i="20"/>
  <c r="BG513" i="20"/>
  <c r="BM491" i="20"/>
  <c r="BQ451" i="20"/>
  <c r="BI518" i="20"/>
  <c r="BR261" i="20"/>
  <c r="BK372" i="20"/>
  <c r="BD292" i="20"/>
  <c r="BE597" i="20"/>
  <c r="BR257" i="20"/>
  <c r="BR185" i="20"/>
  <c r="BF248" i="20"/>
  <c r="BF164" i="20"/>
  <c r="BE164" i="20"/>
  <c r="BE22" i="20"/>
  <c r="BF22" i="20" s="1"/>
  <c r="BN485" i="20"/>
  <c r="BJ251" i="20"/>
  <c r="BR164" i="20"/>
  <c r="AM552" i="20" l="1"/>
  <c r="AL552" i="20"/>
  <c r="AL176" i="20"/>
  <c r="AM176" i="20"/>
  <c r="AL469" i="20"/>
  <c r="AM469" i="20"/>
  <c r="AL274" i="20"/>
  <c r="AM274" i="20"/>
  <c r="AL63" i="20"/>
  <c r="AM63" i="20"/>
  <c r="AL183" i="20"/>
  <c r="AM183" i="20"/>
  <c r="AM14" i="20"/>
  <c r="AL14" i="20"/>
  <c r="AL182" i="20"/>
  <c r="AM182" i="20"/>
  <c r="AL67" i="20"/>
  <c r="AM67" i="20"/>
  <c r="AM77" i="20"/>
  <c r="AL77" i="20"/>
  <c r="AL119" i="20"/>
  <c r="AM119" i="20"/>
  <c r="AM131" i="20"/>
  <c r="AL131" i="20"/>
  <c r="AL270" i="20"/>
  <c r="AM270" i="20"/>
  <c r="BR434" i="20"/>
  <c r="AM434" i="20"/>
  <c r="AL434" i="20"/>
  <c r="AL289" i="20"/>
  <c r="AM289" i="20"/>
  <c r="AL423" i="20"/>
  <c r="AM423" i="20"/>
  <c r="AM15" i="20"/>
  <c r="AL15" i="20"/>
  <c r="AL65" i="20"/>
  <c r="AM65" i="20"/>
  <c r="AM258" i="20"/>
  <c r="AL258" i="20"/>
  <c r="AM144" i="20"/>
  <c r="AL144" i="20"/>
  <c r="AM441" i="20"/>
  <c r="AL441" i="20"/>
  <c r="AL18" i="20"/>
  <c r="AM18" i="20"/>
  <c r="AL83" i="20"/>
  <c r="AM83" i="20"/>
  <c r="AM146" i="20"/>
  <c r="AL146" i="20"/>
  <c r="AM453" i="20"/>
  <c r="AL453" i="20"/>
  <c r="AM396" i="20"/>
  <c r="AL396" i="20"/>
  <c r="AL266" i="20"/>
  <c r="AM266" i="20"/>
  <c r="AM153" i="20"/>
  <c r="AL153" i="20"/>
  <c r="AL268" i="20"/>
  <c r="AM268" i="20"/>
  <c r="AM149" i="20"/>
  <c r="AL149" i="20"/>
  <c r="AM76" i="20"/>
  <c r="AL76" i="20"/>
  <c r="AL178" i="20"/>
  <c r="AM178" i="20"/>
  <c r="AL447" i="20"/>
  <c r="AM447" i="20"/>
  <c r="AM184" i="20"/>
  <c r="AL184" i="20"/>
  <c r="AL174" i="20"/>
  <c r="AM174" i="20"/>
  <c r="AL543" i="20"/>
  <c r="AM543" i="20"/>
  <c r="AL79" i="20"/>
  <c r="AM79" i="20"/>
  <c r="AL465" i="20"/>
  <c r="AM465" i="20"/>
  <c r="AL264" i="20"/>
  <c r="AM264" i="20"/>
  <c r="AL449" i="20"/>
  <c r="AM449" i="20"/>
  <c r="AM361" i="20"/>
  <c r="AL361" i="20"/>
  <c r="AM143" i="20"/>
  <c r="AL143" i="20"/>
  <c r="AL365" i="20"/>
  <c r="AM365" i="20"/>
  <c r="AL260" i="20"/>
  <c r="AM260" i="20"/>
  <c r="AL160" i="20"/>
  <c r="AM160" i="20"/>
  <c r="AM148" i="20"/>
  <c r="AL148" i="20"/>
  <c r="AL71" i="20"/>
  <c r="AM71" i="20"/>
  <c r="AM454" i="20"/>
  <c r="AL454" i="20"/>
  <c r="AL294" i="20"/>
  <c r="AM294" i="20"/>
  <c r="AL162" i="20"/>
  <c r="AM162" i="20"/>
  <c r="AL451" i="20"/>
  <c r="AM451" i="20"/>
  <c r="AL69" i="20"/>
  <c r="AM69" i="20"/>
  <c r="AL168" i="20"/>
  <c r="AM168" i="20"/>
  <c r="AL421" i="20"/>
  <c r="AM421" i="20"/>
  <c r="AL272" i="20"/>
  <c r="AM272" i="20"/>
  <c r="AL181" i="20"/>
  <c r="AM181" i="20"/>
  <c r="AM457" i="20"/>
  <c r="AL457" i="20"/>
  <c r="AL180" i="20"/>
  <c r="AM180" i="20"/>
  <c r="AL413" i="20"/>
  <c r="AM413" i="20"/>
  <c r="AL85" i="20"/>
  <c r="AM85" i="20"/>
  <c r="AM359" i="20"/>
  <c r="AL359" i="20"/>
  <c r="AL473" i="20"/>
  <c r="AM473" i="20"/>
  <c r="AL81" i="20"/>
  <c r="AM81" i="20"/>
  <c r="AL297" i="20"/>
  <c r="AM297" i="20"/>
  <c r="AM16" i="20"/>
  <c r="AL16" i="20"/>
  <c r="AM467" i="20"/>
  <c r="AL467" i="20"/>
  <c r="AM262" i="20"/>
  <c r="AL262" i="20"/>
  <c r="AM22" i="20"/>
  <c r="AL22" i="20"/>
  <c r="AM398" i="20"/>
  <c r="AL398" i="20"/>
  <c r="AL171" i="20"/>
  <c r="AM171" i="20"/>
  <c r="AM188" i="20"/>
  <c r="AL188" i="20"/>
  <c r="AM604" i="20"/>
  <c r="AL154" i="20"/>
  <c r="AM154" i="20"/>
  <c r="AM420" i="20"/>
  <c r="AL420" i="20"/>
  <c r="AL276" i="20"/>
  <c r="AM276" i="20"/>
  <c r="AL445" i="20"/>
  <c r="AM445" i="20"/>
  <c r="AL127" i="20"/>
  <c r="AM127" i="20"/>
  <c r="AM455" i="20"/>
  <c r="AL455" i="20"/>
  <c r="AL363" i="20"/>
  <c r="AM363" i="20"/>
  <c r="AM450" i="20"/>
  <c r="AL450" i="20"/>
  <c r="AM596" i="20"/>
  <c r="S30" i="23"/>
  <c r="T30" i="23" s="1"/>
  <c r="T38" i="23" s="1"/>
  <c r="D5" i="23" s="1"/>
  <c r="D7" i="23" s="1"/>
  <c r="V30" i="23"/>
  <c r="W30" i="23" s="1"/>
  <c r="W38" i="23" s="1"/>
  <c r="D8" i="23" s="1"/>
  <c r="BF597" i="20"/>
  <c r="AM597" i="20"/>
  <c r="BF594" i="20"/>
  <c r="AM594" i="20"/>
  <c r="BF595" i="20"/>
  <c r="AM595" i="20"/>
  <c r="F10" i="6"/>
  <c r="BE234" i="20"/>
  <c r="BR15" i="20"/>
  <c r="BK379" i="20"/>
  <c r="F12" i="6"/>
  <c r="E12" i="6"/>
  <c r="BM11" i="20"/>
  <c r="BF603" i="20"/>
  <c r="BK253" i="20"/>
  <c r="BF7" i="20"/>
  <c r="BR289" i="20"/>
  <c r="BF99" i="20"/>
  <c r="BK51" i="20"/>
  <c r="BF30" i="20"/>
  <c r="BI558" i="20"/>
  <c r="BE72" i="20"/>
  <c r="BE303" i="20"/>
  <c r="BR188" i="20"/>
  <c r="BR297" i="20"/>
  <c r="BE106" i="20"/>
  <c r="BR18" i="20"/>
  <c r="BG137" i="20"/>
  <c r="BI556" i="20"/>
  <c r="BG333" i="20"/>
  <c r="BE310" i="20"/>
  <c r="BN50" i="20"/>
  <c r="BM52" i="20"/>
  <c r="BG279" i="20"/>
  <c r="BK45" i="20"/>
  <c r="BL300" i="20"/>
  <c r="BR423" i="20"/>
  <c r="BM566" i="20"/>
  <c r="BR79" i="20"/>
  <c r="BP43" i="20"/>
  <c r="BL588" i="20"/>
  <c r="BH92" i="20"/>
  <c r="BN493" i="20"/>
  <c r="BF277" i="20"/>
  <c r="BR184" i="20"/>
  <c r="BF213" i="20"/>
  <c r="BF209" i="20"/>
  <c r="BE334" i="20"/>
  <c r="BL377" i="20"/>
  <c r="BF208" i="20"/>
  <c r="BG255" i="20"/>
  <c r="BR162" i="20"/>
  <c r="BE96" i="20"/>
  <c r="BG230" i="20"/>
  <c r="BI241" i="20"/>
  <c r="BL381" i="20"/>
  <c r="BF247" i="20"/>
  <c r="BK370" i="20"/>
  <c r="BI554" i="20"/>
  <c r="BK412" i="20"/>
  <c r="BL47" i="20"/>
  <c r="BK347" i="20"/>
  <c r="BK375" i="20"/>
  <c r="BL590" i="20"/>
  <c r="BO523" i="20"/>
  <c r="BF249" i="20"/>
  <c r="BE340" i="20"/>
  <c r="BF214" i="20"/>
  <c r="BG256" i="20"/>
  <c r="BF605" i="20"/>
  <c r="BF138" i="20"/>
  <c r="BG411" i="20"/>
  <c r="BM401" i="20"/>
  <c r="BG210" i="20"/>
  <c r="BO488" i="20"/>
  <c r="BR76" i="20"/>
  <c r="BK344" i="20"/>
  <c r="BO526" i="20"/>
  <c r="BG341" i="20"/>
  <c r="BG254" i="20"/>
  <c r="BF578" i="20"/>
  <c r="BR264" i="20"/>
  <c r="BI563" i="20"/>
  <c r="BG517" i="20"/>
  <c r="BQ425" i="20"/>
  <c r="BG27" i="20"/>
  <c r="BF19" i="20"/>
  <c r="BR181" i="20"/>
  <c r="BO497" i="20"/>
  <c r="BR174" i="20"/>
  <c r="BR14" i="20"/>
  <c r="BR361" i="20"/>
  <c r="BE250" i="20"/>
  <c r="BF26" i="20"/>
  <c r="BR180" i="20"/>
  <c r="BL569" i="20"/>
  <c r="BG332" i="20"/>
  <c r="BE134" i="20"/>
  <c r="BM591" i="20"/>
  <c r="BM369" i="20"/>
  <c r="BE139" i="20"/>
  <c r="BR67" i="20"/>
  <c r="BE97" i="20"/>
  <c r="BH328" i="20"/>
  <c r="BG74" i="20"/>
  <c r="BP38" i="20"/>
  <c r="BN496" i="20"/>
  <c r="BR420" i="20"/>
  <c r="BR398" i="20"/>
  <c r="BM378" i="20"/>
  <c r="BG61" i="20"/>
  <c r="BG60" i="20"/>
  <c r="BR359" i="20"/>
  <c r="BR543" i="20"/>
  <c r="BM406" i="20"/>
  <c r="BG218" i="20"/>
  <c r="BP429" i="20"/>
  <c r="BF5" i="20"/>
  <c r="Y5" i="20"/>
  <c r="BR148" i="20"/>
  <c r="BO502" i="20"/>
  <c r="BE298" i="20"/>
  <c r="BR89" i="20"/>
  <c r="BE329" i="20"/>
  <c r="BP37" i="20"/>
  <c r="BP35" i="20"/>
  <c r="BN491" i="20"/>
  <c r="BN498" i="20"/>
  <c r="BK536" i="20"/>
  <c r="BK374" i="20"/>
  <c r="BF293" i="20"/>
  <c r="BE94" i="20"/>
  <c r="BR594" i="20"/>
  <c r="BL382" i="20"/>
  <c r="BR365" i="20"/>
  <c r="BE33" i="20"/>
  <c r="BF6" i="20"/>
  <c r="Y6" i="20"/>
  <c r="BF211" i="20"/>
  <c r="BJ514" i="20"/>
  <c r="BL570" i="20"/>
  <c r="BP41" i="20"/>
  <c r="BM593" i="20"/>
  <c r="BE575" i="20"/>
  <c r="BR294" i="20"/>
  <c r="BI609" i="20"/>
  <c r="BO485" i="20"/>
  <c r="BL372" i="20"/>
  <c r="BJ518" i="20"/>
  <c r="BH513" i="20"/>
  <c r="BJ515" i="20"/>
  <c r="BG519" i="20"/>
  <c r="BH610" i="20"/>
  <c r="BL49" i="20"/>
  <c r="BN477" i="20"/>
  <c r="BR176" i="20"/>
  <c r="BR154" i="20"/>
  <c r="BE278" i="20"/>
  <c r="BM538" i="20"/>
  <c r="BR65" i="20"/>
  <c r="BG29" i="20"/>
  <c r="BH205" i="20"/>
  <c r="BN346" i="20"/>
  <c r="BO483" i="20"/>
  <c r="BR262" i="20"/>
  <c r="BR413" i="20"/>
  <c r="BI226" i="20"/>
  <c r="BF236" i="20"/>
  <c r="BR22" i="20"/>
  <c r="BM408" i="20"/>
  <c r="BF88" i="20"/>
  <c r="BR85" i="20"/>
  <c r="BN492" i="20"/>
  <c r="BR119" i="20"/>
  <c r="BG311" i="20"/>
  <c r="BN484" i="20"/>
  <c r="BO48" i="20"/>
  <c r="BH222" i="20"/>
  <c r="BH511" i="20"/>
  <c r="BG135" i="20"/>
  <c r="BE326" i="20"/>
  <c r="BH224" i="20"/>
  <c r="BN409" i="20"/>
  <c r="BI342" i="20"/>
  <c r="BG62" i="20"/>
  <c r="BF207" i="20"/>
  <c r="BH535" i="20"/>
  <c r="BF104" i="20"/>
  <c r="BG299" i="20"/>
  <c r="BR81" i="20"/>
  <c r="BG614" i="20"/>
  <c r="BR445" i="20"/>
  <c r="BF23" i="20"/>
  <c r="BE601" i="20"/>
  <c r="AM601" i="20"/>
  <c r="BP430" i="20"/>
  <c r="BR455" i="20"/>
  <c r="BK343" i="20"/>
  <c r="BF105" i="20"/>
  <c r="BF338" i="20"/>
  <c r="BE600" i="20"/>
  <c r="BP522" i="20"/>
  <c r="BG28" i="20"/>
  <c r="BE91" i="20"/>
  <c r="BR270" i="20"/>
  <c r="BJ555" i="20"/>
  <c r="BE206" i="20"/>
  <c r="BR127" i="20"/>
  <c r="E9" i="6"/>
  <c r="BE579" i="20"/>
  <c r="BR272" i="20"/>
  <c r="BE233" i="20"/>
  <c r="BR453" i="20"/>
  <c r="BP42" i="20"/>
  <c r="BR276" i="20"/>
  <c r="BL541" i="20"/>
  <c r="BG325" i="20"/>
  <c r="BR16" i="20"/>
  <c r="BR457" i="20"/>
  <c r="BG280" i="20"/>
  <c r="BP39" i="20"/>
  <c r="BL376" i="20"/>
  <c r="BR182" i="20"/>
  <c r="BR144" i="20"/>
  <c r="BO481" i="20"/>
  <c r="BM589" i="20"/>
  <c r="BM399" i="20"/>
  <c r="BR149" i="20"/>
  <c r="BO36" i="20"/>
  <c r="BL410" i="20"/>
  <c r="BG306" i="20"/>
  <c r="BI581" i="20"/>
  <c r="BE216" i="20"/>
  <c r="BG284" i="20"/>
  <c r="BH73" i="20"/>
  <c r="BG516" i="20"/>
  <c r="BM568" i="20"/>
  <c r="BG229" i="20"/>
  <c r="BN549" i="20"/>
  <c r="BE243" i="20"/>
  <c r="BF225" i="20"/>
  <c r="BG244" i="20"/>
  <c r="BH612" i="20"/>
  <c r="BH608" i="20"/>
  <c r="BR178" i="20"/>
  <c r="BH237" i="20"/>
  <c r="BR602" i="20"/>
  <c r="BF100" i="20"/>
  <c r="BR450" i="20"/>
  <c r="BO478" i="20"/>
  <c r="BR168" i="20"/>
  <c r="BL403" i="20"/>
  <c r="BR363" i="20"/>
  <c r="BF564" i="20"/>
  <c r="BR447" i="20"/>
  <c r="BN504" i="20"/>
  <c r="BE533" i="20"/>
  <c r="BM567" i="20"/>
  <c r="BN592" i="20"/>
  <c r="BE103" i="20"/>
  <c r="BE532" i="20"/>
  <c r="BG464" i="20"/>
  <c r="BR274" i="20"/>
  <c r="BP489" i="20"/>
  <c r="BF602" i="20"/>
  <c r="BE305" i="20"/>
  <c r="BR183" i="20"/>
  <c r="BL400" i="20"/>
  <c r="BN476" i="20"/>
  <c r="BF31" i="20"/>
  <c r="BL371" i="20"/>
  <c r="BF25" i="20"/>
  <c r="BO487" i="20"/>
  <c r="BH221" i="20"/>
  <c r="BL12" i="20"/>
  <c r="BL550" i="20"/>
  <c r="BG404" i="20"/>
  <c r="BF245" i="20"/>
  <c r="BG136" i="20"/>
  <c r="BR77" i="20"/>
  <c r="BH580" i="20"/>
  <c r="BH611" i="20"/>
  <c r="BE101" i="20"/>
  <c r="BG231" i="20"/>
  <c r="BH75" i="20"/>
  <c r="BF242" i="20"/>
  <c r="BR160" i="20"/>
  <c r="BF393" i="20"/>
  <c r="BM495" i="20"/>
  <c r="BO494" i="20"/>
  <c r="BF304" i="20"/>
  <c r="BR69" i="20"/>
  <c r="BN475" i="20"/>
  <c r="BF336" i="20"/>
  <c r="BO373" i="20"/>
  <c r="BL13" i="20"/>
  <c r="BF215" i="20"/>
  <c r="BF308" i="20"/>
  <c r="BO428" i="20"/>
  <c r="BR71" i="20"/>
  <c r="BH577" i="20"/>
  <c r="BH301" i="20"/>
  <c r="BG327" i="20"/>
  <c r="BE562" i="20"/>
  <c r="BP521" i="20"/>
  <c r="BE335" i="20"/>
  <c r="BR469" i="20"/>
  <c r="BN501" i="20"/>
  <c r="BR153" i="20"/>
  <c r="BH232" i="20"/>
  <c r="BR143" i="20"/>
  <c r="BI220" i="20"/>
  <c r="BG307" i="20"/>
  <c r="BG561" i="20"/>
  <c r="BE292" i="20"/>
  <c r="BR451" i="20"/>
  <c r="BG613" i="20"/>
  <c r="BR421" i="20"/>
  <c r="BG24" i="20"/>
  <c r="BN479" i="20"/>
  <c r="BR465" i="20"/>
  <c r="BP524" i="20"/>
  <c r="BF109" i="20"/>
  <c r="BL539" i="20"/>
  <c r="BR449" i="20"/>
  <c r="F24" i="6"/>
  <c r="BJ557" i="20"/>
  <c r="BO480" i="20"/>
  <c r="BF9" i="20"/>
  <c r="BE32" i="20"/>
  <c r="BQ427" i="20"/>
  <c r="BM367" i="20"/>
  <c r="BE34" i="20"/>
  <c r="BE107" i="20"/>
  <c r="BR441" i="20"/>
  <c r="BE93" i="20"/>
  <c r="BL548" i="20"/>
  <c r="BE246" i="20"/>
  <c r="BL349" i="20"/>
  <c r="BH337" i="20"/>
  <c r="BF228" i="20"/>
  <c r="BH239" i="20"/>
  <c r="BH512" i="20"/>
  <c r="BL348" i="20"/>
  <c r="BR596" i="20"/>
  <c r="BI238" i="20"/>
  <c r="BP482" i="20"/>
  <c r="BK44" i="20"/>
  <c r="BP499" i="20"/>
  <c r="BR171" i="20"/>
  <c r="BF108" i="20"/>
  <c r="BG95" i="20"/>
  <c r="BR604" i="20"/>
  <c r="BM366" i="20"/>
  <c r="BM345" i="20"/>
  <c r="BI140" i="20"/>
  <c r="BL537" i="20"/>
  <c r="BI217" i="20"/>
  <c r="BH219" i="20"/>
  <c r="BN486" i="20"/>
  <c r="BR552" i="20"/>
  <c r="BR63" i="20"/>
  <c r="BR396" i="20"/>
  <c r="BF98" i="20"/>
  <c r="BF288" i="20"/>
  <c r="BG102" i="20"/>
  <c r="BE235" i="20"/>
  <c r="BR268" i="20"/>
  <c r="BK380" i="20"/>
  <c r="BP525" i="20"/>
  <c r="BF302" i="20"/>
  <c r="BE607" i="20"/>
  <c r="AM607" i="20"/>
  <c r="BR131" i="20"/>
  <c r="BO40" i="20"/>
  <c r="BE330" i="20"/>
  <c r="BM46" i="20"/>
  <c r="BO500" i="20"/>
  <c r="BK251" i="20"/>
  <c r="BG248" i="20"/>
  <c r="BP426" i="20"/>
  <c r="BE10" i="20"/>
  <c r="BG520" i="20"/>
  <c r="BG227" i="20"/>
  <c r="BG318" i="20"/>
  <c r="BN490" i="20"/>
  <c r="BF319" i="20"/>
  <c r="BM405" i="20"/>
  <c r="BR266" i="20"/>
  <c r="BN474" i="20"/>
  <c r="BH339" i="20"/>
  <c r="BE212" i="20"/>
  <c r="BE599" i="20"/>
  <c r="AM599" i="20"/>
  <c r="BF296" i="20"/>
  <c r="BR467" i="20"/>
  <c r="BO505" i="20"/>
  <c r="BG534" i="20"/>
  <c r="BE89" i="20"/>
  <c r="BF576" i="20"/>
  <c r="BN402" i="20"/>
  <c r="BH240" i="20"/>
  <c r="BR260" i="20"/>
  <c r="BE309" i="20"/>
  <c r="BJ223" i="20"/>
  <c r="BL368" i="20"/>
  <c r="BG331" i="20"/>
  <c r="BM252" i="20"/>
  <c r="BO503" i="20"/>
  <c r="BM540" i="20"/>
  <c r="BR83" i="20"/>
  <c r="BR258" i="20"/>
  <c r="BR146" i="20"/>
  <c r="BR473" i="20"/>
  <c r="BG8" i="20"/>
  <c r="BR454" i="20"/>
  <c r="BM407" i="20"/>
  <c r="BG565" i="20"/>
  <c r="AL427" i="20" l="1"/>
  <c r="AM427" i="20"/>
  <c r="AL425" i="20"/>
  <c r="AM425" i="20"/>
  <c r="BF600" i="20"/>
  <c r="AM600" i="20"/>
  <c r="BF89" i="20"/>
  <c r="AM89" i="20"/>
  <c r="BF91" i="20"/>
  <c r="AM91" i="20"/>
  <c r="BF601" i="20"/>
  <c r="BF234" i="20"/>
  <c r="BL379" i="20"/>
  <c r="BN11" i="20"/>
  <c r="BG7" i="20"/>
  <c r="BL253" i="20"/>
  <c r="E24" i="6"/>
  <c r="BP523" i="20"/>
  <c r="BH255" i="20"/>
  <c r="BO493" i="20"/>
  <c r="BL45" i="20"/>
  <c r="BG30" i="20"/>
  <c r="BF607" i="20"/>
  <c r="BM590" i="20"/>
  <c r="BL412" i="20"/>
  <c r="BL370" i="20"/>
  <c r="BH230" i="20"/>
  <c r="BG213" i="20"/>
  <c r="BF310" i="20"/>
  <c r="BG208" i="20"/>
  <c r="BI92" i="20"/>
  <c r="BN566" i="20"/>
  <c r="BH279" i="20"/>
  <c r="BH333" i="20"/>
  <c r="BL51" i="20"/>
  <c r="BJ554" i="20"/>
  <c r="BG247" i="20"/>
  <c r="BM588" i="20"/>
  <c r="BF106" i="20"/>
  <c r="BF303" i="20"/>
  <c r="BL375" i="20"/>
  <c r="BF96" i="20"/>
  <c r="BM377" i="20"/>
  <c r="BF72" i="20"/>
  <c r="BF334" i="20"/>
  <c r="BG277" i="20"/>
  <c r="BQ43" i="20"/>
  <c r="BN52" i="20"/>
  <c r="BJ556" i="20"/>
  <c r="BG99" i="20"/>
  <c r="BL347" i="20"/>
  <c r="BM381" i="20"/>
  <c r="BO50" i="20"/>
  <c r="BJ558" i="20"/>
  <c r="BM47" i="20"/>
  <c r="BJ241" i="20"/>
  <c r="BG209" i="20"/>
  <c r="BM300" i="20"/>
  <c r="BH137" i="20"/>
  <c r="BH318" i="20"/>
  <c r="BF10" i="20"/>
  <c r="BN46" i="20"/>
  <c r="BM537" i="20"/>
  <c r="BH613" i="20"/>
  <c r="BH307" i="20"/>
  <c r="BI232" i="20"/>
  <c r="BF562" i="20"/>
  <c r="BG308" i="20"/>
  <c r="BG336" i="20"/>
  <c r="BH231" i="20"/>
  <c r="BM550" i="20"/>
  <c r="BG31" i="20"/>
  <c r="BI237" i="20"/>
  <c r="BI612" i="20"/>
  <c r="BF243" i="20"/>
  <c r="BH284" i="20"/>
  <c r="BH306" i="20"/>
  <c r="BM376" i="20"/>
  <c r="BH28" i="20"/>
  <c r="BG105" i="20"/>
  <c r="BH614" i="20"/>
  <c r="BH62" i="20"/>
  <c r="BF326" i="20"/>
  <c r="BG236" i="20"/>
  <c r="BF278" i="20"/>
  <c r="BM49" i="20"/>
  <c r="BM372" i="20"/>
  <c r="BF329" i="20"/>
  <c r="BN406" i="20"/>
  <c r="BO496" i="20"/>
  <c r="BM569" i="20"/>
  <c r="BF250" i="20"/>
  <c r="BP526" i="20"/>
  <c r="BG138" i="20"/>
  <c r="BN407" i="20"/>
  <c r="BF309" i="20"/>
  <c r="BI339" i="20"/>
  <c r="BL251" i="20"/>
  <c r="AL525" i="20"/>
  <c r="BQ525" i="20"/>
  <c r="BH102" i="20"/>
  <c r="BH95" i="20"/>
  <c r="BI239" i="20"/>
  <c r="BM349" i="20"/>
  <c r="BF32" i="20"/>
  <c r="BF292" i="20"/>
  <c r="BG215" i="20"/>
  <c r="BO475" i="20"/>
  <c r="BP494" i="20"/>
  <c r="BP487" i="20"/>
  <c r="BP478" i="20"/>
  <c r="BO549" i="20"/>
  <c r="BH516" i="20"/>
  <c r="BM541" i="20"/>
  <c r="BF579" i="20"/>
  <c r="BK555" i="20"/>
  <c r="BQ430" i="20"/>
  <c r="BG104" i="20"/>
  <c r="BH29" i="20"/>
  <c r="BO477" i="20"/>
  <c r="BI610" i="20"/>
  <c r="BM570" i="20"/>
  <c r="BO491" i="20"/>
  <c r="Z5" i="20"/>
  <c r="BG5" i="20"/>
  <c r="BH60" i="20"/>
  <c r="BN591" i="20"/>
  <c r="BF340" i="20"/>
  <c r="BN405" i="20"/>
  <c r="BH227" i="20"/>
  <c r="BF330" i="20"/>
  <c r="BL380" i="20"/>
  <c r="BO486" i="20"/>
  <c r="BJ217" i="20"/>
  <c r="BN366" i="20"/>
  <c r="BG108" i="20"/>
  <c r="BG9" i="20"/>
  <c r="BJ220" i="20"/>
  <c r="BF533" i="20"/>
  <c r="BH325" i="20"/>
  <c r="BQ522" i="20"/>
  <c r="BP48" i="20"/>
  <c r="BJ226" i="20"/>
  <c r="BI513" i="20"/>
  <c r="BF33" i="20"/>
  <c r="BL374" i="20"/>
  <c r="BF134" i="20"/>
  <c r="BH27" i="20"/>
  <c r="BJ563" i="20"/>
  <c r="BH254" i="20"/>
  <c r="BH8" i="20"/>
  <c r="BN540" i="20"/>
  <c r="BO402" i="20"/>
  <c r="BH534" i="20"/>
  <c r="BO474" i="20"/>
  <c r="BQ426" i="20"/>
  <c r="BJ140" i="20"/>
  <c r="BL44" i="20"/>
  <c r="BF246" i="20"/>
  <c r="BM539" i="20"/>
  <c r="BQ524" i="20"/>
  <c r="BH24" i="20"/>
  <c r="BH561" i="20"/>
  <c r="BH327" i="20"/>
  <c r="BF101" i="20"/>
  <c r="BG245" i="20"/>
  <c r="BG25" i="20"/>
  <c r="BO476" i="20"/>
  <c r="BF305" i="20"/>
  <c r="BF103" i="20"/>
  <c r="BG100" i="20"/>
  <c r="BH244" i="20"/>
  <c r="BF216" i="20"/>
  <c r="BN399" i="20"/>
  <c r="BJ342" i="20"/>
  <c r="BH135" i="20"/>
  <c r="BO484" i="20"/>
  <c r="BO492" i="20"/>
  <c r="BN408" i="20"/>
  <c r="BP483" i="20"/>
  <c r="BH519" i="20"/>
  <c r="BF575" i="20"/>
  <c r="BK514" i="20"/>
  <c r="BQ35" i="20"/>
  <c r="BI328" i="20"/>
  <c r="BF139" i="20"/>
  <c r="BP497" i="20"/>
  <c r="BL344" i="20"/>
  <c r="BN401" i="20"/>
  <c r="BG249" i="20"/>
  <c r="BH331" i="20"/>
  <c r="BP505" i="20"/>
  <c r="BG319" i="20"/>
  <c r="BP500" i="20"/>
  <c r="BP40" i="20"/>
  <c r="BG228" i="20"/>
  <c r="BM548" i="20"/>
  <c r="BF335" i="20"/>
  <c r="BM13" i="20"/>
  <c r="BG242" i="20"/>
  <c r="BI611" i="20"/>
  <c r="BO504" i="20"/>
  <c r="BG564" i="20"/>
  <c r="BM403" i="20"/>
  <c r="BH229" i="20"/>
  <c r="BM410" i="20"/>
  <c r="BF233" i="20"/>
  <c r="BL343" i="20"/>
  <c r="BI535" i="20"/>
  <c r="BO409" i="20"/>
  <c r="BO346" i="20"/>
  <c r="BP485" i="20"/>
  <c r="BL536" i="20"/>
  <c r="BF298" i="20"/>
  <c r="BP502" i="20"/>
  <c r="BQ429" i="20"/>
  <c r="BH61" i="20"/>
  <c r="BQ38" i="20"/>
  <c r="BN369" i="20"/>
  <c r="BH341" i="20"/>
  <c r="BP488" i="20"/>
  <c r="BH411" i="20"/>
  <c r="BH256" i="20"/>
  <c r="BH565" i="20"/>
  <c r="BM368" i="20"/>
  <c r="BG576" i="20"/>
  <c r="BF599" i="20"/>
  <c r="BH520" i="20"/>
  <c r="BN345" i="20"/>
  <c r="BQ482" i="20"/>
  <c r="BM348" i="20"/>
  <c r="BF107" i="20"/>
  <c r="BN367" i="20"/>
  <c r="BP480" i="20"/>
  <c r="BG109" i="20"/>
  <c r="BI301" i="20"/>
  <c r="BP428" i="20"/>
  <c r="BN495" i="20"/>
  <c r="BH136" i="20"/>
  <c r="BH404" i="20"/>
  <c r="BM12" i="20"/>
  <c r="BF532" i="20"/>
  <c r="BO592" i="20"/>
  <c r="BG225" i="20"/>
  <c r="BQ39" i="20"/>
  <c r="BG23" i="20"/>
  <c r="BH299" i="20"/>
  <c r="BG207" i="20"/>
  <c r="BI511" i="20"/>
  <c r="BG211" i="20"/>
  <c r="BH218" i="20"/>
  <c r="BH74" i="20"/>
  <c r="BF97" i="20"/>
  <c r="BG26" i="20"/>
  <c r="BR425" i="20"/>
  <c r="BP503" i="20"/>
  <c r="BO490" i="20"/>
  <c r="BG302" i="20"/>
  <c r="BG98" i="20"/>
  <c r="BI337" i="20"/>
  <c r="BQ521" i="20"/>
  <c r="BP373" i="20"/>
  <c r="BI75" i="20"/>
  <c r="BI580" i="20"/>
  <c r="BM371" i="20"/>
  <c r="BM400" i="20"/>
  <c r="BH464" i="20"/>
  <c r="BI608" i="20"/>
  <c r="BN568" i="20"/>
  <c r="BJ581" i="20"/>
  <c r="BN589" i="20"/>
  <c r="BF206" i="20"/>
  <c r="BI224" i="20"/>
  <c r="BI205" i="20"/>
  <c r="BN538" i="20"/>
  <c r="BK518" i="20"/>
  <c r="BJ609" i="20"/>
  <c r="BN593" i="20"/>
  <c r="BM382" i="20"/>
  <c r="BF94" i="20"/>
  <c r="BO498" i="20"/>
  <c r="BH332" i="20"/>
  <c r="BN252" i="20"/>
  <c r="BK223" i="20"/>
  <c r="BI240" i="20"/>
  <c r="BF212" i="20"/>
  <c r="BH248" i="20"/>
  <c r="BF235" i="20"/>
  <c r="BI219" i="20"/>
  <c r="BQ499" i="20"/>
  <c r="BJ238" i="20"/>
  <c r="BI512" i="20"/>
  <c r="BF93" i="20"/>
  <c r="BF34" i="20"/>
  <c r="BR427" i="20"/>
  <c r="BK557" i="20"/>
  <c r="BO479" i="20"/>
  <c r="BO501" i="20"/>
  <c r="BI577" i="20"/>
  <c r="BG304" i="20"/>
  <c r="BI221" i="20"/>
  <c r="BQ489" i="20"/>
  <c r="BN567" i="20"/>
  <c r="BI73" i="20"/>
  <c r="BP36" i="20"/>
  <c r="BP481" i="20"/>
  <c r="BH280" i="20"/>
  <c r="BQ42" i="20"/>
  <c r="BG338" i="20"/>
  <c r="BI222" i="20"/>
  <c r="BH311" i="20"/>
  <c r="BK515" i="20"/>
  <c r="BQ41" i="20"/>
  <c r="Z6" i="20"/>
  <c r="BG6" i="20"/>
  <c r="BG293" i="20"/>
  <c r="BQ37" i="20"/>
  <c r="BN378" i="20"/>
  <c r="BH517" i="20"/>
  <c r="BG578" i="20"/>
  <c r="BH210" i="20"/>
  <c r="BG214" i="20"/>
  <c r="AM525" i="20" l="1"/>
  <c r="AL429" i="20"/>
  <c r="AM429" i="20"/>
  <c r="AL42" i="20"/>
  <c r="AM42" i="20"/>
  <c r="AL38" i="20"/>
  <c r="AM38" i="20"/>
  <c r="AL41" i="20"/>
  <c r="AM41" i="20"/>
  <c r="AL482" i="20"/>
  <c r="AM482" i="20"/>
  <c r="AL430" i="20"/>
  <c r="AM430" i="20"/>
  <c r="AL37" i="20"/>
  <c r="AM37" i="20"/>
  <c r="AL499" i="20"/>
  <c r="AM499" i="20"/>
  <c r="AL524" i="20"/>
  <c r="AM524" i="20"/>
  <c r="BR43" i="20"/>
  <c r="AL522" i="20"/>
  <c r="AM522" i="20"/>
  <c r="AL521" i="20"/>
  <c r="AM521" i="20"/>
  <c r="AL489" i="20"/>
  <c r="AM489" i="20"/>
  <c r="AM39" i="20"/>
  <c r="AL39" i="20"/>
  <c r="AL35" i="20"/>
  <c r="AM35" i="20"/>
  <c r="AL426" i="20"/>
  <c r="AM426" i="20"/>
  <c r="BG234" i="20"/>
  <c r="BM379" i="20"/>
  <c r="BM253" i="20"/>
  <c r="BH7" i="20"/>
  <c r="BO11" i="20"/>
  <c r="BN300" i="20"/>
  <c r="BM347" i="20"/>
  <c r="BM375" i="20"/>
  <c r="BI279" i="20"/>
  <c r="BG310" i="20"/>
  <c r="BM412" i="20"/>
  <c r="BM45" i="20"/>
  <c r="BG334" i="20"/>
  <c r="BN47" i="20"/>
  <c r="BH247" i="20"/>
  <c r="BP493" i="20"/>
  <c r="BG96" i="20"/>
  <c r="BH209" i="20"/>
  <c r="BK558" i="20"/>
  <c r="BG303" i="20"/>
  <c r="BK554" i="20"/>
  <c r="BH213" i="20"/>
  <c r="BN590" i="20"/>
  <c r="BI137" i="20"/>
  <c r="BO52" i="20"/>
  <c r="BI333" i="20"/>
  <c r="BG72" i="20"/>
  <c r="BO566" i="20"/>
  <c r="BI255" i="20"/>
  <c r="BH208" i="20"/>
  <c r="BK241" i="20"/>
  <c r="BH99" i="20"/>
  <c r="BM51" i="20"/>
  <c r="BI230" i="20"/>
  <c r="BP50" i="20"/>
  <c r="BH277" i="20"/>
  <c r="BN377" i="20"/>
  <c r="BG106" i="20"/>
  <c r="BJ92" i="20"/>
  <c r="BN381" i="20"/>
  <c r="BK556" i="20"/>
  <c r="BN588" i="20"/>
  <c r="BM370" i="20"/>
  <c r="BH30" i="20"/>
  <c r="BQ523" i="20"/>
  <c r="BO378" i="20"/>
  <c r="BQ36" i="20"/>
  <c r="BJ577" i="20"/>
  <c r="BL557" i="20"/>
  <c r="BJ219" i="20"/>
  <c r="BG94" i="20"/>
  <c r="BK609" i="20"/>
  <c r="BJ75" i="20"/>
  <c r="BH302" i="20"/>
  <c r="BH225" i="20"/>
  <c r="BN12" i="20"/>
  <c r="BI520" i="20"/>
  <c r="BN368" i="20"/>
  <c r="BQ488" i="20"/>
  <c r="BJ611" i="20"/>
  <c r="BH319" i="20"/>
  <c r="BQ497" i="20"/>
  <c r="BQ483" i="20"/>
  <c r="BO399" i="20"/>
  <c r="BH25" i="20"/>
  <c r="BI24" i="20"/>
  <c r="BO540" i="20"/>
  <c r="BK563" i="20"/>
  <c r="BK220" i="20"/>
  <c r="BO366" i="20"/>
  <c r="BG340" i="20"/>
  <c r="BH5" i="20"/>
  <c r="AA5" i="20"/>
  <c r="BL555" i="20"/>
  <c r="BH215" i="20"/>
  <c r="BI102" i="20"/>
  <c r="BI62" i="20"/>
  <c r="BG243" i="20"/>
  <c r="BI231" i="20"/>
  <c r="BI318" i="20"/>
  <c r="BH6" i="20"/>
  <c r="AA6" i="20"/>
  <c r="BJ222" i="20"/>
  <c r="BR489" i="20"/>
  <c r="BI332" i="20"/>
  <c r="BJ224" i="20"/>
  <c r="BK581" i="20"/>
  <c r="BH207" i="20"/>
  <c r="BI404" i="20"/>
  <c r="BQ428" i="20"/>
  <c r="BN348" i="20"/>
  <c r="BR38" i="20"/>
  <c r="BM343" i="20"/>
  <c r="BN403" i="20"/>
  <c r="BG335" i="20"/>
  <c r="BH249" i="20"/>
  <c r="BG101" i="20"/>
  <c r="BG246" i="20"/>
  <c r="BP474" i="20"/>
  <c r="BG330" i="20"/>
  <c r="BO591" i="20"/>
  <c r="BP491" i="20"/>
  <c r="BI29" i="20"/>
  <c r="BP549" i="20"/>
  <c r="BG329" i="20"/>
  <c r="BG278" i="20"/>
  <c r="BN376" i="20"/>
  <c r="BN537" i="20"/>
  <c r="BH578" i="20"/>
  <c r="BR41" i="20"/>
  <c r="BR42" i="20"/>
  <c r="BJ73" i="20"/>
  <c r="BJ512" i="20"/>
  <c r="BJ240" i="20"/>
  <c r="BN382" i="20"/>
  <c r="BL518" i="20"/>
  <c r="BN400" i="20"/>
  <c r="BQ373" i="20"/>
  <c r="BG97" i="20"/>
  <c r="BP592" i="20"/>
  <c r="BH109" i="20"/>
  <c r="BI565" i="20"/>
  <c r="BG298" i="20"/>
  <c r="BP346" i="20"/>
  <c r="BG233" i="20"/>
  <c r="BH242" i="20"/>
  <c r="BG139" i="20"/>
  <c r="BL514" i="20"/>
  <c r="BO408" i="20"/>
  <c r="BI135" i="20"/>
  <c r="BG216" i="20"/>
  <c r="BG305" i="20"/>
  <c r="BR524" i="20"/>
  <c r="BM44" i="20"/>
  <c r="BI8" i="20"/>
  <c r="BG579" i="20"/>
  <c r="BH138" i="20"/>
  <c r="BN569" i="20"/>
  <c r="BI614" i="20"/>
  <c r="BJ612" i="20"/>
  <c r="BH31" i="20"/>
  <c r="BH336" i="20"/>
  <c r="BJ232" i="20"/>
  <c r="BR37" i="20"/>
  <c r="BJ221" i="20"/>
  <c r="BP501" i="20"/>
  <c r="BG235" i="20"/>
  <c r="BG206" i="20"/>
  <c r="BO568" i="20"/>
  <c r="BN371" i="20"/>
  <c r="BP490" i="20"/>
  <c r="BI299" i="20"/>
  <c r="BR39" i="20"/>
  <c r="BJ301" i="20"/>
  <c r="BQ480" i="20"/>
  <c r="BR482" i="20"/>
  <c r="BI61" i="20"/>
  <c r="BM536" i="20"/>
  <c r="BQ505" i="20"/>
  <c r="BO401" i="20"/>
  <c r="BG103" i="20"/>
  <c r="BI534" i="20"/>
  <c r="BI27" i="20"/>
  <c r="BM374" i="20"/>
  <c r="BJ513" i="20"/>
  <c r="BH9" i="20"/>
  <c r="BK217" i="20"/>
  <c r="BN570" i="20"/>
  <c r="BQ478" i="20"/>
  <c r="BG292" i="20"/>
  <c r="BJ239" i="20"/>
  <c r="BR525" i="20"/>
  <c r="BJ339" i="20"/>
  <c r="BN372" i="20"/>
  <c r="BH236" i="20"/>
  <c r="BI306" i="20"/>
  <c r="BI307" i="20"/>
  <c r="BO46" i="20"/>
  <c r="BL515" i="20"/>
  <c r="BI280" i="20"/>
  <c r="BO567" i="20"/>
  <c r="BK238" i="20"/>
  <c r="BI248" i="20"/>
  <c r="BL223" i="20"/>
  <c r="BO538" i="20"/>
  <c r="BH98" i="20"/>
  <c r="BI74" i="20"/>
  <c r="BG532" i="20"/>
  <c r="BI136" i="20"/>
  <c r="BH576" i="20"/>
  <c r="BP409" i="20"/>
  <c r="BN410" i="20"/>
  <c r="BH564" i="20"/>
  <c r="BQ40" i="20"/>
  <c r="BG575" i="20"/>
  <c r="BH245" i="20"/>
  <c r="BI327" i="20"/>
  <c r="BN539" i="20"/>
  <c r="BR522" i="20"/>
  <c r="BG533" i="20"/>
  <c r="BI227" i="20"/>
  <c r="BH104" i="20"/>
  <c r="BN541" i="20"/>
  <c r="BQ494" i="20"/>
  <c r="BG309" i="20"/>
  <c r="BP496" i="20"/>
  <c r="BH214" i="20"/>
  <c r="BH293" i="20"/>
  <c r="BQ481" i="20"/>
  <c r="BH304" i="20"/>
  <c r="BP479" i="20"/>
  <c r="BG34" i="20"/>
  <c r="BO593" i="20"/>
  <c r="BR521" i="20"/>
  <c r="BQ503" i="20"/>
  <c r="BO367" i="20"/>
  <c r="BO345" i="20"/>
  <c r="BI256" i="20"/>
  <c r="BI341" i="20"/>
  <c r="BQ485" i="20"/>
  <c r="BN548" i="20"/>
  <c r="BQ500" i="20"/>
  <c r="BI331" i="20"/>
  <c r="BJ328" i="20"/>
  <c r="BK342" i="20"/>
  <c r="BI244" i="20"/>
  <c r="BP476" i="20"/>
  <c r="BK140" i="20"/>
  <c r="BP402" i="20"/>
  <c r="BG134" i="20"/>
  <c r="BG33" i="20"/>
  <c r="BK226" i="20"/>
  <c r="BI325" i="20"/>
  <c r="BP486" i="20"/>
  <c r="BO405" i="20"/>
  <c r="BG32" i="20"/>
  <c r="BQ526" i="20"/>
  <c r="BO406" i="20"/>
  <c r="BJ237" i="20"/>
  <c r="BH308" i="20"/>
  <c r="BG10" i="20"/>
  <c r="BI517" i="20"/>
  <c r="BI311" i="20"/>
  <c r="BH338" i="20"/>
  <c r="BR499" i="20"/>
  <c r="BG212" i="20"/>
  <c r="BO252" i="20"/>
  <c r="BJ608" i="20"/>
  <c r="BJ580" i="20"/>
  <c r="BJ337" i="20"/>
  <c r="BI218" i="20"/>
  <c r="BJ511" i="20"/>
  <c r="BO495" i="20"/>
  <c r="BI411" i="20"/>
  <c r="BR429" i="20"/>
  <c r="BP504" i="20"/>
  <c r="BN13" i="20"/>
  <c r="BH228" i="20"/>
  <c r="BM344" i="20"/>
  <c r="BR35" i="20"/>
  <c r="BI519" i="20"/>
  <c r="BP492" i="20"/>
  <c r="BI561" i="20"/>
  <c r="BR426" i="20"/>
  <c r="BQ48" i="20"/>
  <c r="BH108" i="20"/>
  <c r="BI60" i="20"/>
  <c r="BJ610" i="20"/>
  <c r="BI516" i="20"/>
  <c r="BP475" i="20"/>
  <c r="BI95" i="20"/>
  <c r="BG326" i="20"/>
  <c r="BH105" i="20"/>
  <c r="BI284" i="20"/>
  <c r="BN550" i="20"/>
  <c r="BI613" i="20"/>
  <c r="BI210" i="20"/>
  <c r="BG93" i="20"/>
  <c r="BP498" i="20"/>
  <c r="BJ205" i="20"/>
  <c r="BO589" i="20"/>
  <c r="BI464" i="20"/>
  <c r="BH26" i="20"/>
  <c r="BH211" i="20"/>
  <c r="BH23" i="20"/>
  <c r="BG107" i="20"/>
  <c r="BO369" i="20"/>
  <c r="BQ502" i="20"/>
  <c r="BJ535" i="20"/>
  <c r="BI229" i="20"/>
  <c r="BP484" i="20"/>
  <c r="BH100" i="20"/>
  <c r="BI254" i="20"/>
  <c r="BM380" i="20"/>
  <c r="BP477" i="20"/>
  <c r="BR430" i="20"/>
  <c r="BQ487" i="20"/>
  <c r="BN349" i="20"/>
  <c r="BM251" i="20"/>
  <c r="BO407" i="20"/>
  <c r="BG250" i="20"/>
  <c r="BN49" i="20"/>
  <c r="BI28" i="20"/>
  <c r="BG562" i="20"/>
  <c r="AL43" i="20" l="1"/>
  <c r="AM43" i="20"/>
  <c r="AL502" i="20"/>
  <c r="AM502" i="20"/>
  <c r="AL481" i="20"/>
  <c r="AM481" i="20"/>
  <c r="AL373" i="20"/>
  <c r="AM373" i="20"/>
  <c r="AL497" i="20"/>
  <c r="AM497" i="20"/>
  <c r="AL494" i="20"/>
  <c r="AM494" i="20"/>
  <c r="AL480" i="20"/>
  <c r="AM480" i="20"/>
  <c r="AL523" i="20"/>
  <c r="AM523" i="20"/>
  <c r="AL485" i="20"/>
  <c r="AM485" i="20"/>
  <c r="AL505" i="20"/>
  <c r="AM505" i="20"/>
  <c r="AL526" i="20"/>
  <c r="AM526" i="20"/>
  <c r="AL503" i="20"/>
  <c r="AM503" i="20"/>
  <c r="AL40" i="20"/>
  <c r="AM40" i="20"/>
  <c r="AL428" i="20"/>
  <c r="AM428" i="20"/>
  <c r="AL478" i="20"/>
  <c r="AM478" i="20"/>
  <c r="AL36" i="20"/>
  <c r="AM36" i="20"/>
  <c r="AM48" i="20"/>
  <c r="AL48" i="20"/>
  <c r="AL487" i="20"/>
  <c r="AM487" i="20"/>
  <c r="AL500" i="20"/>
  <c r="AM500" i="20"/>
  <c r="AL483" i="20"/>
  <c r="AM483" i="20"/>
  <c r="AL488" i="20"/>
  <c r="AM488" i="20"/>
  <c r="BH234" i="20"/>
  <c r="BN379" i="20"/>
  <c r="BP11" i="20"/>
  <c r="BI7" i="20"/>
  <c r="BN253" i="20"/>
  <c r="BO300" i="20"/>
  <c r="BO588" i="20"/>
  <c r="BK92" i="20"/>
  <c r="BI99" i="20"/>
  <c r="BH303" i="20"/>
  <c r="BJ279" i="20"/>
  <c r="BP566" i="20"/>
  <c r="BJ137" i="20"/>
  <c r="BQ493" i="20"/>
  <c r="BP52" i="20"/>
  <c r="BH310" i="20"/>
  <c r="BR523" i="20"/>
  <c r="BL556" i="20"/>
  <c r="BH106" i="20"/>
  <c r="BL241" i="20"/>
  <c r="BO590" i="20"/>
  <c r="BL558" i="20"/>
  <c r="BI247" i="20"/>
  <c r="BN45" i="20"/>
  <c r="BI30" i="20"/>
  <c r="BJ333" i="20"/>
  <c r="BI213" i="20"/>
  <c r="BI209" i="20"/>
  <c r="BN347" i="20"/>
  <c r="BO381" i="20"/>
  <c r="BO377" i="20"/>
  <c r="BJ230" i="20"/>
  <c r="BI208" i="20"/>
  <c r="BO47" i="20"/>
  <c r="BN412" i="20"/>
  <c r="BQ50" i="20"/>
  <c r="BH72" i="20"/>
  <c r="BN375" i="20"/>
  <c r="BN370" i="20"/>
  <c r="BI277" i="20"/>
  <c r="BN51" i="20"/>
  <c r="BJ255" i="20"/>
  <c r="BL554" i="20"/>
  <c r="BH334" i="20"/>
  <c r="BH96" i="20"/>
  <c r="BQ498" i="20"/>
  <c r="BQ492" i="20"/>
  <c r="BI293" i="20"/>
  <c r="BO49" i="20"/>
  <c r="BI228" i="20"/>
  <c r="BP367" i="20"/>
  <c r="BR505" i="20"/>
  <c r="AB5" i="20"/>
  <c r="BI5" i="20"/>
  <c r="BN251" i="20"/>
  <c r="BR502" i="20"/>
  <c r="BH93" i="20"/>
  <c r="BJ95" i="20"/>
  <c r="BK511" i="20"/>
  <c r="BK580" i="20"/>
  <c r="BJ311" i="20"/>
  <c r="BH10" i="20"/>
  <c r="BH134" i="20"/>
  <c r="BJ244" i="20"/>
  <c r="BJ341" i="20"/>
  <c r="BJ227" i="20"/>
  <c r="BI245" i="20"/>
  <c r="BI564" i="20"/>
  <c r="BK221" i="20"/>
  <c r="BJ8" i="20"/>
  <c r="BJ135" i="20"/>
  <c r="BQ346" i="20"/>
  <c r="BH97" i="20"/>
  <c r="BK73" i="20"/>
  <c r="BI578" i="20"/>
  <c r="BH335" i="20"/>
  <c r="BJ404" i="20"/>
  <c r="BK224" i="20"/>
  <c r="BR497" i="20"/>
  <c r="BR488" i="20"/>
  <c r="BJ28" i="20"/>
  <c r="BR487" i="20"/>
  <c r="BJ464" i="20"/>
  <c r="BI23" i="20"/>
  <c r="BJ210" i="20"/>
  <c r="BJ516" i="20"/>
  <c r="BJ519" i="20"/>
  <c r="BH212" i="20"/>
  <c r="BJ325" i="20"/>
  <c r="BI214" i="20"/>
  <c r="BQ490" i="20"/>
  <c r="BJ29" i="20"/>
  <c r="BH562" i="20"/>
  <c r="BP369" i="20"/>
  <c r="BI211" i="20"/>
  <c r="BP589" i="20"/>
  <c r="BJ284" i="20"/>
  <c r="BK610" i="20"/>
  <c r="BJ411" i="20"/>
  <c r="BR500" i="20"/>
  <c r="BI304" i="20"/>
  <c r="BJ136" i="20"/>
  <c r="BJ74" i="20"/>
  <c r="BM515" i="20"/>
  <c r="BL217" i="20"/>
  <c r="BN374" i="20"/>
  <c r="BH103" i="20"/>
  <c r="BO371" i="20"/>
  <c r="BI336" i="20"/>
  <c r="BO569" i="20"/>
  <c r="BH139" i="20"/>
  <c r="BJ565" i="20"/>
  <c r="BO382" i="20"/>
  <c r="BH101" i="20"/>
  <c r="BI6" i="20"/>
  <c r="AB6" i="20"/>
  <c r="BJ102" i="20"/>
  <c r="BL563" i="20"/>
  <c r="BI25" i="20"/>
  <c r="BO368" i="20"/>
  <c r="BI225" i="20"/>
  <c r="BK75" i="20"/>
  <c r="BP378" i="20"/>
  <c r="BI104" i="20"/>
  <c r="BJ280" i="20"/>
  <c r="BJ61" i="20"/>
  <c r="BJ254" i="20"/>
  <c r="BJ229" i="20"/>
  <c r="BI105" i="20"/>
  <c r="BQ475" i="20"/>
  <c r="BR48" i="20"/>
  <c r="BO13" i="20"/>
  <c r="BK608" i="20"/>
  <c r="BI308" i="20"/>
  <c r="BP406" i="20"/>
  <c r="BH32" i="20"/>
  <c r="BL226" i="20"/>
  <c r="BL342" i="20"/>
  <c r="BR494" i="20"/>
  <c r="BH575" i="20"/>
  <c r="BJ248" i="20"/>
  <c r="BJ306" i="20"/>
  <c r="BK339" i="20"/>
  <c r="BH292" i="20"/>
  <c r="BP568" i="20"/>
  <c r="BI138" i="20"/>
  <c r="BH305" i="20"/>
  <c r="BP408" i="20"/>
  <c r="BI242" i="20"/>
  <c r="BI109" i="20"/>
  <c r="BO537" i="20"/>
  <c r="BH329" i="20"/>
  <c r="BQ491" i="20"/>
  <c r="BI249" i="20"/>
  <c r="BI207" i="20"/>
  <c r="BH340" i="20"/>
  <c r="BI319" i="20"/>
  <c r="BM557" i="20"/>
  <c r="BQ484" i="20"/>
  <c r="BK337" i="20"/>
  <c r="BJ331" i="20"/>
  <c r="BM223" i="20"/>
  <c r="BK239" i="20"/>
  <c r="BM518" i="20"/>
  <c r="BO349" i="20"/>
  <c r="BQ477" i="20"/>
  <c r="BI26" i="20"/>
  <c r="BK205" i="20"/>
  <c r="BJ613" i="20"/>
  <c r="BJ60" i="20"/>
  <c r="BQ504" i="20"/>
  <c r="BR526" i="20"/>
  <c r="BP405" i="20"/>
  <c r="BQ402" i="20"/>
  <c r="BO548" i="20"/>
  <c r="BJ256" i="20"/>
  <c r="BR503" i="20"/>
  <c r="BP593" i="20"/>
  <c r="BR481" i="20"/>
  <c r="BQ496" i="20"/>
  <c r="BH533" i="20"/>
  <c r="BO539" i="20"/>
  <c r="BO410" i="20"/>
  <c r="BR478" i="20"/>
  <c r="BI9" i="20"/>
  <c r="BJ27" i="20"/>
  <c r="BH235" i="20"/>
  <c r="BI31" i="20"/>
  <c r="BN44" i="20"/>
  <c r="BH298" i="20"/>
  <c r="BR373" i="20"/>
  <c r="BK240" i="20"/>
  <c r="BO376" i="20"/>
  <c r="BQ474" i="20"/>
  <c r="BO403" i="20"/>
  <c r="BJ332" i="20"/>
  <c r="BH243" i="20"/>
  <c r="BI215" i="20"/>
  <c r="BP540" i="20"/>
  <c r="BL609" i="20"/>
  <c r="BK577" i="20"/>
  <c r="BP407" i="20"/>
  <c r="BO550" i="20"/>
  <c r="BH34" i="20"/>
  <c r="BI338" i="20"/>
  <c r="BQ479" i="20"/>
  <c r="BJ307" i="20"/>
  <c r="BK513" i="20"/>
  <c r="BK222" i="20"/>
  <c r="BJ24" i="20"/>
  <c r="BR483" i="20"/>
  <c r="BO12" i="20"/>
  <c r="BK219" i="20"/>
  <c r="BH250" i="20"/>
  <c r="BN380" i="20"/>
  <c r="BH107" i="20"/>
  <c r="BH326" i="20"/>
  <c r="BJ561" i="20"/>
  <c r="BP495" i="20"/>
  <c r="BJ218" i="20"/>
  <c r="BP252" i="20"/>
  <c r="BJ517" i="20"/>
  <c r="BK237" i="20"/>
  <c r="BL140" i="20"/>
  <c r="BK328" i="20"/>
  <c r="BR40" i="20"/>
  <c r="BH532" i="20"/>
  <c r="BI98" i="20"/>
  <c r="BL238" i="20"/>
  <c r="BI236" i="20"/>
  <c r="BP401" i="20"/>
  <c r="BN536" i="20"/>
  <c r="BQ501" i="20"/>
  <c r="BK612" i="20"/>
  <c r="BQ592" i="20"/>
  <c r="BP591" i="20"/>
  <c r="BO348" i="20"/>
  <c r="BJ318" i="20"/>
  <c r="BJ520" i="20"/>
  <c r="BI100" i="20"/>
  <c r="BI108" i="20"/>
  <c r="BN344" i="20"/>
  <c r="BR485" i="20"/>
  <c r="BP345" i="20"/>
  <c r="BO541" i="20"/>
  <c r="BJ327" i="20"/>
  <c r="BQ409" i="20"/>
  <c r="BP538" i="20"/>
  <c r="BP46" i="20"/>
  <c r="BO570" i="20"/>
  <c r="BR480" i="20"/>
  <c r="BJ299" i="20"/>
  <c r="BH206" i="20"/>
  <c r="BH579" i="20"/>
  <c r="BH216" i="20"/>
  <c r="BO400" i="20"/>
  <c r="BK512" i="20"/>
  <c r="BQ549" i="20"/>
  <c r="BN343" i="20"/>
  <c r="BR428" i="20"/>
  <c r="BJ62" i="20"/>
  <c r="BP366" i="20"/>
  <c r="BP399" i="20"/>
  <c r="BI302" i="20"/>
  <c r="BH94" i="20"/>
  <c r="BR36" i="20"/>
  <c r="BK535" i="20"/>
  <c r="BQ486" i="20"/>
  <c r="BH33" i="20"/>
  <c r="BQ476" i="20"/>
  <c r="BH309" i="20"/>
  <c r="BI576" i="20"/>
  <c r="BP567" i="20"/>
  <c r="BO372" i="20"/>
  <c r="BJ534" i="20"/>
  <c r="BK301" i="20"/>
  <c r="BK232" i="20"/>
  <c r="BJ614" i="20"/>
  <c r="BM514" i="20"/>
  <c r="BH233" i="20"/>
  <c r="BH278" i="20"/>
  <c r="BH330" i="20"/>
  <c r="BH246" i="20"/>
  <c r="BL581" i="20"/>
  <c r="BJ231" i="20"/>
  <c r="BM555" i="20"/>
  <c r="BL220" i="20"/>
  <c r="BK611" i="20"/>
  <c r="AM402" i="20" l="1"/>
  <c r="AL402" i="20"/>
  <c r="BR50" i="20"/>
  <c r="AL496" i="20"/>
  <c r="AM496" i="20"/>
  <c r="AL477" i="20"/>
  <c r="AM477" i="20"/>
  <c r="AL501" i="20"/>
  <c r="AM501" i="20"/>
  <c r="AL549" i="20"/>
  <c r="AM549" i="20"/>
  <c r="AL492" i="20"/>
  <c r="AM492" i="20"/>
  <c r="AL476" i="20"/>
  <c r="AM476" i="20"/>
  <c r="AM491" i="20"/>
  <c r="AL491" i="20"/>
  <c r="BR493" i="20"/>
  <c r="AL346" i="20"/>
  <c r="AM346" i="20"/>
  <c r="AL498" i="20"/>
  <c r="AM498" i="20"/>
  <c r="AL490" i="20"/>
  <c r="AM490" i="20"/>
  <c r="AL479" i="20"/>
  <c r="AM479" i="20"/>
  <c r="AL474" i="20"/>
  <c r="AM474" i="20"/>
  <c r="AM409" i="20"/>
  <c r="AL409" i="20"/>
  <c r="AL475" i="20"/>
  <c r="AM475" i="20"/>
  <c r="AM592" i="20"/>
  <c r="AL592" i="20"/>
  <c r="AL486" i="20"/>
  <c r="AM486" i="20"/>
  <c r="AL504" i="20"/>
  <c r="AM504" i="20"/>
  <c r="AL484" i="20"/>
  <c r="AM484" i="20"/>
  <c r="BI234" i="20"/>
  <c r="BO379" i="20"/>
  <c r="BO253" i="20"/>
  <c r="BJ7" i="20"/>
  <c r="BQ11" i="20"/>
  <c r="BK333" i="20"/>
  <c r="BK279" i="20"/>
  <c r="BK255" i="20"/>
  <c r="BK230" i="20"/>
  <c r="BJ30" i="20"/>
  <c r="BP590" i="20"/>
  <c r="BP588" i="20"/>
  <c r="BO370" i="20"/>
  <c r="BP377" i="20"/>
  <c r="BO347" i="20"/>
  <c r="BI303" i="20"/>
  <c r="BO412" i="20"/>
  <c r="BO45" i="20"/>
  <c r="BP300" i="20"/>
  <c r="BI96" i="20"/>
  <c r="BO51" i="20"/>
  <c r="BP47" i="20"/>
  <c r="BJ209" i="20"/>
  <c r="BM241" i="20"/>
  <c r="BI310" i="20"/>
  <c r="BJ277" i="20"/>
  <c r="BO375" i="20"/>
  <c r="BJ213" i="20"/>
  <c r="BJ247" i="20"/>
  <c r="BI106" i="20"/>
  <c r="BK137" i="20"/>
  <c r="BJ99" i="20"/>
  <c r="BI334" i="20"/>
  <c r="BI72" i="20"/>
  <c r="BJ208" i="20"/>
  <c r="BP381" i="20"/>
  <c r="BQ52" i="20"/>
  <c r="BQ566" i="20"/>
  <c r="BM554" i="20"/>
  <c r="BM558" i="20"/>
  <c r="BM556" i="20"/>
  <c r="BL92" i="20"/>
  <c r="BK318" i="20"/>
  <c r="BK331" i="20"/>
  <c r="BJ336" i="20"/>
  <c r="BM220" i="20"/>
  <c r="BJ302" i="20"/>
  <c r="BK62" i="20"/>
  <c r="BK327" i="20"/>
  <c r="BL513" i="20"/>
  <c r="BK332" i="20"/>
  <c r="BI298" i="20"/>
  <c r="BR496" i="20"/>
  <c r="BQ405" i="20"/>
  <c r="BJ319" i="20"/>
  <c r="BJ207" i="20"/>
  <c r="BK248" i="20"/>
  <c r="BM342" i="20"/>
  <c r="BJ308" i="20"/>
  <c r="BK254" i="20"/>
  <c r="BJ6" i="20"/>
  <c r="AC6" i="20"/>
  <c r="BP371" i="20"/>
  <c r="BK325" i="20"/>
  <c r="BK210" i="20"/>
  <c r="BK404" i="20"/>
  <c r="BJ245" i="20"/>
  <c r="BK341" i="20"/>
  <c r="BK311" i="20"/>
  <c r="BN514" i="20"/>
  <c r="BL535" i="20"/>
  <c r="BI216" i="20"/>
  <c r="BQ46" i="20"/>
  <c r="BP541" i="20"/>
  <c r="BO344" i="20"/>
  <c r="BR501" i="20"/>
  <c r="BM238" i="20"/>
  <c r="BK517" i="20"/>
  <c r="BO380" i="20"/>
  <c r="BP12" i="20"/>
  <c r="BK27" i="20"/>
  <c r="BP410" i="20"/>
  <c r="BK256" i="20"/>
  <c r="BI329" i="20"/>
  <c r="BQ408" i="20"/>
  <c r="BM226" i="20"/>
  <c r="BR475" i="20"/>
  <c r="BK280" i="20"/>
  <c r="BQ378" i="20"/>
  <c r="BK565" i="20"/>
  <c r="BN515" i="20"/>
  <c r="BL610" i="20"/>
  <c r="BJ211" i="20"/>
  <c r="BK29" i="20"/>
  <c r="BI212" i="20"/>
  <c r="BL221" i="20"/>
  <c r="BK95" i="20"/>
  <c r="BO251" i="20"/>
  <c r="BQ401" i="20"/>
  <c r="BM609" i="20"/>
  <c r="BI533" i="20"/>
  <c r="BK229" i="20"/>
  <c r="BL224" i="20"/>
  <c r="BQ567" i="20"/>
  <c r="BL301" i="20"/>
  <c r="BP403" i="20"/>
  <c r="BP537" i="20"/>
  <c r="BI101" i="20"/>
  <c r="BJ23" i="20"/>
  <c r="BI335" i="20"/>
  <c r="BI97" i="20"/>
  <c r="BK227" i="20"/>
  <c r="BQ367" i="20"/>
  <c r="BJ293" i="20"/>
  <c r="BJ100" i="20"/>
  <c r="BQ252" i="20"/>
  <c r="BJ578" i="20"/>
  <c r="BM581" i="20"/>
  <c r="BR476" i="20"/>
  <c r="BP348" i="20"/>
  <c r="BJ236" i="20"/>
  <c r="BL205" i="20"/>
  <c r="BI33" i="20"/>
  <c r="BQ399" i="20"/>
  <c r="BQ591" i="20"/>
  <c r="BJ338" i="20"/>
  <c r="BQ540" i="20"/>
  <c r="BJ26" i="20"/>
  <c r="BI103" i="20"/>
  <c r="BK534" i="20"/>
  <c r="BI579" i="20"/>
  <c r="BJ108" i="20"/>
  <c r="BK520" i="20"/>
  <c r="BO536" i="20"/>
  <c r="BL328" i="20"/>
  <c r="BI250" i="20"/>
  <c r="BL577" i="20"/>
  <c r="BL240" i="20"/>
  <c r="BP539" i="20"/>
  <c r="BL337" i="20"/>
  <c r="BI305" i="20"/>
  <c r="BI32" i="20"/>
  <c r="BL608" i="20"/>
  <c r="BL75" i="20"/>
  <c r="BM563" i="20"/>
  <c r="BI139" i="20"/>
  <c r="BK284" i="20"/>
  <c r="BQ369" i="20"/>
  <c r="BR490" i="20"/>
  <c r="BK28" i="20"/>
  <c r="BR346" i="20"/>
  <c r="BK244" i="20"/>
  <c r="BL580" i="20"/>
  <c r="BI93" i="20"/>
  <c r="BR492" i="20"/>
  <c r="BP349" i="20"/>
  <c r="BJ242" i="20"/>
  <c r="BI233" i="20"/>
  <c r="BO343" i="20"/>
  <c r="BL237" i="20"/>
  <c r="BL222" i="20"/>
  <c r="BN518" i="20"/>
  <c r="BN555" i="20"/>
  <c r="BI246" i="20"/>
  <c r="BQ495" i="20"/>
  <c r="BK307" i="20"/>
  <c r="BP376" i="20"/>
  <c r="BO44" i="20"/>
  <c r="BL239" i="20"/>
  <c r="BJ249" i="20"/>
  <c r="BI292" i="20"/>
  <c r="BI575" i="20"/>
  <c r="BJ25" i="20"/>
  <c r="BI330" i="20"/>
  <c r="BK614" i="20"/>
  <c r="BJ576" i="20"/>
  <c r="BR486" i="20"/>
  <c r="BR549" i="20"/>
  <c r="BQ538" i="20"/>
  <c r="BQ345" i="20"/>
  <c r="BJ98" i="20"/>
  <c r="BI326" i="20"/>
  <c r="BR479" i="20"/>
  <c r="BI34" i="20"/>
  <c r="BR474" i="20"/>
  <c r="BJ9" i="20"/>
  <c r="BQ593" i="20"/>
  <c r="BP548" i="20"/>
  <c r="BR477" i="20"/>
  <c r="BN223" i="20"/>
  <c r="BJ109" i="20"/>
  <c r="BP13" i="20"/>
  <c r="BJ105" i="20"/>
  <c r="BP569" i="20"/>
  <c r="BO374" i="20"/>
  <c r="BK74" i="20"/>
  <c r="BK411" i="20"/>
  <c r="BJ564" i="20"/>
  <c r="AC5" i="20"/>
  <c r="BJ5" i="20"/>
  <c r="BK231" i="20"/>
  <c r="BP372" i="20"/>
  <c r="BL512" i="20"/>
  <c r="BI206" i="20"/>
  <c r="BR409" i="20"/>
  <c r="BR592" i="20"/>
  <c r="BI532" i="20"/>
  <c r="BK561" i="20"/>
  <c r="BK24" i="20"/>
  <c r="BJ215" i="20"/>
  <c r="BJ31" i="20"/>
  <c r="BR402" i="20"/>
  <c r="BR504" i="20"/>
  <c r="BK60" i="20"/>
  <c r="BN557" i="20"/>
  <c r="BI340" i="20"/>
  <c r="BJ138" i="20"/>
  <c r="BL339" i="20"/>
  <c r="BQ406" i="20"/>
  <c r="BK61" i="20"/>
  <c r="BJ225" i="20"/>
  <c r="BK102" i="20"/>
  <c r="BP382" i="20"/>
  <c r="BJ304" i="20"/>
  <c r="BJ214" i="20"/>
  <c r="BK519" i="20"/>
  <c r="BK464" i="20"/>
  <c r="BI134" i="20"/>
  <c r="BJ228" i="20"/>
  <c r="BR498" i="20"/>
  <c r="BI278" i="20"/>
  <c r="BL232" i="20"/>
  <c r="BI94" i="20"/>
  <c r="BP550" i="20"/>
  <c r="BR484" i="20"/>
  <c r="BQ568" i="20"/>
  <c r="BJ104" i="20"/>
  <c r="BK136" i="20"/>
  <c r="BQ589" i="20"/>
  <c r="BK135" i="20"/>
  <c r="BI10" i="20"/>
  <c r="BQ366" i="20"/>
  <c r="BL611" i="20"/>
  <c r="BL612" i="20"/>
  <c r="BM140" i="20"/>
  <c r="BL219" i="20"/>
  <c r="BI235" i="20"/>
  <c r="BI309" i="20"/>
  <c r="BP400" i="20"/>
  <c r="BK299" i="20"/>
  <c r="BP570" i="20"/>
  <c r="BK218" i="20"/>
  <c r="BI107" i="20"/>
  <c r="BQ407" i="20"/>
  <c r="BI243" i="20"/>
  <c r="BK613" i="20"/>
  <c r="BR491" i="20"/>
  <c r="BK306" i="20"/>
  <c r="BP368" i="20"/>
  <c r="BM217" i="20"/>
  <c r="BI562" i="20"/>
  <c r="BK516" i="20"/>
  <c r="BL73" i="20"/>
  <c r="BK8" i="20"/>
  <c r="BL511" i="20"/>
  <c r="BP49" i="20"/>
  <c r="AM50" i="20" l="1"/>
  <c r="AL50" i="20"/>
  <c r="AM345" i="20"/>
  <c r="AL345" i="20"/>
  <c r="AL367" i="20"/>
  <c r="AM367" i="20"/>
  <c r="AM378" i="20"/>
  <c r="AL378" i="20"/>
  <c r="AM538" i="20"/>
  <c r="AL538" i="20"/>
  <c r="AL567" i="20"/>
  <c r="AM567" i="20"/>
  <c r="AL405" i="20"/>
  <c r="AM405" i="20"/>
  <c r="AL591" i="20"/>
  <c r="AM591" i="20"/>
  <c r="AM568" i="20"/>
  <c r="AL568" i="20"/>
  <c r="AL406" i="20"/>
  <c r="AM406" i="20"/>
  <c r="AL369" i="20"/>
  <c r="AM369" i="20"/>
  <c r="AM399" i="20"/>
  <c r="AL399" i="20"/>
  <c r="AM252" i="20"/>
  <c r="AL252" i="20"/>
  <c r="AM52" i="20"/>
  <c r="AL52" i="20"/>
  <c r="AM11" i="20"/>
  <c r="AL11" i="20"/>
  <c r="AM593" i="20"/>
  <c r="AL593" i="20"/>
  <c r="AL401" i="20"/>
  <c r="AM401" i="20"/>
  <c r="AL493" i="20"/>
  <c r="AM493" i="20"/>
  <c r="AM589" i="20"/>
  <c r="AL589" i="20"/>
  <c r="AL495" i="20"/>
  <c r="AM495" i="20"/>
  <c r="AM540" i="20"/>
  <c r="AL540" i="20"/>
  <c r="AM46" i="20"/>
  <c r="AL46" i="20"/>
  <c r="AM566" i="20"/>
  <c r="AL566" i="20"/>
  <c r="AM407" i="20"/>
  <c r="AL407" i="20"/>
  <c r="AL366" i="20"/>
  <c r="AM366" i="20"/>
  <c r="AM408" i="20"/>
  <c r="AL408" i="20"/>
  <c r="BJ234" i="20"/>
  <c r="BP379" i="20"/>
  <c r="BR11" i="20"/>
  <c r="BK7" i="20"/>
  <c r="BP253" i="20"/>
  <c r="BJ72" i="20"/>
  <c r="BJ106" i="20"/>
  <c r="BK209" i="20"/>
  <c r="BP347" i="20"/>
  <c r="BQ588" i="20"/>
  <c r="BR52" i="20"/>
  <c r="BJ334" i="20"/>
  <c r="BK277" i="20"/>
  <c r="BL255" i="20"/>
  <c r="BQ47" i="20"/>
  <c r="BQ590" i="20"/>
  <c r="BL279" i="20"/>
  <c r="BM92" i="20"/>
  <c r="BN554" i="20"/>
  <c r="BQ381" i="20"/>
  <c r="BK247" i="20"/>
  <c r="BJ310" i="20"/>
  <c r="BP45" i="20"/>
  <c r="BK99" i="20"/>
  <c r="BK213" i="20"/>
  <c r="BP51" i="20"/>
  <c r="BP412" i="20"/>
  <c r="BQ377" i="20"/>
  <c r="BK30" i="20"/>
  <c r="BN556" i="20"/>
  <c r="BL333" i="20"/>
  <c r="BK208" i="20"/>
  <c r="BL137" i="20"/>
  <c r="BN241" i="20"/>
  <c r="BJ96" i="20"/>
  <c r="BJ303" i="20"/>
  <c r="BP370" i="20"/>
  <c r="BL230" i="20"/>
  <c r="BN558" i="20"/>
  <c r="BR566" i="20"/>
  <c r="BP375" i="20"/>
  <c r="BQ300" i="20"/>
  <c r="BN140" i="20"/>
  <c r="BL231" i="20"/>
  <c r="BL136" i="20"/>
  <c r="BM232" i="20"/>
  <c r="BK304" i="20"/>
  <c r="BJ206" i="20"/>
  <c r="BR538" i="20"/>
  <c r="BK576" i="20"/>
  <c r="BK25" i="20"/>
  <c r="BM239" i="20"/>
  <c r="BL307" i="20"/>
  <c r="BM222" i="20"/>
  <c r="BM608" i="20"/>
  <c r="BN581" i="20"/>
  <c r="BQ537" i="20"/>
  <c r="BM224" i="20"/>
  <c r="BN609" i="20"/>
  <c r="BP251" i="20"/>
  <c r="BJ212" i="20"/>
  <c r="BO515" i="20"/>
  <c r="BR408" i="20"/>
  <c r="BR46" i="20"/>
  <c r="BK207" i="20"/>
  <c r="BL332" i="20"/>
  <c r="BL62" i="20"/>
  <c r="BK336" i="20"/>
  <c r="BL8" i="20"/>
  <c r="BJ562" i="20"/>
  <c r="BK228" i="20"/>
  <c r="BM339" i="20"/>
  <c r="BL60" i="20"/>
  <c r="BJ575" i="20"/>
  <c r="BK242" i="20"/>
  <c r="BR369" i="20"/>
  <c r="BM328" i="20"/>
  <c r="BJ579" i="20"/>
  <c r="BK338" i="20"/>
  <c r="BK236" i="20"/>
  <c r="BL311" i="20"/>
  <c r="BL404" i="20"/>
  <c r="BK308" i="20"/>
  <c r="BL516" i="20"/>
  <c r="BR540" i="20"/>
  <c r="BQ570" i="20"/>
  <c r="AD5" i="20"/>
  <c r="BK5" i="20"/>
  <c r="BQ349" i="20"/>
  <c r="BJ97" i="20"/>
  <c r="BL29" i="20"/>
  <c r="BJ216" i="20"/>
  <c r="BQ371" i="20"/>
  <c r="BK319" i="20"/>
  <c r="BJ134" i="20"/>
  <c r="BL411" i="20"/>
  <c r="BM612" i="20"/>
  <c r="BK225" i="20"/>
  <c r="BQ548" i="20"/>
  <c r="BN217" i="20"/>
  <c r="BR407" i="20"/>
  <c r="BM611" i="20"/>
  <c r="BQ382" i="20"/>
  <c r="BK31" i="20"/>
  <c r="BM512" i="20"/>
  <c r="BR593" i="20"/>
  <c r="BJ34" i="20"/>
  <c r="BJ246" i="20"/>
  <c r="BM577" i="20"/>
  <c r="BK293" i="20"/>
  <c r="BQ403" i="20"/>
  <c r="BQ12" i="20"/>
  <c r="BQ49" i="20"/>
  <c r="BJ309" i="20"/>
  <c r="BR366" i="20"/>
  <c r="BQ550" i="20"/>
  <c r="BL61" i="20"/>
  <c r="BK564" i="20"/>
  <c r="BO223" i="20"/>
  <c r="BL614" i="20"/>
  <c r="BP44" i="20"/>
  <c r="BR495" i="20"/>
  <c r="BO555" i="20"/>
  <c r="BP343" i="20"/>
  <c r="BQ348" i="20"/>
  <c r="BK578" i="20"/>
  <c r="BL95" i="20"/>
  <c r="BL565" i="20"/>
  <c r="BL256" i="20"/>
  <c r="BN342" i="20"/>
  <c r="BK302" i="20"/>
  <c r="BL331" i="20"/>
  <c r="BJ235" i="20"/>
  <c r="BQ569" i="20"/>
  <c r="BR345" i="20"/>
  <c r="BM205" i="20"/>
  <c r="BL306" i="20"/>
  <c r="BJ243" i="20"/>
  <c r="BL218" i="20"/>
  <c r="BJ10" i="20"/>
  <c r="BL464" i="20"/>
  <c r="BL24" i="20"/>
  <c r="BJ278" i="20"/>
  <c r="BL519" i="20"/>
  <c r="BL74" i="20"/>
  <c r="BK105" i="20"/>
  <c r="BM237" i="20"/>
  <c r="BJ93" i="20"/>
  <c r="BN563" i="20"/>
  <c r="BP536" i="20"/>
  <c r="BR591" i="20"/>
  <c r="BJ33" i="20"/>
  <c r="BK23" i="20"/>
  <c r="BL229" i="20"/>
  <c r="BR401" i="20"/>
  <c r="BM73" i="20"/>
  <c r="BM219" i="20"/>
  <c r="BL135" i="20"/>
  <c r="BK104" i="20"/>
  <c r="BK214" i="20"/>
  <c r="BK138" i="20"/>
  <c r="BK215" i="20"/>
  <c r="BL561" i="20"/>
  <c r="BQ372" i="20"/>
  <c r="BJ330" i="20"/>
  <c r="BJ292" i="20"/>
  <c r="BQ376" i="20"/>
  <c r="BM580" i="20"/>
  <c r="BL284" i="20"/>
  <c r="BJ32" i="20"/>
  <c r="BM337" i="20"/>
  <c r="BK26" i="20"/>
  <c r="BR367" i="20"/>
  <c r="BM301" i="20"/>
  <c r="BJ329" i="20"/>
  <c r="BP380" i="20"/>
  <c r="BP344" i="20"/>
  <c r="BL341" i="20"/>
  <c r="BL210" i="20"/>
  <c r="BK6" i="20"/>
  <c r="AD6" i="20"/>
  <c r="BJ298" i="20"/>
  <c r="BQ368" i="20"/>
  <c r="BL613" i="20"/>
  <c r="BL299" i="20"/>
  <c r="BR589" i="20"/>
  <c r="BL102" i="20"/>
  <c r="BR406" i="20"/>
  <c r="BJ340" i="20"/>
  <c r="BP374" i="20"/>
  <c r="BQ13" i="20"/>
  <c r="BK9" i="20"/>
  <c r="BK98" i="20"/>
  <c r="BO518" i="20"/>
  <c r="BJ233" i="20"/>
  <c r="BL244" i="20"/>
  <c r="BL28" i="20"/>
  <c r="BM75" i="20"/>
  <c r="BQ539" i="20"/>
  <c r="BL520" i="20"/>
  <c r="BL534" i="20"/>
  <c r="BJ335" i="20"/>
  <c r="BM221" i="20"/>
  <c r="BK211" i="20"/>
  <c r="BR378" i="20"/>
  <c r="BN226" i="20"/>
  <c r="BQ410" i="20"/>
  <c r="BL517" i="20"/>
  <c r="BM535" i="20"/>
  <c r="BM513" i="20"/>
  <c r="BN220" i="20"/>
  <c r="BM511" i="20"/>
  <c r="BQ400" i="20"/>
  <c r="BJ94" i="20"/>
  <c r="BK109" i="20"/>
  <c r="BJ250" i="20"/>
  <c r="BR252" i="20"/>
  <c r="BL227" i="20"/>
  <c r="BJ101" i="20"/>
  <c r="BR567" i="20"/>
  <c r="BJ533" i="20"/>
  <c r="BM610" i="20"/>
  <c r="BQ541" i="20"/>
  <c r="BO514" i="20"/>
  <c r="BL325" i="20"/>
  <c r="BL248" i="20"/>
  <c r="BR405" i="20"/>
  <c r="BL318" i="20"/>
  <c r="BJ107" i="20"/>
  <c r="BR568" i="20"/>
  <c r="BJ305" i="20"/>
  <c r="BO557" i="20"/>
  <c r="BJ532" i="20"/>
  <c r="BJ326" i="20"/>
  <c r="BK249" i="20"/>
  <c r="BJ139" i="20"/>
  <c r="BM240" i="20"/>
  <c r="BK108" i="20"/>
  <c r="BJ103" i="20"/>
  <c r="BR399" i="20"/>
  <c r="BK100" i="20"/>
  <c r="BL280" i="20"/>
  <c r="BL27" i="20"/>
  <c r="BN238" i="20"/>
  <c r="BK245" i="20"/>
  <c r="BL254" i="20"/>
  <c r="BL327" i="20"/>
  <c r="AL548" i="20" l="1"/>
  <c r="AM548" i="20"/>
  <c r="AL541" i="20"/>
  <c r="AM541" i="20"/>
  <c r="BR381" i="20"/>
  <c r="AM590" i="20"/>
  <c r="AL590" i="20"/>
  <c r="AM400" i="20"/>
  <c r="AL400" i="20"/>
  <c r="AL348" i="20"/>
  <c r="AM348" i="20"/>
  <c r="AM550" i="20"/>
  <c r="AL550" i="20"/>
  <c r="AM12" i="20"/>
  <c r="AL12" i="20"/>
  <c r="AM570" i="20"/>
  <c r="AL570" i="20"/>
  <c r="BR47" i="20"/>
  <c r="AM368" i="20"/>
  <c r="AL368" i="20"/>
  <c r="AM403" i="20"/>
  <c r="AL403" i="20"/>
  <c r="AM382" i="20"/>
  <c r="AL382" i="20"/>
  <c r="AM588" i="20"/>
  <c r="AL588" i="20"/>
  <c r="AM376" i="20"/>
  <c r="AL376" i="20"/>
  <c r="AM300" i="20"/>
  <c r="AL300" i="20"/>
  <c r="AL539" i="20"/>
  <c r="AM539" i="20"/>
  <c r="AL410" i="20"/>
  <c r="AM410" i="20"/>
  <c r="AM371" i="20"/>
  <c r="AL371" i="20"/>
  <c r="AM349" i="20"/>
  <c r="AL349" i="20"/>
  <c r="AM13" i="20"/>
  <c r="AL13" i="20"/>
  <c r="AM372" i="20"/>
  <c r="AL372" i="20"/>
  <c r="AL569" i="20"/>
  <c r="AM569" i="20"/>
  <c r="AL49" i="20"/>
  <c r="AM49" i="20"/>
  <c r="AM537" i="20"/>
  <c r="AL537" i="20"/>
  <c r="AM377" i="20"/>
  <c r="AL377" i="20"/>
  <c r="BK234" i="20"/>
  <c r="BQ379" i="20"/>
  <c r="BQ253" i="20"/>
  <c r="BL7" i="20"/>
  <c r="BR377" i="20"/>
  <c r="BL99" i="20"/>
  <c r="BL209" i="20"/>
  <c r="BL213" i="20"/>
  <c r="BK96" i="20"/>
  <c r="BL277" i="20"/>
  <c r="BK106" i="20"/>
  <c r="BR300" i="20"/>
  <c r="BO558" i="20"/>
  <c r="BM333" i="20"/>
  <c r="BR590" i="20"/>
  <c r="BK303" i="20"/>
  <c r="BL208" i="20"/>
  <c r="BM279" i="20"/>
  <c r="BM230" i="20"/>
  <c r="BO241" i="20"/>
  <c r="BQ412" i="20"/>
  <c r="BQ45" i="20"/>
  <c r="BQ375" i="20"/>
  <c r="BO554" i="20"/>
  <c r="BK334" i="20"/>
  <c r="BR588" i="20"/>
  <c r="BK72" i="20"/>
  <c r="BQ370" i="20"/>
  <c r="BO556" i="20"/>
  <c r="BQ51" i="20"/>
  <c r="BK310" i="20"/>
  <c r="BN92" i="20"/>
  <c r="BQ347" i="20"/>
  <c r="BM255" i="20"/>
  <c r="BM137" i="20"/>
  <c r="BL30" i="20"/>
  <c r="BL247" i="20"/>
  <c r="BK250" i="20"/>
  <c r="BL26" i="20"/>
  <c r="BM327" i="20"/>
  <c r="BK103" i="20"/>
  <c r="BK139" i="20"/>
  <c r="BM325" i="20"/>
  <c r="BN610" i="20"/>
  <c r="BK335" i="20"/>
  <c r="BM244" i="20"/>
  <c r="BL9" i="20"/>
  <c r="BL6" i="20"/>
  <c r="AE6" i="20"/>
  <c r="BQ380" i="20"/>
  <c r="BK330" i="20"/>
  <c r="BN219" i="20"/>
  <c r="BL105" i="20"/>
  <c r="BM218" i="20"/>
  <c r="BM331" i="20"/>
  <c r="BK34" i="20"/>
  <c r="BL225" i="20"/>
  <c r="BM29" i="20"/>
  <c r="BR570" i="20"/>
  <c r="BL308" i="20"/>
  <c r="BL236" i="20"/>
  <c r="BK575" i="20"/>
  <c r="BL336" i="20"/>
  <c r="BO609" i="20"/>
  <c r="BK33" i="20"/>
  <c r="BM27" i="20"/>
  <c r="BL249" i="20"/>
  <c r="BK305" i="20"/>
  <c r="BM318" i="20"/>
  <c r="BN511" i="20"/>
  <c r="BM517" i="20"/>
  <c r="BR539" i="20"/>
  <c r="BK233" i="20"/>
  <c r="BN337" i="20"/>
  <c r="BN580" i="20"/>
  <c r="BL138" i="20"/>
  <c r="BP555" i="20"/>
  <c r="BM614" i="20"/>
  <c r="BM61" i="20"/>
  <c r="BR49" i="20"/>
  <c r="BL319" i="20"/>
  <c r="BN328" i="20"/>
  <c r="BN224" i="20"/>
  <c r="BN608" i="20"/>
  <c r="BL25" i="20"/>
  <c r="BN232" i="20"/>
  <c r="BK292" i="20"/>
  <c r="BQ343" i="20"/>
  <c r="BM254" i="20"/>
  <c r="BM227" i="20"/>
  <c r="BL109" i="20"/>
  <c r="BM299" i="20"/>
  <c r="BM210" i="20"/>
  <c r="BK329" i="20"/>
  <c r="BL214" i="20"/>
  <c r="BL302" i="20"/>
  <c r="BM95" i="20"/>
  <c r="BR550" i="20"/>
  <c r="BL31" i="20"/>
  <c r="BN612" i="20"/>
  <c r="BK97" i="20"/>
  <c r="BM404" i="20"/>
  <c r="BP515" i="20"/>
  <c r="BP557" i="20"/>
  <c r="BM248" i="20"/>
  <c r="BN535" i="20"/>
  <c r="BK340" i="20"/>
  <c r="BL228" i="20"/>
  <c r="BL207" i="20"/>
  <c r="BL100" i="20"/>
  <c r="BL108" i="20"/>
  <c r="BK326" i="20"/>
  <c r="BP514" i="20"/>
  <c r="BK533" i="20"/>
  <c r="BR410" i="20"/>
  <c r="BL211" i="20"/>
  <c r="BM534" i="20"/>
  <c r="BN75" i="20"/>
  <c r="BR13" i="20"/>
  <c r="BM102" i="20"/>
  <c r="BM613" i="20"/>
  <c r="BK32" i="20"/>
  <c r="BR372" i="20"/>
  <c r="BM229" i="20"/>
  <c r="BK93" i="20"/>
  <c r="BM74" i="20"/>
  <c r="BM24" i="20"/>
  <c r="BK243" i="20"/>
  <c r="BR569" i="20"/>
  <c r="BL578" i="20"/>
  <c r="BP223" i="20"/>
  <c r="BN577" i="20"/>
  <c r="BM411" i="20"/>
  <c r="BL338" i="20"/>
  <c r="BM60" i="20"/>
  <c r="BK562" i="20"/>
  <c r="BM62" i="20"/>
  <c r="BR537" i="20"/>
  <c r="BM136" i="20"/>
  <c r="BK101" i="20"/>
  <c r="BO563" i="20"/>
  <c r="BL245" i="20"/>
  <c r="BR541" i="20"/>
  <c r="BK94" i="20"/>
  <c r="BO220" i="20"/>
  <c r="BM520" i="20"/>
  <c r="BP518" i="20"/>
  <c r="BQ374" i="20"/>
  <c r="BK298" i="20"/>
  <c r="BM341" i="20"/>
  <c r="BM561" i="20"/>
  <c r="BL104" i="20"/>
  <c r="BQ536" i="20"/>
  <c r="BM519" i="20"/>
  <c r="BM306" i="20"/>
  <c r="BO342" i="20"/>
  <c r="BR12" i="20"/>
  <c r="BR382" i="20"/>
  <c r="BO217" i="20"/>
  <c r="BR371" i="20"/>
  <c r="BR349" i="20"/>
  <c r="BK212" i="20"/>
  <c r="BN222" i="20"/>
  <c r="BL576" i="20"/>
  <c r="BK206" i="20"/>
  <c r="BM231" i="20"/>
  <c r="BL293" i="20"/>
  <c r="BN239" i="20"/>
  <c r="BN513" i="20"/>
  <c r="BN221" i="20"/>
  <c r="BM28" i="20"/>
  <c r="BR368" i="20"/>
  <c r="BN301" i="20"/>
  <c r="BM284" i="20"/>
  <c r="BR376" i="20"/>
  <c r="BN73" i="20"/>
  <c r="BL23" i="20"/>
  <c r="BN237" i="20"/>
  <c r="BM464" i="20"/>
  <c r="BK235" i="20"/>
  <c r="BM256" i="20"/>
  <c r="BR403" i="20"/>
  <c r="BK246" i="20"/>
  <c r="BN512" i="20"/>
  <c r="BN611" i="20"/>
  <c r="BR548" i="20"/>
  <c r="BM311" i="20"/>
  <c r="BN339" i="20"/>
  <c r="BM8" i="20"/>
  <c r="BM332" i="20"/>
  <c r="BO140" i="20"/>
  <c r="BM135" i="20"/>
  <c r="BM565" i="20"/>
  <c r="BK309" i="20"/>
  <c r="BK579" i="20"/>
  <c r="BK532" i="20"/>
  <c r="BO238" i="20"/>
  <c r="BM280" i="20"/>
  <c r="BN240" i="20"/>
  <c r="BK107" i="20"/>
  <c r="BR400" i="20"/>
  <c r="BO226" i="20"/>
  <c r="BL98" i="20"/>
  <c r="BQ344" i="20"/>
  <c r="BL215" i="20"/>
  <c r="BK278" i="20"/>
  <c r="BK10" i="20"/>
  <c r="BN205" i="20"/>
  <c r="BR348" i="20"/>
  <c r="BQ44" i="20"/>
  <c r="BL564" i="20"/>
  <c r="BK134" i="20"/>
  <c r="BK216" i="20"/>
  <c r="AE5" i="20"/>
  <c r="BL5" i="20"/>
  <c r="BM516" i="20"/>
  <c r="BL242" i="20"/>
  <c r="BQ251" i="20"/>
  <c r="BO581" i="20"/>
  <c r="BM307" i="20"/>
  <c r="BL304" i="20"/>
  <c r="AM44" i="20" l="1"/>
  <c r="AL44" i="20"/>
  <c r="BR45" i="20"/>
  <c r="AL374" i="20"/>
  <c r="AM374" i="20"/>
  <c r="AM51" i="20"/>
  <c r="AL51" i="20"/>
  <c r="AM412" i="20"/>
  <c r="AL412" i="20"/>
  <c r="AM47" i="20"/>
  <c r="AL47" i="20"/>
  <c r="AM381" i="20"/>
  <c r="AL381" i="20"/>
  <c r="AM251" i="20"/>
  <c r="AL251" i="20"/>
  <c r="AM344" i="20"/>
  <c r="AL344" i="20"/>
  <c r="AM343" i="20"/>
  <c r="AL343" i="20"/>
  <c r="BR347" i="20"/>
  <c r="BR253" i="20"/>
  <c r="AM380" i="20"/>
  <c r="AL380" i="20"/>
  <c r="BR370" i="20"/>
  <c r="AM379" i="20"/>
  <c r="AL379" i="20"/>
  <c r="AM375" i="20"/>
  <c r="AL375" i="20"/>
  <c r="AL536" i="20"/>
  <c r="AM536" i="20"/>
  <c r="BL234" i="20"/>
  <c r="BR379" i="20"/>
  <c r="BM7" i="20"/>
  <c r="BM213" i="20"/>
  <c r="BO92" i="20"/>
  <c r="BN279" i="20"/>
  <c r="BL106" i="20"/>
  <c r="BM209" i="20"/>
  <c r="BN255" i="20"/>
  <c r="BL310" i="20"/>
  <c r="BL334" i="20"/>
  <c r="BR412" i="20"/>
  <c r="BN333" i="20"/>
  <c r="BM247" i="20"/>
  <c r="BP554" i="20"/>
  <c r="BM208" i="20"/>
  <c r="BM277" i="20"/>
  <c r="BM99" i="20"/>
  <c r="BM30" i="20"/>
  <c r="BR51" i="20"/>
  <c r="BL303" i="20"/>
  <c r="BP558" i="20"/>
  <c r="BL96" i="20"/>
  <c r="BP556" i="20"/>
  <c r="BL72" i="20"/>
  <c r="BR375" i="20"/>
  <c r="BP241" i="20"/>
  <c r="BN137" i="20"/>
  <c r="BN230" i="20"/>
  <c r="BL216" i="20"/>
  <c r="BQ557" i="20"/>
  <c r="BL97" i="20"/>
  <c r="BM214" i="20"/>
  <c r="BN61" i="20"/>
  <c r="BM336" i="20"/>
  <c r="BM308" i="20"/>
  <c r="AF6" i="20"/>
  <c r="BM6" i="20"/>
  <c r="BO610" i="20"/>
  <c r="BL250" i="20"/>
  <c r="BL278" i="20"/>
  <c r="BM98" i="20"/>
  <c r="BL107" i="20"/>
  <c r="BN565" i="20"/>
  <c r="BN311" i="20"/>
  <c r="BO512" i="20"/>
  <c r="BN256" i="20"/>
  <c r="BM23" i="20"/>
  <c r="BN28" i="20"/>
  <c r="BM293" i="20"/>
  <c r="BL212" i="20"/>
  <c r="BR536" i="20"/>
  <c r="BN341" i="20"/>
  <c r="BN136" i="20"/>
  <c r="BN411" i="20"/>
  <c r="BN74" i="20"/>
  <c r="BN102" i="20"/>
  <c r="BN534" i="20"/>
  <c r="BQ514" i="20"/>
  <c r="BM100" i="20"/>
  <c r="BO612" i="20"/>
  <c r="BO328" i="20"/>
  <c r="BN331" i="20"/>
  <c r="BL103" i="20"/>
  <c r="BN307" i="20"/>
  <c r="BO339" i="20"/>
  <c r="BN284" i="20"/>
  <c r="BN519" i="20"/>
  <c r="BO240" i="20"/>
  <c r="BL532" i="20"/>
  <c r="BL206" i="20"/>
  <c r="BP217" i="20"/>
  <c r="BN520" i="20"/>
  <c r="BL562" i="20"/>
  <c r="BM211" i="20"/>
  <c r="BM207" i="20"/>
  <c r="BN299" i="20"/>
  <c r="BN254" i="20"/>
  <c r="BM319" i="20"/>
  <c r="BN517" i="20"/>
  <c r="BL305" i="20"/>
  <c r="BN218" i="20"/>
  <c r="BL330" i="20"/>
  <c r="BN325" i="20"/>
  <c r="BM242" i="20"/>
  <c r="BN318" i="20"/>
  <c r="BP581" i="20"/>
  <c r="BN516" i="20"/>
  <c r="BL134" i="20"/>
  <c r="BO205" i="20"/>
  <c r="BP226" i="20"/>
  <c r="BN332" i="20"/>
  <c r="BL246" i="20"/>
  <c r="BL235" i="20"/>
  <c r="BO73" i="20"/>
  <c r="BO221" i="20"/>
  <c r="BP342" i="20"/>
  <c r="BM245" i="20"/>
  <c r="BN60" i="20"/>
  <c r="BO577" i="20"/>
  <c r="BL340" i="20"/>
  <c r="BM31" i="20"/>
  <c r="BM109" i="20"/>
  <c r="BO232" i="20"/>
  <c r="BO224" i="20"/>
  <c r="BN614" i="20"/>
  <c r="BL575" i="20"/>
  <c r="BM225" i="20"/>
  <c r="BM9" i="20"/>
  <c r="BN327" i="20"/>
  <c r="BO239" i="20"/>
  <c r="BO337" i="20"/>
  <c r="BN280" i="20"/>
  <c r="BL579" i="20"/>
  <c r="BN464" i="20"/>
  <c r="BM576" i="20"/>
  <c r="BL298" i="20"/>
  <c r="BP220" i="20"/>
  <c r="BP563" i="20"/>
  <c r="BL93" i="20"/>
  <c r="BL32" i="20"/>
  <c r="BO535" i="20"/>
  <c r="BQ515" i="20"/>
  <c r="BN95" i="20"/>
  <c r="BR343" i="20"/>
  <c r="BQ555" i="20"/>
  <c r="BM138" i="20"/>
  <c r="BO511" i="20"/>
  <c r="BM249" i="20"/>
  <c r="BM105" i="20"/>
  <c r="BN244" i="20"/>
  <c r="BN24" i="20"/>
  <c r="BL533" i="20"/>
  <c r="BO608" i="20"/>
  <c r="BM564" i="20"/>
  <c r="BM215" i="20"/>
  <c r="BM304" i="20"/>
  <c r="BR251" i="20"/>
  <c r="AF5" i="20"/>
  <c r="BM5" i="20"/>
  <c r="BN135" i="20"/>
  <c r="BO301" i="20"/>
  <c r="BO513" i="20"/>
  <c r="BM104" i="20"/>
  <c r="BL94" i="20"/>
  <c r="BQ223" i="20"/>
  <c r="BN229" i="20"/>
  <c r="BL326" i="20"/>
  <c r="BM228" i="20"/>
  <c r="BN404" i="20"/>
  <c r="BN227" i="20"/>
  <c r="BO580" i="20"/>
  <c r="BL233" i="20"/>
  <c r="BN27" i="20"/>
  <c r="BP609" i="20"/>
  <c r="BM236" i="20"/>
  <c r="BP140" i="20"/>
  <c r="BN8" i="20"/>
  <c r="BO611" i="20"/>
  <c r="BO237" i="20"/>
  <c r="BO222" i="20"/>
  <c r="BN306" i="20"/>
  <c r="BR374" i="20"/>
  <c r="BN62" i="20"/>
  <c r="BM338" i="20"/>
  <c r="BL243" i="20"/>
  <c r="BM108" i="20"/>
  <c r="BN248" i="20"/>
  <c r="BL329" i="20"/>
  <c r="BN29" i="20"/>
  <c r="BO219" i="20"/>
  <c r="BR380" i="20"/>
  <c r="BL335" i="20"/>
  <c r="BL139" i="20"/>
  <c r="BM26" i="20"/>
  <c r="BR44" i="20"/>
  <c r="BL10" i="20"/>
  <c r="BR344" i="20"/>
  <c r="BP238" i="20"/>
  <c r="BL309" i="20"/>
  <c r="BN231" i="20"/>
  <c r="BN561" i="20"/>
  <c r="BQ518" i="20"/>
  <c r="BL101" i="20"/>
  <c r="BM578" i="20"/>
  <c r="BN613" i="20"/>
  <c r="BO75" i="20"/>
  <c r="BM302" i="20"/>
  <c r="BN210" i="20"/>
  <c r="BL292" i="20"/>
  <c r="BM25" i="20"/>
  <c r="BL33" i="20"/>
  <c r="BL34" i="20"/>
  <c r="AL253" i="20" l="1"/>
  <c r="AM253" i="20"/>
  <c r="AL555" i="20"/>
  <c r="AM555" i="20"/>
  <c r="AL347" i="20"/>
  <c r="AM347" i="20"/>
  <c r="AM557" i="20"/>
  <c r="AL557" i="20"/>
  <c r="AL370" i="20"/>
  <c r="AM370" i="20"/>
  <c r="AL45" i="20"/>
  <c r="AM45" i="20"/>
  <c r="AM223" i="20"/>
  <c r="AL223" i="20"/>
  <c r="AM518" i="20"/>
  <c r="AL518" i="20"/>
  <c r="AL515" i="20"/>
  <c r="AM515" i="20"/>
  <c r="AM514" i="20"/>
  <c r="AL514" i="20"/>
  <c r="BM234" i="20"/>
  <c r="F25" i="6"/>
  <c r="E25" i="6"/>
  <c r="BN7" i="20"/>
  <c r="BQ558" i="20"/>
  <c r="BM334" i="20"/>
  <c r="BN99" i="20"/>
  <c r="BN247" i="20"/>
  <c r="BM310" i="20"/>
  <c r="BO230" i="20"/>
  <c r="BM72" i="20"/>
  <c r="BM303" i="20"/>
  <c r="BN277" i="20"/>
  <c r="BO279" i="20"/>
  <c r="BM106" i="20"/>
  <c r="BQ556" i="20"/>
  <c r="BO333" i="20"/>
  <c r="BO137" i="20"/>
  <c r="BO255" i="20"/>
  <c r="BP92" i="20"/>
  <c r="BQ241" i="20"/>
  <c r="BN208" i="20"/>
  <c r="BQ554" i="20"/>
  <c r="BM96" i="20"/>
  <c r="BN30" i="20"/>
  <c r="BN209" i="20"/>
  <c r="BN213" i="20"/>
  <c r="BM34" i="20"/>
  <c r="BQ226" i="20"/>
  <c r="BO404" i="20"/>
  <c r="BO210" i="20"/>
  <c r="BO62" i="20"/>
  <c r="BO27" i="20"/>
  <c r="BN228" i="20"/>
  <c r="BP608" i="20"/>
  <c r="BN9" i="20"/>
  <c r="BN207" i="20"/>
  <c r="BM216" i="20"/>
  <c r="BQ140" i="20"/>
  <c r="BP301" i="20"/>
  <c r="BN304" i="20"/>
  <c r="BN249" i="20"/>
  <c r="BQ220" i="20"/>
  <c r="BP337" i="20"/>
  <c r="BN109" i="20"/>
  <c r="BO218" i="20"/>
  <c r="BN319" i="20"/>
  <c r="BN211" i="20"/>
  <c r="BM206" i="20"/>
  <c r="BO519" i="20"/>
  <c r="BM103" i="20"/>
  <c r="BO534" i="20"/>
  <c r="BO256" i="20"/>
  <c r="BP610" i="20"/>
  <c r="BN302" i="20"/>
  <c r="BM309" i="20"/>
  <c r="BP237" i="20"/>
  <c r="BM533" i="20"/>
  <c r="BP239" i="20"/>
  <c r="BO229" i="20"/>
  <c r="BN564" i="20"/>
  <c r="BR515" i="20"/>
  <c r="BM33" i="20"/>
  <c r="BN578" i="20"/>
  <c r="BO231" i="20"/>
  <c r="BP580" i="20"/>
  <c r="BO244" i="20"/>
  <c r="BP535" i="20"/>
  <c r="BP221" i="20"/>
  <c r="BM134" i="20"/>
  <c r="BP612" i="20"/>
  <c r="BO136" i="20"/>
  <c r="BM212" i="20"/>
  <c r="BM97" i="20"/>
  <c r="BN25" i="20"/>
  <c r="BM101" i="20"/>
  <c r="BM10" i="20"/>
  <c r="BN26" i="20"/>
  <c r="BP219" i="20"/>
  <c r="BM329" i="20"/>
  <c r="BN108" i="20"/>
  <c r="BO227" i="20"/>
  <c r="BM326" i="20"/>
  <c r="BM94" i="20"/>
  <c r="BM32" i="20"/>
  <c r="BN576" i="20"/>
  <c r="BN225" i="20"/>
  <c r="BM340" i="20"/>
  <c r="BQ342" i="20"/>
  <c r="BP73" i="20"/>
  <c r="BO332" i="20"/>
  <c r="BO516" i="20"/>
  <c r="BO102" i="20"/>
  <c r="BP512" i="20"/>
  <c r="BO61" i="20"/>
  <c r="BM575" i="20"/>
  <c r="BP577" i="20"/>
  <c r="BQ581" i="20"/>
  <c r="BO254" i="20"/>
  <c r="BM562" i="20"/>
  <c r="BO28" i="20"/>
  <c r="BO311" i="20"/>
  <c r="BN308" i="20"/>
  <c r="BR557" i="20"/>
  <c r="BP75" i="20"/>
  <c r="BQ238" i="20"/>
  <c r="BO29" i="20"/>
  <c r="BO306" i="20"/>
  <c r="BP611" i="20"/>
  <c r="BQ609" i="20"/>
  <c r="BM233" i="20"/>
  <c r="BN104" i="20"/>
  <c r="BN5" i="20"/>
  <c r="AG5" i="20"/>
  <c r="BN138" i="20"/>
  <c r="BO95" i="20"/>
  <c r="BM93" i="20"/>
  <c r="BM579" i="20"/>
  <c r="BO327" i="20"/>
  <c r="BP224" i="20"/>
  <c r="BN31" i="20"/>
  <c r="BO60" i="20"/>
  <c r="BM235" i="20"/>
  <c r="BO325" i="20"/>
  <c r="BM305" i="20"/>
  <c r="BO299" i="20"/>
  <c r="BO520" i="20"/>
  <c r="BM532" i="20"/>
  <c r="BP339" i="20"/>
  <c r="BN100" i="20"/>
  <c r="BO74" i="20"/>
  <c r="BM278" i="20"/>
  <c r="BN215" i="20"/>
  <c r="BP511" i="20"/>
  <c r="BO464" i="20"/>
  <c r="BO331" i="20"/>
  <c r="BO341" i="20"/>
  <c r="BN6" i="20"/>
  <c r="AG6" i="20"/>
  <c r="BM243" i="20"/>
  <c r="BN236" i="20"/>
  <c r="BN105" i="20"/>
  <c r="BO613" i="20"/>
  <c r="BP205" i="20"/>
  <c r="BO411" i="20"/>
  <c r="BM298" i="20"/>
  <c r="BO284" i="20"/>
  <c r="BO561" i="20"/>
  <c r="BM335" i="20"/>
  <c r="BN338" i="20"/>
  <c r="BP513" i="20"/>
  <c r="BO24" i="20"/>
  <c r="BP328" i="20"/>
  <c r="BR514" i="20"/>
  <c r="BN23" i="20"/>
  <c r="BO565" i="20"/>
  <c r="BN214" i="20"/>
  <c r="BO248" i="20"/>
  <c r="BP222" i="20"/>
  <c r="BO8" i="20"/>
  <c r="BR555" i="20"/>
  <c r="BQ563" i="20"/>
  <c r="BO280" i="20"/>
  <c r="BP232" i="20"/>
  <c r="BN245" i="20"/>
  <c r="BM246" i="20"/>
  <c r="BO318" i="20"/>
  <c r="BM330" i="20"/>
  <c r="BO517" i="20"/>
  <c r="BQ217" i="20"/>
  <c r="BP240" i="20"/>
  <c r="BO307" i="20"/>
  <c r="BM250" i="20"/>
  <c r="BN336" i="20"/>
  <c r="BO135" i="20"/>
  <c r="BO614" i="20"/>
  <c r="BN242" i="20"/>
  <c r="BN293" i="20"/>
  <c r="BN98" i="20"/>
  <c r="BM292" i="20"/>
  <c r="BR518" i="20"/>
  <c r="BM139" i="20"/>
  <c r="BR223" i="20"/>
  <c r="BM107" i="20"/>
  <c r="AM220" i="20" l="1"/>
  <c r="AL220" i="20"/>
  <c r="AM563" i="20"/>
  <c r="AL563" i="20"/>
  <c r="AM581" i="20"/>
  <c r="AL581" i="20"/>
  <c r="AM609" i="20"/>
  <c r="AL609" i="20"/>
  <c r="AL238" i="20"/>
  <c r="AM238" i="20"/>
  <c r="AM226" i="20"/>
  <c r="AL226" i="20"/>
  <c r="AM241" i="20"/>
  <c r="AL241" i="20"/>
  <c r="AM558" i="20"/>
  <c r="AL558" i="20"/>
  <c r="AM342" i="20"/>
  <c r="AL342" i="20"/>
  <c r="AM556" i="20"/>
  <c r="AL556" i="20"/>
  <c r="BR554" i="20"/>
  <c r="AM554" i="20"/>
  <c r="AL554" i="20"/>
  <c r="AM217" i="20"/>
  <c r="AL217" i="20"/>
  <c r="AM140" i="20"/>
  <c r="AL140" i="20"/>
  <c r="BN234" i="20"/>
  <c r="BO7" i="20"/>
  <c r="BO213" i="20"/>
  <c r="BN106" i="20"/>
  <c r="BN72" i="20"/>
  <c r="BP255" i="20"/>
  <c r="BO99" i="20"/>
  <c r="BO209" i="20"/>
  <c r="BP279" i="20"/>
  <c r="BP230" i="20"/>
  <c r="BN334" i="20"/>
  <c r="BO208" i="20"/>
  <c r="BP137" i="20"/>
  <c r="BO30" i="20"/>
  <c r="BR241" i="20"/>
  <c r="BP333" i="20"/>
  <c r="BO277" i="20"/>
  <c r="BN310" i="20"/>
  <c r="BR558" i="20"/>
  <c r="BR556" i="20"/>
  <c r="BN303" i="20"/>
  <c r="BO247" i="20"/>
  <c r="BN96" i="20"/>
  <c r="BQ92" i="20"/>
  <c r="BP614" i="20"/>
  <c r="BQ240" i="20"/>
  <c r="BP561" i="20"/>
  <c r="BN298" i="20"/>
  <c r="BP613" i="20"/>
  <c r="AH6" i="20"/>
  <c r="BO6" i="20"/>
  <c r="BN305" i="20"/>
  <c r="BO31" i="20"/>
  <c r="BN93" i="20"/>
  <c r="BQ75" i="20"/>
  <c r="BP28" i="20"/>
  <c r="BN575" i="20"/>
  <c r="BP516" i="20"/>
  <c r="BP227" i="20"/>
  <c r="BN134" i="20"/>
  <c r="BQ580" i="20"/>
  <c r="BP229" i="20"/>
  <c r="BN309" i="20"/>
  <c r="BN206" i="20"/>
  <c r="BQ337" i="20"/>
  <c r="BO9" i="20"/>
  <c r="BP62" i="20"/>
  <c r="BO242" i="20"/>
  <c r="BP318" i="20"/>
  <c r="BP248" i="20"/>
  <c r="BP24" i="20"/>
  <c r="BO105" i="20"/>
  <c r="BQ339" i="20"/>
  <c r="BO104" i="20"/>
  <c r="BP306" i="20"/>
  <c r="BN340" i="20"/>
  <c r="BO108" i="20"/>
  <c r="BN10" i="20"/>
  <c r="BN212" i="20"/>
  <c r="BR220" i="20"/>
  <c r="BP464" i="20"/>
  <c r="BN532" i="20"/>
  <c r="BQ224" i="20"/>
  <c r="BR581" i="20"/>
  <c r="BO225" i="20"/>
  <c r="BQ221" i="20"/>
  <c r="BQ239" i="20"/>
  <c r="BP534" i="20"/>
  <c r="BO109" i="20"/>
  <c r="BR140" i="20"/>
  <c r="BN246" i="20"/>
  <c r="BO214" i="20"/>
  <c r="BP95" i="20"/>
  <c r="BN233" i="20"/>
  <c r="BP29" i="20"/>
  <c r="BN562" i="20"/>
  <c r="BN94" i="20"/>
  <c r="BQ608" i="20"/>
  <c r="BP210" i="20"/>
  <c r="BR226" i="20"/>
  <c r="BO98" i="20"/>
  <c r="BN250" i="20"/>
  <c r="BP517" i="20"/>
  <c r="BP280" i="20"/>
  <c r="BP8" i="20"/>
  <c r="BQ328" i="20"/>
  <c r="BO236" i="20"/>
  <c r="BQ511" i="20"/>
  <c r="BP74" i="20"/>
  <c r="BP520" i="20"/>
  <c r="BN235" i="20"/>
  <c r="BP327" i="20"/>
  <c r="BQ512" i="20"/>
  <c r="BO576" i="20"/>
  <c r="BN101" i="20"/>
  <c r="BP136" i="20"/>
  <c r="BP231" i="20"/>
  <c r="BQ610" i="20"/>
  <c r="BN103" i="20"/>
  <c r="BO249" i="20"/>
  <c r="BO207" i="20"/>
  <c r="BO302" i="20"/>
  <c r="BN292" i="20"/>
  <c r="BN329" i="20"/>
  <c r="BN139" i="20"/>
  <c r="BP135" i="20"/>
  <c r="BO245" i="20"/>
  <c r="BP565" i="20"/>
  <c r="BO338" i="20"/>
  <c r="BP331" i="20"/>
  <c r="BO138" i="20"/>
  <c r="BR609" i="20"/>
  <c r="BR238" i="20"/>
  <c r="BO308" i="20"/>
  <c r="BP254" i="20"/>
  <c r="BQ73" i="20"/>
  <c r="BN326" i="20"/>
  <c r="BQ219" i="20"/>
  <c r="BO25" i="20"/>
  <c r="BQ535" i="20"/>
  <c r="BN533" i="20"/>
  <c r="BO319" i="20"/>
  <c r="BO228" i="20"/>
  <c r="BP404" i="20"/>
  <c r="BO336" i="20"/>
  <c r="BN33" i="20"/>
  <c r="BP332" i="20"/>
  <c r="BN107" i="20"/>
  <c r="BO293" i="20"/>
  <c r="BQ232" i="20"/>
  <c r="BQ222" i="20"/>
  <c r="BN335" i="20"/>
  <c r="BP284" i="20"/>
  <c r="BQ205" i="20"/>
  <c r="BO215" i="20"/>
  <c r="BP299" i="20"/>
  <c r="BP60" i="20"/>
  <c r="BN579" i="20"/>
  <c r="BQ577" i="20"/>
  <c r="BP102" i="20"/>
  <c r="BQ612" i="20"/>
  <c r="BP244" i="20"/>
  <c r="BO564" i="20"/>
  <c r="BP519" i="20"/>
  <c r="BP218" i="20"/>
  <c r="BO304" i="20"/>
  <c r="BN216" i="20"/>
  <c r="BN34" i="20"/>
  <c r="BR217" i="20"/>
  <c r="BQ513" i="20"/>
  <c r="BP341" i="20"/>
  <c r="BN278" i="20"/>
  <c r="BO211" i="20"/>
  <c r="BP411" i="20"/>
  <c r="BP325" i="20"/>
  <c r="BP61" i="20"/>
  <c r="BP307" i="20"/>
  <c r="BN330" i="20"/>
  <c r="BR563" i="20"/>
  <c r="BO23" i="20"/>
  <c r="BN243" i="20"/>
  <c r="BO100" i="20"/>
  <c r="AH5" i="20"/>
  <c r="BO5" i="20"/>
  <c r="BQ611" i="20"/>
  <c r="BP311" i="20"/>
  <c r="BR342" i="20"/>
  <c r="BN32" i="20"/>
  <c r="BO26" i="20"/>
  <c r="BN97" i="20"/>
  <c r="BO578" i="20"/>
  <c r="BQ237" i="20"/>
  <c r="BP256" i="20"/>
  <c r="BQ301" i="20"/>
  <c r="BP27" i="20"/>
  <c r="AM221" i="20" l="1"/>
  <c r="AL221" i="20"/>
  <c r="AM337" i="20"/>
  <c r="AL337" i="20"/>
  <c r="AM580" i="20"/>
  <c r="AL580" i="20"/>
  <c r="AL339" i="20"/>
  <c r="AM339" i="20"/>
  <c r="AL577" i="20"/>
  <c r="AM577" i="20"/>
  <c r="AL222" i="20"/>
  <c r="AM222" i="20"/>
  <c r="AM608" i="20"/>
  <c r="AL608" i="20"/>
  <c r="AM610" i="20"/>
  <c r="AL610" i="20"/>
  <c r="AM328" i="20"/>
  <c r="AL328" i="20"/>
  <c r="AM219" i="20"/>
  <c r="AL219" i="20"/>
  <c r="AM301" i="20"/>
  <c r="AL301" i="20"/>
  <c r="AM535" i="20"/>
  <c r="AL535" i="20"/>
  <c r="AM237" i="20"/>
  <c r="AL237" i="20"/>
  <c r="AL205" i="20"/>
  <c r="AM205" i="20"/>
  <c r="AM512" i="20"/>
  <c r="AL512" i="20"/>
  <c r="AM224" i="20"/>
  <c r="AL224" i="20"/>
  <c r="AL240" i="20"/>
  <c r="AM240" i="20"/>
  <c r="AM611" i="20"/>
  <c r="AL611" i="20"/>
  <c r="AL612" i="20"/>
  <c r="AM612" i="20"/>
  <c r="AM511" i="20"/>
  <c r="AL511" i="20"/>
  <c r="AL239" i="20"/>
  <c r="AM239" i="20"/>
  <c r="AM513" i="20"/>
  <c r="AL513" i="20"/>
  <c r="AM232" i="20"/>
  <c r="AL232" i="20"/>
  <c r="AM92" i="20"/>
  <c r="AL92" i="20"/>
  <c r="AM73" i="20"/>
  <c r="AL73" i="20"/>
  <c r="AM75" i="20"/>
  <c r="AL75" i="20"/>
  <c r="BO234" i="20"/>
  <c r="BP7" i="20"/>
  <c r="BO310" i="20"/>
  <c r="BP30" i="20"/>
  <c r="BQ230" i="20"/>
  <c r="BR92" i="20"/>
  <c r="BP277" i="20"/>
  <c r="BQ255" i="20"/>
  <c r="BQ279" i="20"/>
  <c r="BO96" i="20"/>
  <c r="BQ333" i="20"/>
  <c r="BQ137" i="20"/>
  <c r="BO72" i="20"/>
  <c r="BP209" i="20"/>
  <c r="BO106" i="20"/>
  <c r="BP208" i="20"/>
  <c r="BP247" i="20"/>
  <c r="BO334" i="20"/>
  <c r="BP213" i="20"/>
  <c r="BO303" i="20"/>
  <c r="BP99" i="20"/>
  <c r="BP26" i="20"/>
  <c r="BR237" i="20"/>
  <c r="BR73" i="20"/>
  <c r="BR328" i="20"/>
  <c r="BQ27" i="20"/>
  <c r="BO32" i="20"/>
  <c r="BP23" i="20"/>
  <c r="BQ244" i="20"/>
  <c r="BO107" i="20"/>
  <c r="BO33" i="20"/>
  <c r="BR535" i="20"/>
  <c r="BP338" i="20"/>
  <c r="BQ135" i="20"/>
  <c r="BP302" i="20"/>
  <c r="BR610" i="20"/>
  <c r="BP576" i="20"/>
  <c r="BR511" i="20"/>
  <c r="BQ8" i="20"/>
  <c r="BP98" i="20"/>
  <c r="BR608" i="20"/>
  <c r="BO246" i="20"/>
  <c r="BR239" i="20"/>
  <c r="BP104" i="20"/>
  <c r="BP105" i="20"/>
  <c r="BO134" i="20"/>
  <c r="BO575" i="20"/>
  <c r="BP6" i="20"/>
  <c r="AI6" i="20"/>
  <c r="BQ256" i="20"/>
  <c r="BO243" i="20"/>
  <c r="BQ307" i="20"/>
  <c r="BP211" i="20"/>
  <c r="BP564" i="20"/>
  <c r="BR611" i="20"/>
  <c r="BP304" i="20"/>
  <c r="BO335" i="20"/>
  <c r="BQ404" i="20"/>
  <c r="BP578" i="20"/>
  <c r="BQ61" i="20"/>
  <c r="BQ218" i="20"/>
  <c r="BR612" i="20"/>
  <c r="BP228" i="20"/>
  <c r="BP25" i="20"/>
  <c r="BQ565" i="20"/>
  <c r="BP207" i="20"/>
  <c r="BO233" i="20"/>
  <c r="BR224" i="20"/>
  <c r="BQ62" i="20"/>
  <c r="BO309" i="20"/>
  <c r="BO139" i="20"/>
  <c r="BQ227" i="20"/>
  <c r="BQ28" i="20"/>
  <c r="BQ60" i="20"/>
  <c r="BQ332" i="20"/>
  <c r="BP236" i="20"/>
  <c r="BQ613" i="20"/>
  <c r="BR301" i="20"/>
  <c r="BO34" i="20"/>
  <c r="BQ519" i="20"/>
  <c r="BQ102" i="20"/>
  <c r="BQ299" i="20"/>
  <c r="BR205" i="20"/>
  <c r="BP319" i="20"/>
  <c r="BR219" i="20"/>
  <c r="BP308" i="20"/>
  <c r="BP138" i="20"/>
  <c r="BO329" i="20"/>
  <c r="BP249" i="20"/>
  <c r="BR512" i="20"/>
  <c r="BQ280" i="20"/>
  <c r="BO94" i="20"/>
  <c r="BQ95" i="20"/>
  <c r="BR221" i="20"/>
  <c r="BR339" i="20"/>
  <c r="BQ248" i="20"/>
  <c r="BP9" i="20"/>
  <c r="BO305" i="20"/>
  <c r="BO298" i="20"/>
  <c r="BQ325" i="20"/>
  <c r="BR222" i="20"/>
  <c r="BQ254" i="20"/>
  <c r="BO235" i="20"/>
  <c r="BR240" i="20"/>
  <c r="BP100" i="20"/>
  <c r="BO330" i="20"/>
  <c r="BQ411" i="20"/>
  <c r="BQ284" i="20"/>
  <c r="BQ136" i="20"/>
  <c r="BP225" i="20"/>
  <c r="BO532" i="20"/>
  <c r="BQ229" i="20"/>
  <c r="BR75" i="20"/>
  <c r="AI5" i="20"/>
  <c r="BP5" i="20"/>
  <c r="BO278" i="20"/>
  <c r="BQ231" i="20"/>
  <c r="BP108" i="20"/>
  <c r="BQ24" i="20"/>
  <c r="BP31" i="20"/>
  <c r="BO97" i="20"/>
  <c r="BQ311" i="20"/>
  <c r="BQ341" i="20"/>
  <c r="BO216" i="20"/>
  <c r="BR577" i="20"/>
  <c r="BP215" i="20"/>
  <c r="BR232" i="20"/>
  <c r="BP336" i="20"/>
  <c r="BO533" i="20"/>
  <c r="BO326" i="20"/>
  <c r="BQ331" i="20"/>
  <c r="BO103" i="20"/>
  <c r="BQ520" i="20"/>
  <c r="BQ517" i="20"/>
  <c r="BO562" i="20"/>
  <c r="BP109" i="20"/>
  <c r="BQ464" i="20"/>
  <c r="BO212" i="20"/>
  <c r="BO340" i="20"/>
  <c r="BR337" i="20"/>
  <c r="BR580" i="20"/>
  <c r="BQ561" i="20"/>
  <c r="BQ614" i="20"/>
  <c r="BP293" i="20"/>
  <c r="BP245" i="20"/>
  <c r="BO292" i="20"/>
  <c r="BO101" i="20"/>
  <c r="BQ210" i="20"/>
  <c r="BP214" i="20"/>
  <c r="BQ534" i="20"/>
  <c r="BQ306" i="20"/>
  <c r="BQ318" i="20"/>
  <c r="BQ516" i="20"/>
  <c r="BR513" i="20"/>
  <c r="BO579" i="20"/>
  <c r="BQ327" i="20"/>
  <c r="BQ74" i="20"/>
  <c r="BO250" i="20"/>
  <c r="BQ29" i="20"/>
  <c r="BO10" i="20"/>
  <c r="BP242" i="20"/>
  <c r="BO206" i="20"/>
  <c r="BO93" i="20"/>
  <c r="AM280" i="20" l="1"/>
  <c r="AL280" i="20"/>
  <c r="AM299" i="20"/>
  <c r="AL299" i="20"/>
  <c r="AL613" i="20"/>
  <c r="AM613" i="20"/>
  <c r="AM28" i="20"/>
  <c r="AL28" i="20"/>
  <c r="AM565" i="20"/>
  <c r="AL565" i="20"/>
  <c r="AM210" i="20"/>
  <c r="AL210" i="20"/>
  <c r="AM248" i="20"/>
  <c r="AL248" i="20"/>
  <c r="AL229" i="20"/>
  <c r="AM229" i="20"/>
  <c r="AM227" i="20"/>
  <c r="AL227" i="20"/>
  <c r="AM230" i="20"/>
  <c r="AL230" i="20"/>
  <c r="AM331" i="20"/>
  <c r="AL331" i="20"/>
  <c r="AL325" i="20"/>
  <c r="AM325" i="20"/>
  <c r="AL614" i="20"/>
  <c r="AM614" i="20"/>
  <c r="AL231" i="20"/>
  <c r="AM231" i="20"/>
  <c r="AM519" i="20"/>
  <c r="AL519" i="20"/>
  <c r="AM318" i="20"/>
  <c r="AL318" i="20"/>
  <c r="AL327" i="20"/>
  <c r="AM327" i="20"/>
  <c r="AL411" i="20"/>
  <c r="AM411" i="20"/>
  <c r="AM404" i="20"/>
  <c r="AL404" i="20"/>
  <c r="AM256" i="20"/>
  <c r="AL256" i="20"/>
  <c r="AM27" i="20"/>
  <c r="AL27" i="20"/>
  <c r="AM279" i="20"/>
  <c r="AL279" i="20"/>
  <c r="AM29" i="20"/>
  <c r="AL29" i="20"/>
  <c r="AM520" i="20"/>
  <c r="AL520" i="20"/>
  <c r="AL254" i="20"/>
  <c r="AM254" i="20"/>
  <c r="AM332" i="20"/>
  <c r="AL332" i="20"/>
  <c r="AM8" i="20"/>
  <c r="AL8" i="20"/>
  <c r="AM255" i="20"/>
  <c r="AL255" i="20"/>
  <c r="AL534" i="20"/>
  <c r="AM534" i="20"/>
  <c r="AM244" i="20"/>
  <c r="AL244" i="20"/>
  <c r="AM517" i="20"/>
  <c r="AL517" i="20"/>
  <c r="AM561" i="20"/>
  <c r="AL561" i="20"/>
  <c r="AM516" i="20"/>
  <c r="AL516" i="20"/>
  <c r="AM341" i="20"/>
  <c r="AL341" i="20"/>
  <c r="AL218" i="20"/>
  <c r="AM218" i="20"/>
  <c r="AM464" i="20"/>
  <c r="AL464" i="20"/>
  <c r="AM333" i="20"/>
  <c r="AL333" i="20"/>
  <c r="AM307" i="20"/>
  <c r="AL307" i="20"/>
  <c r="AM311" i="20"/>
  <c r="AL311" i="20"/>
  <c r="AM306" i="20"/>
  <c r="AL306" i="20"/>
  <c r="AM284" i="20"/>
  <c r="AL284" i="20"/>
  <c r="AM135" i="20"/>
  <c r="AL135" i="20"/>
  <c r="AM136" i="20"/>
  <c r="AL136" i="20"/>
  <c r="BR137" i="20"/>
  <c r="AM95" i="20"/>
  <c r="AL95" i="20"/>
  <c r="AM102" i="20"/>
  <c r="AL102" i="20"/>
  <c r="AM74" i="20"/>
  <c r="AL74" i="20"/>
  <c r="AM62" i="20"/>
  <c r="AL62" i="20"/>
  <c r="AM60" i="20"/>
  <c r="AL60" i="20"/>
  <c r="AM61" i="20"/>
  <c r="AL61" i="20"/>
  <c r="AM24" i="20"/>
  <c r="AL24" i="20"/>
  <c r="D4" i="9"/>
  <c r="D5" i="9" s="1"/>
  <c r="E7" i="6"/>
  <c r="BP234" i="20"/>
  <c r="BQ7" i="20"/>
  <c r="BR230" i="20"/>
  <c r="BR255" i="20"/>
  <c r="BP334" i="20"/>
  <c r="BQ209" i="20"/>
  <c r="BR333" i="20"/>
  <c r="BQ277" i="20"/>
  <c r="BQ213" i="20"/>
  <c r="BP106" i="20"/>
  <c r="BQ99" i="20"/>
  <c r="BQ247" i="20"/>
  <c r="BQ30" i="20"/>
  <c r="BR279" i="20"/>
  <c r="BP72" i="20"/>
  <c r="BP96" i="20"/>
  <c r="BP310" i="20"/>
  <c r="BP303" i="20"/>
  <c r="BQ208" i="20"/>
  <c r="BP292" i="20"/>
  <c r="BR29" i="20"/>
  <c r="BR311" i="20"/>
  <c r="BP34" i="20"/>
  <c r="BP139" i="20"/>
  <c r="BQ211" i="20"/>
  <c r="BQ6" i="20"/>
  <c r="AJ6" i="20"/>
  <c r="AK6" i="20" s="1"/>
  <c r="BQ104" i="20"/>
  <c r="BR135" i="20"/>
  <c r="BP33" i="20"/>
  <c r="BR318" i="20"/>
  <c r="BR210" i="20"/>
  <c r="BQ293" i="20"/>
  <c r="BR284" i="20"/>
  <c r="BP305" i="20"/>
  <c r="BR280" i="20"/>
  <c r="BR332" i="20"/>
  <c r="BR565" i="20"/>
  <c r="BQ578" i="20"/>
  <c r="BQ304" i="20"/>
  <c r="BQ576" i="20"/>
  <c r="BP107" i="20"/>
  <c r="BP10" i="20"/>
  <c r="BR341" i="20"/>
  <c r="BR516" i="20"/>
  <c r="BP533" i="20"/>
  <c r="BR60" i="20"/>
  <c r="BQ214" i="20"/>
  <c r="BQ109" i="20"/>
  <c r="BQ108" i="20"/>
  <c r="BP579" i="20"/>
  <c r="BP340" i="20"/>
  <c r="BR411" i="20"/>
  <c r="BR299" i="20"/>
  <c r="BP309" i="20"/>
  <c r="BP233" i="20"/>
  <c r="BR307" i="20"/>
  <c r="BP575" i="20"/>
  <c r="BP32" i="20"/>
  <c r="BP206" i="20"/>
  <c r="BP250" i="20"/>
  <c r="BR306" i="20"/>
  <c r="BR614" i="20"/>
  <c r="BP562" i="20"/>
  <c r="BQ336" i="20"/>
  <c r="BP97" i="20"/>
  <c r="BR229" i="20"/>
  <c r="BR325" i="20"/>
  <c r="BQ9" i="20"/>
  <c r="BQ25" i="20"/>
  <c r="BQ98" i="20"/>
  <c r="BQ338" i="20"/>
  <c r="BR244" i="20"/>
  <c r="BR27" i="20"/>
  <c r="BR561" i="20"/>
  <c r="BP326" i="20"/>
  <c r="BP93" i="20"/>
  <c r="BQ215" i="20"/>
  <c r="BP298" i="20"/>
  <c r="BP329" i="20"/>
  <c r="BP103" i="20"/>
  <c r="BR231" i="20"/>
  <c r="BQ242" i="20"/>
  <c r="BR74" i="20"/>
  <c r="BP101" i="20"/>
  <c r="BP212" i="20"/>
  <c r="BR331" i="20"/>
  <c r="BP216" i="20"/>
  <c r="BP278" i="20"/>
  <c r="BR136" i="20"/>
  <c r="BP330" i="20"/>
  <c r="BP235" i="20"/>
  <c r="BR102" i="20"/>
  <c r="BR613" i="20"/>
  <c r="BR28" i="20"/>
  <c r="BR62" i="20"/>
  <c r="BQ228" i="20"/>
  <c r="BP243" i="20"/>
  <c r="BP134" i="20"/>
  <c r="BR8" i="20"/>
  <c r="BR534" i="20"/>
  <c r="BR517" i="20"/>
  <c r="BQ31" i="20"/>
  <c r="BP532" i="20"/>
  <c r="BR254" i="20"/>
  <c r="BR95" i="20"/>
  <c r="BQ319" i="20"/>
  <c r="BR519" i="20"/>
  <c r="BR218" i="20"/>
  <c r="BR404" i="20"/>
  <c r="BQ100" i="20"/>
  <c r="BR248" i="20"/>
  <c r="BQ138" i="20"/>
  <c r="BR227" i="20"/>
  <c r="BQ207" i="20"/>
  <c r="BQ105" i="20"/>
  <c r="BP246" i="20"/>
  <c r="BQ26" i="20"/>
  <c r="BR327" i="20"/>
  <c r="BR464" i="20"/>
  <c r="BQ245" i="20"/>
  <c r="BR520" i="20"/>
  <c r="BR24" i="20"/>
  <c r="BQ5" i="20"/>
  <c r="BQ225" i="20"/>
  <c r="BP94" i="20"/>
  <c r="BQ249" i="20"/>
  <c r="BQ308" i="20"/>
  <c r="BQ236" i="20"/>
  <c r="BR61" i="20"/>
  <c r="BP335" i="20"/>
  <c r="BQ564" i="20"/>
  <c r="BR256" i="20"/>
  <c r="BQ302" i="20"/>
  <c r="BQ23" i="20"/>
  <c r="G9" i="11" l="1"/>
  <c r="G9" i="23"/>
  <c r="AL6" i="20"/>
  <c r="AM6" i="20"/>
  <c r="AM302" i="20"/>
  <c r="AL302" i="20"/>
  <c r="AM215" i="20"/>
  <c r="AL215" i="20"/>
  <c r="AM247" i="20"/>
  <c r="AL247" i="20"/>
  <c r="AM236" i="20"/>
  <c r="AL236" i="20"/>
  <c r="AM578" i="20"/>
  <c r="AL578" i="20"/>
  <c r="AM228" i="20"/>
  <c r="AL228" i="20"/>
  <c r="AM319" i="20"/>
  <c r="AL319" i="20"/>
  <c r="BR277" i="20"/>
  <c r="AM7" i="20"/>
  <c r="AL7" i="20"/>
  <c r="AM207" i="20"/>
  <c r="AL207" i="20"/>
  <c r="AM214" i="20"/>
  <c r="AL214" i="20"/>
  <c r="BR213" i="20"/>
  <c r="AM564" i="20"/>
  <c r="AL564" i="20"/>
  <c r="AM249" i="20"/>
  <c r="AL249" i="20"/>
  <c r="AM336" i="20"/>
  <c r="AL336" i="20"/>
  <c r="AM576" i="20"/>
  <c r="AL576" i="20"/>
  <c r="AM211" i="20"/>
  <c r="AL211" i="20"/>
  <c r="AM242" i="20"/>
  <c r="AL242" i="20"/>
  <c r="AL25" i="20"/>
  <c r="AM25" i="20"/>
  <c r="BR209" i="20"/>
  <c r="AM225" i="20"/>
  <c r="AL225" i="20"/>
  <c r="AM26" i="20"/>
  <c r="AL26" i="20"/>
  <c r="AM338" i="20"/>
  <c r="AL338" i="20"/>
  <c r="AM293" i="20"/>
  <c r="AL293" i="20"/>
  <c r="AM23" i="20"/>
  <c r="AL23" i="20"/>
  <c r="AM245" i="20"/>
  <c r="AL245" i="20"/>
  <c r="AL9" i="20"/>
  <c r="AM9" i="20"/>
  <c r="AL208" i="20"/>
  <c r="AM208" i="20"/>
  <c r="AM308" i="20"/>
  <c r="AL308" i="20"/>
  <c r="AM304" i="20"/>
  <c r="AL304" i="20"/>
  <c r="AM137" i="20"/>
  <c r="AL137" i="20"/>
  <c r="AM138" i="20"/>
  <c r="AL138" i="20"/>
  <c r="AM109" i="20"/>
  <c r="AL109" i="20"/>
  <c r="AM104" i="20"/>
  <c r="AL104" i="20"/>
  <c r="AM98" i="20"/>
  <c r="AL98" i="20"/>
  <c r="AM99" i="20"/>
  <c r="AL99" i="20"/>
  <c r="AM105" i="20"/>
  <c r="AL105" i="20"/>
  <c r="AM108" i="20"/>
  <c r="AL108" i="20"/>
  <c r="AM100" i="20"/>
  <c r="AL100" i="20"/>
  <c r="AM31" i="20"/>
  <c r="AL31" i="20"/>
  <c r="AM30" i="20"/>
  <c r="AL30" i="20"/>
  <c r="BR5" i="20"/>
  <c r="F37" i="6"/>
  <c r="F23" i="6"/>
  <c r="F7" i="6"/>
  <c r="D13" i="9"/>
  <c r="E6" i="6"/>
  <c r="F33" i="6"/>
  <c r="F22" i="6"/>
  <c r="E35" i="6"/>
  <c r="F26" i="6"/>
  <c r="D21" i="9"/>
  <c r="F6" i="6"/>
  <c r="E26" i="6"/>
  <c r="D12" i="9"/>
  <c r="E37" i="6"/>
  <c r="E33" i="6"/>
  <c r="E34" i="6"/>
  <c r="F34" i="6"/>
  <c r="E21" i="6"/>
  <c r="F35" i="6"/>
  <c r="F36" i="6"/>
  <c r="E13" i="6"/>
  <c r="E15" i="6" s="1"/>
  <c r="E5" i="6"/>
  <c r="D8" i="9"/>
  <c r="E36" i="6"/>
  <c r="F14" i="6"/>
  <c r="F17" i="6" s="1"/>
  <c r="F13" i="6"/>
  <c r="F16" i="6" s="1"/>
  <c r="F5" i="6"/>
  <c r="BQ234" i="20"/>
  <c r="BR7" i="20"/>
  <c r="BR99" i="20"/>
  <c r="BQ310" i="20"/>
  <c r="BQ334" i="20"/>
  <c r="BQ106" i="20"/>
  <c r="BQ96" i="20"/>
  <c r="BR30" i="20"/>
  <c r="BR208" i="20"/>
  <c r="BQ72" i="20"/>
  <c r="BR247" i="20"/>
  <c r="BQ303" i="20"/>
  <c r="BR207" i="20"/>
  <c r="BQ562" i="20"/>
  <c r="BR302" i="20"/>
  <c r="BR228" i="20"/>
  <c r="BQ330" i="20"/>
  <c r="BQ34" i="20"/>
  <c r="BQ94" i="20"/>
  <c r="BR100" i="20"/>
  <c r="BR31" i="20"/>
  <c r="BQ329" i="20"/>
  <c r="BR25" i="20"/>
  <c r="BQ206" i="20"/>
  <c r="BQ233" i="20"/>
  <c r="BR109" i="20"/>
  <c r="BR578" i="20"/>
  <c r="BR293" i="20"/>
  <c r="BQ532" i="20"/>
  <c r="BR215" i="20"/>
  <c r="BQ250" i="20"/>
  <c r="BR319" i="20"/>
  <c r="BQ93" i="20"/>
  <c r="BQ533" i="20"/>
  <c r="BR104" i="20"/>
  <c r="BQ246" i="20"/>
  <c r="BQ326" i="20"/>
  <c r="BR9" i="20"/>
  <c r="BQ32" i="20"/>
  <c r="BQ107" i="20"/>
  <c r="BR6" i="20"/>
  <c r="BR236" i="20"/>
  <c r="BQ335" i="20"/>
  <c r="BR245" i="20"/>
  <c r="BQ10" i="20"/>
  <c r="BR225" i="20"/>
  <c r="BQ134" i="20"/>
  <c r="BQ212" i="20"/>
  <c r="BR242" i="20"/>
  <c r="BQ298" i="20"/>
  <c r="BQ97" i="20"/>
  <c r="BR214" i="20"/>
  <c r="BQ33" i="20"/>
  <c r="BQ292" i="20"/>
  <c r="BR564" i="20"/>
  <c r="BR105" i="20"/>
  <c r="BR138" i="20"/>
  <c r="BQ278" i="20"/>
  <c r="BR336" i="20"/>
  <c r="BQ575" i="20"/>
  <c r="BQ309" i="20"/>
  <c r="BQ340" i="20"/>
  <c r="BR576" i="20"/>
  <c r="BQ305" i="20"/>
  <c r="BR26" i="20"/>
  <c r="BQ235" i="20"/>
  <c r="BQ101" i="20"/>
  <c r="BR338" i="20"/>
  <c r="BQ579" i="20"/>
  <c r="BR211" i="20"/>
  <c r="BQ216" i="20"/>
  <c r="BR23" i="20"/>
  <c r="BR308" i="20"/>
  <c r="BQ243" i="20"/>
  <c r="BR249" i="20"/>
  <c r="BQ103" i="20"/>
  <c r="BR98" i="20"/>
  <c r="BR108" i="20"/>
  <c r="BR304" i="20"/>
  <c r="BQ139" i="20"/>
  <c r="E38" i="6" l="1"/>
  <c r="AM216" i="20"/>
  <c r="AL216" i="20"/>
  <c r="AM235" i="20"/>
  <c r="AL235" i="20"/>
  <c r="AM246" i="20"/>
  <c r="AL246" i="20"/>
  <c r="AM250" i="20"/>
  <c r="AL250" i="20"/>
  <c r="AL562" i="20"/>
  <c r="AM562" i="20"/>
  <c r="AM233" i="20"/>
  <c r="AL233" i="20"/>
  <c r="BR334" i="20"/>
  <c r="AM206" i="20"/>
  <c r="AL206" i="20"/>
  <c r="AM292" i="20"/>
  <c r="AL292" i="20"/>
  <c r="AL533" i="20"/>
  <c r="AM533" i="20"/>
  <c r="AM579" i="20"/>
  <c r="AL579" i="20"/>
  <c r="AM532" i="20"/>
  <c r="AL532" i="20"/>
  <c r="AM10" i="20"/>
  <c r="AL10" i="20"/>
  <c r="AL298" i="20"/>
  <c r="AM298" i="20"/>
  <c r="AM278" i="20"/>
  <c r="AL278" i="20"/>
  <c r="AM335" i="20"/>
  <c r="AL335" i="20"/>
  <c r="AM329" i="20"/>
  <c r="AL329" i="20"/>
  <c r="AM330" i="20"/>
  <c r="AL330" i="20"/>
  <c r="AM209" i="20"/>
  <c r="AL209" i="20"/>
  <c r="AM213" i="20"/>
  <c r="AL213" i="20"/>
  <c r="AM277" i="20"/>
  <c r="AL277" i="20"/>
  <c r="AM575" i="20"/>
  <c r="AL575" i="20"/>
  <c r="AM243" i="20"/>
  <c r="AL243" i="20"/>
  <c r="BR234" i="20"/>
  <c r="AM340" i="20"/>
  <c r="AL340" i="20"/>
  <c r="AM326" i="20"/>
  <c r="AL326" i="20"/>
  <c r="U36" i="28"/>
  <c r="AG36" i="28"/>
  <c r="AM309" i="20"/>
  <c r="AL309" i="20"/>
  <c r="BR310" i="20"/>
  <c r="AM305" i="20"/>
  <c r="AL305" i="20"/>
  <c r="AM303" i="20"/>
  <c r="AL303" i="20"/>
  <c r="AM212" i="20"/>
  <c r="AL212" i="20"/>
  <c r="AM139" i="20"/>
  <c r="AL139" i="20"/>
  <c r="AM134" i="20"/>
  <c r="AL134" i="20"/>
  <c r="AM97" i="20"/>
  <c r="AL97" i="20"/>
  <c r="AM107" i="20"/>
  <c r="AL107" i="20"/>
  <c r="AM94" i="20"/>
  <c r="AL94" i="20"/>
  <c r="AM93" i="20"/>
  <c r="AL93" i="20"/>
  <c r="AM101" i="20"/>
  <c r="AL101" i="20"/>
  <c r="AM103" i="20"/>
  <c r="AL103" i="20"/>
  <c r="AM96" i="20"/>
  <c r="AL96" i="20"/>
  <c r="AM106" i="20"/>
  <c r="AL106" i="20"/>
  <c r="AM72" i="20"/>
  <c r="AL72" i="20"/>
  <c r="AM33" i="20"/>
  <c r="AL33" i="20"/>
  <c r="AM32" i="20"/>
  <c r="AL32" i="20"/>
  <c r="AM34" i="20"/>
  <c r="AL34" i="20"/>
  <c r="F38" i="6"/>
  <c r="E27" i="6"/>
  <c r="F28" i="6"/>
  <c r="F29" i="6"/>
  <c r="BR72" i="20"/>
  <c r="BR303" i="20"/>
  <c r="BR96" i="20"/>
  <c r="BR106" i="20"/>
  <c r="BR340" i="20"/>
  <c r="BR32" i="20"/>
  <c r="BR532" i="20"/>
  <c r="BR309" i="20"/>
  <c r="BR10" i="20"/>
  <c r="BR305" i="20"/>
  <c r="BR233" i="20"/>
  <c r="BR329" i="20"/>
  <c r="BR101" i="20"/>
  <c r="BR575" i="20"/>
  <c r="BR292" i="20"/>
  <c r="BR97" i="20"/>
  <c r="BR533" i="20"/>
  <c r="BR250" i="20"/>
  <c r="BR278" i="20"/>
  <c r="BR94" i="20"/>
  <c r="BR34" i="20"/>
  <c r="BR235" i="20"/>
  <c r="BR298" i="20"/>
  <c r="BR107" i="20"/>
  <c r="BR326" i="20"/>
  <c r="BR562" i="20"/>
  <c r="BR139" i="20"/>
  <c r="BR243" i="20"/>
  <c r="BR216" i="20"/>
  <c r="BR212" i="20"/>
  <c r="BR103" i="20"/>
  <c r="BR134" i="20"/>
  <c r="BR206" i="20"/>
  <c r="BR579" i="20"/>
  <c r="BR33" i="20"/>
  <c r="BR335" i="20"/>
  <c r="BR93" i="20"/>
  <c r="BR330" i="20"/>
  <c r="BR246" i="20"/>
  <c r="E41" i="6" l="1"/>
  <c r="G7" i="23" s="1"/>
  <c r="O30" i="23" s="1"/>
  <c r="AM234" i="20"/>
  <c r="AL234" i="20"/>
  <c r="AL334" i="20"/>
  <c r="AM334" i="20"/>
  <c r="AM310" i="20"/>
  <c r="AL310" i="20"/>
  <c r="F43" i="6"/>
  <c r="F42" i="6"/>
  <c r="G6" i="23" s="1"/>
  <c r="N27" i="23" s="1"/>
  <c r="O33" i="23" l="1"/>
  <c r="O36" i="23"/>
  <c r="O37" i="23"/>
  <c r="O34" i="23"/>
  <c r="O32" i="23"/>
  <c r="O26" i="23"/>
  <c r="O25" i="23"/>
  <c r="N32" i="23"/>
  <c r="N33" i="23"/>
  <c r="N31" i="23"/>
  <c r="N37" i="23"/>
  <c r="N28" i="23"/>
  <c r="N34" i="23"/>
  <c r="N25" i="23"/>
  <c r="N30" i="23"/>
  <c r="Q30" i="23" s="1"/>
  <c r="N35" i="23"/>
  <c r="N26" i="23"/>
  <c r="N36" i="23"/>
  <c r="O28" i="23"/>
  <c r="O27" i="23"/>
  <c r="Q27" i="23" s="1"/>
  <c r="O31" i="23"/>
  <c r="O35" i="23"/>
  <c r="D10" i="9"/>
  <c r="D9" i="9"/>
  <c r="Q36" i="23" l="1"/>
  <c r="P33" i="23"/>
  <c r="P26" i="23"/>
  <c r="P37" i="23"/>
  <c r="P32" i="23"/>
  <c r="Q26" i="23"/>
  <c r="Q32" i="23"/>
  <c r="Q31" i="23"/>
  <c r="Q34" i="23"/>
  <c r="Q28" i="23"/>
  <c r="Q33" i="23"/>
  <c r="Q37" i="23"/>
  <c r="P28" i="23"/>
  <c r="Q25" i="23"/>
  <c r="P27" i="23"/>
  <c r="P25" i="23"/>
  <c r="P36" i="23"/>
  <c r="P35" i="23"/>
  <c r="P34" i="23"/>
  <c r="P30" i="23"/>
  <c r="P31" i="23"/>
  <c r="Q35" i="23"/>
  <c r="G7" i="11"/>
  <c r="G6" i="11"/>
  <c r="V25" i="11" s="1"/>
  <c r="D15" i="9"/>
  <c r="D16" i="9" s="1"/>
  <c r="G8" i="11" l="1"/>
  <c r="G8" i="23"/>
  <c r="W34" i="11"/>
  <c r="W25" i="11"/>
  <c r="Q38" i="23"/>
  <c r="D3" i="23" s="1"/>
  <c r="U37" i="28"/>
  <c r="U38" i="28" s="1"/>
  <c r="AG37" i="28"/>
  <c r="AG38" i="28" s="1"/>
  <c r="V33" i="11"/>
  <c r="V34" i="11"/>
  <c r="W26" i="11"/>
  <c r="W33" i="11"/>
  <c r="U26" i="11"/>
  <c r="V35" i="11"/>
  <c r="V26" i="11"/>
  <c r="U35" i="11"/>
  <c r="W29" i="11"/>
  <c r="W35" i="11"/>
  <c r="W36" i="11"/>
  <c r="W38" i="11"/>
  <c r="W31" i="11"/>
  <c r="W32" i="11"/>
  <c r="W28" i="11"/>
  <c r="W27" i="11"/>
  <c r="U38" i="11"/>
  <c r="W37" i="11"/>
  <c r="U27" i="11"/>
  <c r="U31" i="11"/>
  <c r="U32" i="11"/>
  <c r="U29" i="11"/>
  <c r="U36" i="11"/>
  <c r="U28" i="11"/>
  <c r="U37" i="11"/>
  <c r="V31" i="11"/>
  <c r="V28" i="11"/>
  <c r="V32" i="11"/>
  <c r="V29" i="11"/>
  <c r="V38" i="11"/>
  <c r="V36" i="11"/>
  <c r="V27" i="11"/>
  <c r="V37" i="11"/>
  <c r="I36" i="28" l="1"/>
  <c r="U21" i="11"/>
  <c r="X26" i="11"/>
  <c r="X33" i="11"/>
  <c r="X34" i="11"/>
  <c r="Y34" i="11"/>
  <c r="Y33" i="11"/>
  <c r="X35" i="11"/>
  <c r="Y26" i="11"/>
  <c r="X29" i="11"/>
  <c r="Y35" i="11"/>
  <c r="X31" i="11"/>
  <c r="X28" i="11"/>
  <c r="X36" i="11"/>
  <c r="X38" i="11"/>
  <c r="X32" i="11"/>
  <c r="X37" i="11"/>
  <c r="Y28" i="11"/>
  <c r="Y27" i="11"/>
  <c r="Y32" i="11"/>
  <c r="Y31" i="11"/>
  <c r="X25" i="11"/>
  <c r="X27" i="11"/>
  <c r="Y37" i="11"/>
  <c r="Y36" i="11"/>
  <c r="Y38" i="11"/>
  <c r="Y29" i="11"/>
  <c r="Y25" i="11" l="1"/>
  <c r="Y39" i="11" s="1"/>
  <c r="D3" i="11" s="1"/>
  <c r="Y54" i="28"/>
  <c r="L54" i="28" s="1"/>
  <c r="Y52" i="28"/>
  <c r="L52" i="28" s="1"/>
  <c r="Y51" i="28"/>
  <c r="L51" i="28" s="1"/>
  <c r="Y50" i="28"/>
  <c r="L50" i="28" s="1"/>
  <c r="I37" i="28"/>
  <c r="I38" i="28" l="1"/>
  <c r="Y53" i="28"/>
  <c r="L53" i="28" s="1"/>
  <c r="L55" i="28" s="1"/>
  <c r="Y55"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tc={981B0F0A-49F1-4149-8587-B2B7E05A1097}</author>
    <author>tc={D258258C-2FD9-4A27-864D-576C433C2CAE}</author>
  </authors>
  <commentList>
    <comment ref="G12" authorId="0" shapeId="0" xr:uid="{981B0F0A-49F1-4149-8587-B2B7E05A1097}">
      <text>
        <t>[Threaded comment]
Your version of Excel allows you to read this threaded comment; however, any edits to it will get removed if the file is opened in a newer version of Excel. Learn more: https://go.microsoft.com/fwlink/?linkid=870924
Comment:
    EIA data from Nov 2021 to March 2022 for Illinois was an average of $2.28 (https://www.eia.gov/dnav/pet/PET_PRI_WFR_DCUS_SIL_W.htm)</t>
      </text>
    </comment>
    <comment ref="G13" authorId="1" shapeId="0" xr:uid="{D258258C-2FD9-4A27-864D-576C433C2CAE}">
      <text>
        <t>[Threaded comment]
Your version of Excel allows you to read this threaded comment; however, any edits to it will get removed if the file is opened in a newer version of Excel. Learn more: https://go.microsoft.com/fwlink/?linkid=870924
Comment:
    Annual Energy Outlook 2022, Table 3. Energy Prices by Sector and Source, Reference Case, East North Central, Residential, 2022 Nominal $/MMBtu ($17.297)</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tc={E4875AB2-2A25-40D3-8272-21735C58EFFD}</author>
    <author>tc={AB003679-8758-41A3-9B5C-B8C115B3549D}</author>
  </authors>
  <commentList>
    <comment ref="G11" authorId="0" shapeId="0" xr:uid="{E4875AB2-2A25-40D3-8272-21735C58EFFD}">
      <text>
        <t>[Threaded comment]
Your version of Excel allows you to read this threaded comment; however, any edits to it will get removed if the file is opened in a newer version of Excel. Learn more: https://go.microsoft.com/fwlink/?linkid=870924
Comment:
    EIA data from Nov 2021 to March 2022 for Illinois was an average of $2.28 (https://www.eia.gov/dnav/pet/PET_PRI_WFR_DCUS_SIL_W.htm)</t>
      </text>
    </comment>
    <comment ref="G12" authorId="1" shapeId="0" xr:uid="{AB003679-8758-41A3-9B5C-B8C115B3549D}">
      <text>
        <t>[Threaded comment]
Your version of Excel allows you to read this threaded comment; however, any edits to it will get removed if the file is opened in a newer version of Excel. Learn more: https://go.microsoft.com/fwlink/?linkid=870924
Comment:
    Annual Energy Outlook 2022, Table 3. Energy Prices by Sector and Source, Reference Case, East North Central, Residential, 2022 Nominal $/MMBtu ($17.297)</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tc={08A4F256-BCA3-4A79-B2D4-E62C739C4783}</author>
    <author>tc={4595C9C2-3F9F-4378-A0B4-B7C8D5C19E55}</author>
    <author>tc={8935971F-63D8-4353-9500-F7E72CA63BE1}</author>
    <author>tc={323E57FF-9D2C-4246-862D-2203F59A23F5}</author>
    <author>tc={FBAB3F1D-62E8-42AB-B04C-65D89329FE85}</author>
    <author>tc={CD0E570A-AC2E-4AA7-98A4-B5D913ABDC8F}</author>
    <author>tc={12D4B841-CD40-44D6-9FB4-A17E7167CFFD}</author>
    <author>tc={0009F18F-618A-4136-997D-A166A6C7462A}</author>
    <author>tc={FD926E0A-BFE3-422D-8E2E-7BABE2B86EDE}</author>
    <author>tc={F2EF4EB9-5B52-489F-A7F7-8B00CD5BCC2F}</author>
    <author>tc={8BC13F9A-BB31-450D-9566-698FD3F56088}</author>
    <author>tc={0C9C255F-F771-46AD-8400-5E966394382D}</author>
    <author>tc={CBC85544-CDAD-4E9E-B32C-A72EECF62401}</author>
    <author>tc={26F6EB03-DDE5-4BFD-BAF4-321DA07FD8C5}</author>
    <author>tc={72591CEE-7CDB-4F43-A421-3282177FE2BE}</author>
    <author>tc={93DA18B6-C566-4F25-935F-3A4EF7BFDDB2}</author>
    <author>tc={A37FA99F-7A20-4B6F-9719-96ABABAACE75}</author>
    <author>tc={FBB8310E-9459-4E41-9AC0-8FC69A016C99}</author>
    <author>tc={0302E054-E7AF-4F9B-A8EC-0A580750BD06}</author>
    <author>tc={EE2A2CD8-5157-4118-B273-68D64B1033CF}</author>
    <author>tc={CBF4D2A7-2D73-4D6E-AF38-DF5D5CC15900}</author>
    <author>tc={7FB49F37-FB33-40E5-8051-3A3486BABFC7}</author>
    <author>tc={943D9346-E7CC-4073-90E2-0B79B314F3B5}</author>
    <author>tc={BFA56017-FE54-444E-9CAE-5992C40EC9E3}</author>
    <author>tc={C11C705F-B521-4F84-8C7D-1BC5E19D2AFF}</author>
    <author>tc={BBC4EDED-DE89-4846-A342-FB976C405795}</author>
    <author>tc={F9431939-3288-4709-80B4-4D917C13ACD9}</author>
  </authors>
  <commentList>
    <comment ref="F4" authorId="0" shapeId="0" xr:uid="{08A4F256-BCA3-4A79-B2D4-E62C739C4783}">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13" authorId="1" shapeId="0" xr:uid="{4595C9C2-3F9F-4378-A0B4-B7C8D5C19E55}">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22" authorId="2" shapeId="0" xr:uid="{8935971F-63D8-4353-9500-F7E72CA63BE1}">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25" authorId="3" shapeId="0" xr:uid="{323E57FF-9D2C-4246-862D-2203F59A23F5}">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26" authorId="4" shapeId="0" xr:uid="{FBAB3F1D-62E8-42AB-B04C-65D89329FE85}">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68" authorId="5" shapeId="0" xr:uid="{CD0E570A-AC2E-4AA7-98A4-B5D913ABDC8F}">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77" authorId="6" shapeId="0" xr:uid="{12D4B841-CD40-44D6-9FB4-A17E7167CFFD}">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84" authorId="7" shapeId="0" xr:uid="{0009F18F-618A-4136-997D-A166A6C7462A}">
      <text>
        <t>[Threaded comment]
Your version of Excel allows you to read this threaded comment; however, any edits to it will get removed if the file is opened in a newer version of Excel. Learn more: https://go.microsoft.com/fwlink/?linkid=870924
Comment:
    11/13/24: Adjusted calculation to include EFLHheat for portable HP if the unit capacity is &lt;18,000 Btu per IL TRM v13.</t>
      </text>
    </comment>
    <comment ref="F86" authorId="8" shapeId="0" xr:uid="{FD926E0A-BFE3-422D-8E2E-7BABE2B86EDE}">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90" authorId="9" shapeId="0" xr:uid="{F2EF4EB9-5B52-489F-A7F7-8B00CD5BCC2F}">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91" authorId="10" shapeId="0" xr:uid="{8BC13F9A-BB31-450D-9566-698FD3F56088}">
      <text>
        <t>[Threaded comment]
Your version of Excel allows you to read this threaded comment; however, any edits to it will get removed if the file is opened in a newer version of Excel. Learn more: https://go.microsoft.com/fwlink/?linkid=870924
Comment:
    11/12/24: Updated to reflect partial or full displacement depending on existing fuel type.</t>
      </text>
    </comment>
    <comment ref="F97" authorId="11" shapeId="0" xr:uid="{0C9C255F-F771-46AD-8400-5E966394382D}">
      <text>
        <t>[Threaded comment]
Your version of Excel allows you to read this threaded comment; however, any edits to it will get removed if the file is opened in a newer version of Excel. Learn more: https://go.microsoft.com/fwlink/?linkid=870924
Comment:
    11/13/24: Adjusted calculation to include EFLHcool for portable HP if the unit capacity is &lt;18,000 Btu per IL TRM v13.</t>
      </text>
    </comment>
    <comment ref="F119" authorId="12" shapeId="0" xr:uid="{CBC85544-CDAD-4E9E-B32C-A72EECF62401}">
      <text>
        <t>[Threaded comment]
Your version of Excel allows you to read this threaded comment; however, any edits to it will get removed if the file is opened in a newer version of Excel. Learn more: https://go.microsoft.com/fwlink/?linkid=870924
Comment:
    11/12/24: Adjusted calculation to include lifetime  for portable HP if the unit capacity is &lt;18,000 Btu per IL TRM v13.</t>
      </text>
    </comment>
    <comment ref="F120" authorId="13" shapeId="0" xr:uid="{26F6EB03-DDE5-4BFD-BAF4-321DA07FD8C5}">
      <text>
        <t>[Threaded comment]
Your version of Excel allows you to read this threaded comment; however, any edits to it will get removed if the file is opened in a newer version of Excel. Learn more: https://go.microsoft.com/fwlink/?linkid=870924
Comment:
    11/12/24: Adjusted calculation to include costs for portable HP if the unit capacity is &lt;18,000 Btu per IL TRM v13.</t>
      </text>
    </comment>
    <comment ref="F194" authorId="14" shapeId="0" xr:uid="{72591CEE-7CDB-4F43-A421-3282177FE2BE}">
      <text>
        <t>[Threaded comment]
Your version of Excel allows you to read this threaded comment; however, any edits to it will get removed if the file is opened in a newer version of Excel. Learn more: https://go.microsoft.com/fwlink/?linkid=870924
Comment:
    Updated to rely on UEF entered on Project Details. If blank, assumes 3.5 default value.</t>
      </text>
    </comment>
    <comment ref="F196" authorId="15" shapeId="0" xr:uid="{93DA18B6-C566-4F25-935F-3A4EF7BFDDB2}">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207" authorId="16" shapeId="0" xr:uid="{A37FA99F-7A20-4B6F-9719-96ABABAACE75}">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216" authorId="17" shapeId="0" xr:uid="{FBB8310E-9459-4E41-9AC0-8FC69A016C99}">
      <text>
        <t>[Threaded comment]
Your version of Excel allows you to read this threaded comment; however, any edits to it will get removed if the file is opened in a newer version of Excel. Learn more: https://go.microsoft.com/fwlink/?linkid=870924
Comment:
    Updated to rely on capacity entered on Project Details.</t>
      </text>
    </comment>
    <comment ref="F219" authorId="18" shapeId="0" xr:uid="{0302E054-E7AF-4F9B-A8EC-0A580750BD06}">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G236" authorId="19" shapeId="0" xr:uid="{EE2A2CD8-5157-4118-B273-68D64B1033CF}">
      <text>
        <t>[Threaded comment]
Your version of Excel allows you to read this threaded comment; however, any edits to it will get removed if the file is opened in a newer version of Excel. Learn more: https://go.microsoft.com/fwlink/?linkid=870924
Comment:
    IL TRM v11, Residential Heat Pump DHW Winter Peak and Winter Off-Peak Loadshapes.</t>
      </text>
    </comment>
    <comment ref="G237" authorId="20" shapeId="0" xr:uid="{CBF4D2A7-2D73-4D6E-AF38-DF5D5CC15900}">
      <text>
        <t>[Threaded comment]
Your version of Excel allows you to read this threaded comment; however, any edits to it will get removed if the file is opened in a newer version of Excel. Learn more: https://go.microsoft.com/fwlink/?linkid=870924
Comment:
    IL TRM v11, Residential Heat Pump DHW Summer Peak and Winter Off-Peak Loadshapes.</t>
      </text>
    </comment>
    <comment ref="F243" authorId="21" shapeId="0" xr:uid="{7FB49F37-FB33-40E5-8051-3A3486BABFC7}">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254" authorId="22" shapeId="0" xr:uid="{943D9346-E7CC-4073-90E2-0B79B314F3B5}">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294" authorId="23" shapeId="0" xr:uid="{BFA56017-FE54-444E-9CAE-5992C40EC9E3}">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299" authorId="24" shapeId="0" xr:uid="{C11C705F-B521-4F84-8C7D-1BC5E19D2AFF}">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886" authorId="25" shapeId="0" xr:uid="{BBC4EDED-DE89-4846-A342-FB976C405795}">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903" authorId="26" shapeId="0" xr:uid="{F9431939-3288-4709-80B4-4D917C13ACD9}">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tc={CAC976A7-1B31-431C-A33F-0FA099E6C356}</author>
    <author>tc={4EF5D425-A53E-48B9-BFC2-77A6111447D7}</author>
    <author>tc={4443119E-4C16-4871-B9DD-6C5766E40B38}</author>
    <author>tc={470FE59B-5519-418F-ADDF-A3C6D60B091C}</author>
    <author>tc={E6B4C447-0B90-4134-8FE0-31ED098689C0}</author>
    <author>tc={2872C561-E4DC-4DDE-89F7-1F124676BDCD}</author>
  </authors>
  <commentList>
    <comment ref="C15" authorId="0" shapeId="0" xr:uid="{CAC976A7-1B31-431C-A33F-0FA099E6C356}">
      <text>
        <t>[Threaded comment]
Your version of Excel allows you to read this threaded comment; however, any edits to it will get removed if the file is opened in a newer version of Excel. Learn more: https://go.microsoft.com/fwlink/?linkid=870924
Comment:
    https://www.eia.gov/energyexplained/units-and-calculators/british-thermal-units.php</t>
      </text>
    </comment>
    <comment ref="D15" authorId="1" shapeId="0" xr:uid="{4EF5D425-A53E-48B9-BFC2-77A6111447D7}">
      <text>
        <t>[Threaded comment]
Your version of Excel allows you to read this threaded comment; however, any edits to it will get removed if the file is opened in a newer version of Excel. Learn more: https://go.microsoft.com/fwlink/?linkid=870924
Comment:
    https://www.eia.gov/environment/emissions/co2_vol_mass.php</t>
      </text>
    </comment>
    <comment ref="D16" authorId="2" shapeId="0" xr:uid="{4443119E-4C16-4871-B9DD-6C5766E40B38}">
      <text>
        <t>[Threaded comment]
Your version of Excel allows you to read this threaded comment; however, any edits to it will get removed if the file is opened in a newer version of Excel. Learn more: https://go.microsoft.com/fwlink/?linkid=870924
Comment:
    https://www.eia.gov/environment/emissions/co2_vol_mass.php</t>
      </text>
    </comment>
    <comment ref="C17" authorId="3" shapeId="0" xr:uid="{470FE59B-5519-418F-ADDF-A3C6D60B091C}">
      <text>
        <t>[Threaded comment]
Your version of Excel allows you to read this threaded comment; however, any edits to it will get removed if the file is opened in a newer version of Excel. Learn more: https://go.microsoft.com/fwlink/?linkid=870924
Comment:
    https://www.eia.gov/energyexplained/units-and-calculators/british-thermal-units.php</t>
      </text>
    </comment>
    <comment ref="D17" authorId="4" shapeId="0" xr:uid="{E6B4C447-0B90-4134-8FE0-31ED098689C0}">
      <text>
        <t>[Threaded comment]
Your version of Excel allows you to read this threaded comment; however, any edits to it will get removed if the file is opened in a newer version of Excel. Learn more: https://go.microsoft.com/fwlink/?linkid=870924
Comment:
    https://www.eia.gov/environment/emissions/co2_vol_mass.php</t>
      </text>
    </comment>
    <comment ref="D18" authorId="5" shapeId="0" xr:uid="{2872C561-E4DC-4DDE-89F7-1F124676BDCD}">
      <text>
        <t>[Threaded comment]
Your version of Excel allows you to read this threaded comment; however, any edits to it will get removed if the file is opened in a newer version of Excel. Learn more: https://go.microsoft.com/fwlink/?linkid=870924
Comment:
    AIC Emissions Factor Forecast, 2022.</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tc={6C79ACEF-A937-471D-93A9-07FA049D2B4D}</author>
    <author>tc={DE653FE0-3BE3-4171-833E-1781D5791F79}</author>
    <author>tc={57C539AF-771D-4CF9-8ECE-17A685547696}</author>
    <author>tc={30039BAD-BB79-4E0C-A4ED-DA321BD82082}</author>
    <author>tc={49ADF9D2-4CF1-40E3-8E9E-2C1429CBB107}</author>
  </authors>
  <commentList>
    <comment ref="F545" authorId="0" shapeId="0" xr:uid="{6C79ACEF-A937-471D-93A9-07FA049D2B4D}">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556" authorId="1" shapeId="0" xr:uid="{DE653FE0-3BE3-4171-833E-1781D5791F79}">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561" authorId="2" shapeId="0" xr:uid="{57C539AF-771D-4CF9-8ECE-17A685547696}">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571" authorId="3" shapeId="0" xr:uid="{30039BAD-BB79-4E0C-A4ED-DA321BD82082}">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 ref="F578" authorId="4" shapeId="0" xr:uid="{49ADF9D2-4CF1-40E3-8E9E-2C1429CBB107}">
      <text>
        <t>[Threaded comment]
Your version of Excel allows you to read this threaded comment; however, any edits to it will get removed if the file is opened in a newer version of Excel. Learn more: https://go.microsoft.com/fwlink/?linkid=870924
Comment:
    11/12/24: Updated to reflect IL TRM v13.</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tc={1711F2BA-9C30-4E4D-9B24-48EE27861291}</author>
    <author>tc={ABBF634D-113A-46B6-B7E3-1B47954545C0}</author>
    <author>tc={3EB5AA5E-D10C-4ABF-BA5C-8E6763A1B2E1}</author>
    <author>tc={F0FE4986-9DC8-453B-8A4B-091D6D5ACAAB}</author>
    <author>tc={672BF983-9623-4384-A5CF-FD4534AB73B5}</author>
    <author>tc={31ACA6CF-A318-4F22-8B47-B7FFDB2793F2}</author>
  </authors>
  <commentList>
    <comment ref="C15" authorId="0" shapeId="0" xr:uid="{1711F2BA-9C30-4E4D-9B24-48EE27861291}">
      <text>
        <t>[Threaded comment]
Your version of Excel allows you to read this threaded comment; however, any edits to it will get removed if the file is opened in a newer version of Excel. Learn more: https://go.microsoft.com/fwlink/?linkid=870924
Comment:
    https://www.eia.gov/energyexplained/units-and-calculators/british-thermal-units.php</t>
      </text>
    </comment>
    <comment ref="D15" authorId="1" shapeId="0" xr:uid="{ABBF634D-113A-46B6-B7E3-1B47954545C0}">
      <text>
        <t>[Threaded comment]
Your version of Excel allows you to read this threaded comment; however, any edits to it will get removed if the file is opened in a newer version of Excel. Learn more: https://go.microsoft.com/fwlink/?linkid=870924
Comment:
    https://www.eia.gov/environment/emissions/co2_vol_mass.php</t>
      </text>
    </comment>
    <comment ref="D16" authorId="2" shapeId="0" xr:uid="{3EB5AA5E-D10C-4ABF-BA5C-8E6763A1B2E1}">
      <text>
        <t>[Threaded comment]
Your version of Excel allows you to read this threaded comment; however, any edits to it will get removed if the file is opened in a newer version of Excel. Learn more: https://go.microsoft.com/fwlink/?linkid=870924
Comment:
    https://www.eia.gov/environment/emissions/co2_vol_mass.php</t>
      </text>
    </comment>
    <comment ref="C17" authorId="3" shapeId="0" xr:uid="{F0FE4986-9DC8-453B-8A4B-091D6D5ACAAB}">
      <text>
        <t>[Threaded comment]
Your version of Excel allows you to read this threaded comment; however, any edits to it will get removed if the file is opened in a newer version of Excel. Learn more: https://go.microsoft.com/fwlink/?linkid=870924
Comment:
    https://www.eia.gov/energyexplained/units-and-calculators/british-thermal-units.php</t>
      </text>
    </comment>
    <comment ref="D17" authorId="4" shapeId="0" xr:uid="{672BF983-9623-4384-A5CF-FD4534AB73B5}">
      <text>
        <t>[Threaded comment]
Your version of Excel allows you to read this threaded comment; however, any edits to it will get removed if the file is opened in a newer version of Excel. Learn more: https://go.microsoft.com/fwlink/?linkid=870924
Comment:
    https://www.eia.gov/environment/emissions/co2_vol_mass.php</t>
      </text>
    </comment>
    <comment ref="D18" authorId="5" shapeId="0" xr:uid="{31ACA6CF-A318-4F22-8B47-B7FFDB2793F2}">
      <text>
        <t>[Threaded comment]
Your version of Excel allows you to read this threaded comment; however, any edits to it will get removed if the file is opened in a newer version of Excel. Learn more: https://go.microsoft.com/fwlink/?linkid=870924
Comment:
    AIC Emissions Factor Forecast, 2022.</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Armstrong, Matthew G</author>
  </authors>
  <commentList>
    <comment ref="B7" authorId="0" shapeId="0" xr:uid="{C7A73047-677E-4BBD-87D2-031F90F58E06}">
      <text>
        <r>
          <rPr>
            <b/>
            <sz val="9"/>
            <color indexed="81"/>
            <rFont val="Tahoma"/>
            <family val="2"/>
          </rPr>
          <t>Armstrong, Matthew G:</t>
        </r>
        <r>
          <rPr>
            <sz val="9"/>
            <color indexed="81"/>
            <rFont val="Tahoma"/>
            <family val="2"/>
          </rPr>
          <t xml:space="preserve">
Keith, do we want to add this fixed charge?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tc={B4BE6945-B542-4EDD-97F3-A5FFB0D99698}</author>
  </authors>
  <commentList>
    <comment ref="D5" authorId="0" shapeId="0" xr:uid="{B4BE6945-B542-4EDD-97F3-A5FFB0D99698}">
      <text>
        <t>[Threaded comment]
Your version of Excel allows you to read this threaded comment; however, any edits to it will get removed if the file is opened in a newer version of Excel. Learn more: https://go.microsoft.com/fwlink/?linkid=870924
Comment:
    Fixed charge.</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Perniciaro, Dominic</author>
  </authors>
  <commentList>
    <comment ref="I1" authorId="0" shapeId="0" xr:uid="{00000000-0006-0000-0100-000001000000}">
      <text>
        <r>
          <rPr>
            <b/>
            <sz val="9"/>
            <color indexed="81"/>
            <rFont val="Tahoma"/>
            <family val="2"/>
          </rPr>
          <t>This field is used to update the columns for the pivot table.</t>
        </r>
      </text>
    </comment>
    <comment ref="E5" authorId="0" shapeId="0" xr:uid="{00000000-0006-0000-0100-000002000000}">
      <text>
        <r>
          <rPr>
            <b/>
            <sz val="9"/>
            <color indexed="81"/>
            <rFont val="Tahoma"/>
            <family val="2"/>
          </rPr>
          <t>The Effective Date of the change is a placeholder to be used as needed but does not currently impact the process.</t>
        </r>
      </text>
    </comment>
    <comment ref="L5" authorId="0" shapeId="0" xr:uid="{00000000-0006-0000-0100-000003000000}">
      <text>
        <r>
          <rPr>
            <b/>
            <sz val="9"/>
            <color indexed="81"/>
            <rFont val="Tahoma"/>
            <family val="2"/>
          </rPr>
          <t>Enter the December of the prior calendar year.  Copy the "Current" rate from the previous year's file.</t>
        </r>
      </text>
    </comment>
  </commentList>
</comments>
</file>

<file path=xl/sharedStrings.xml><?xml version="1.0" encoding="utf-8"?>
<sst xmlns="http://schemas.openxmlformats.org/spreadsheetml/2006/main" count="19974" uniqueCount="938">
  <si>
    <t>AMEREN ILLINOIS ENERGY EFFICIENCY PROGRAM</t>
  </si>
  <si>
    <t>PY2025 Electrification Summary</t>
  </si>
  <si>
    <t>SECTION 1: PROJECT INFORMATION</t>
  </si>
  <si>
    <t>AMIL #:</t>
  </si>
  <si>
    <t>Address:</t>
  </si>
  <si>
    <t>City:</t>
  </si>
  <si>
    <t>IL</t>
  </si>
  <si>
    <t>ZIP:</t>
  </si>
  <si>
    <t>LICA Tier</t>
  </si>
  <si>
    <t>Existing Primary Conditioning Equipment</t>
  </si>
  <si>
    <t>Heating Equipment</t>
  </si>
  <si>
    <t>Cooling Equipment</t>
  </si>
  <si>
    <t>System
Type:</t>
  </si>
  <si>
    <t xml:space="preserve"> Heating Capacity
 Input (Btuh):</t>
  </si>
  <si>
    <t>Cooling Capacity
(Btuh):</t>
  </si>
  <si>
    <t>Rated AFUE:</t>
  </si>
  <si>
    <t>Year of
Manufacture:</t>
  </si>
  <si>
    <t>Rated SEER:</t>
  </si>
  <si>
    <t>Existing Water Heater Tank Storage Volume (in gallons):</t>
  </si>
  <si>
    <t>Proposed Primary Conditioning Equipment - Electrification</t>
  </si>
  <si>
    <t>SEER2:</t>
  </si>
  <si>
    <t>HSPF2:</t>
  </si>
  <si>
    <t>EER2:</t>
  </si>
  <si>
    <t>Cooling Capacity (Btuh):</t>
  </si>
  <si>
    <t>Heating Capacity @ 47F (Btuh):</t>
  </si>
  <si>
    <t>Proposed High Efficiency Equipment - No Electrification</t>
  </si>
  <si>
    <t>AFUE:</t>
  </si>
  <si>
    <t>Heating Capacity:</t>
  </si>
  <si>
    <t>SECTION 2: ENERGY EFFICIENCY MEASURE INFORMATION</t>
  </si>
  <si>
    <t>2A: Building Envelope Measures</t>
  </si>
  <si>
    <t>Air Sealing</t>
  </si>
  <si>
    <t>QTY:</t>
  </si>
  <si>
    <t>Pre-test CFM50:</t>
  </si>
  <si>
    <t>Post-test CFM50:</t>
  </si>
  <si>
    <t>Attic Insulation (1)</t>
  </si>
  <si>
    <t>SQ FT:</t>
  </si>
  <si>
    <t>Pre-install R-value:</t>
  </si>
  <si>
    <t>Post-install R-value:</t>
  </si>
  <si>
    <t>Attic Insulation (2)</t>
  </si>
  <si>
    <t>Kneewall Insulation</t>
  </si>
  <si>
    <t>Wall Insulation</t>
  </si>
  <si>
    <t>Rim Joist Insulation</t>
  </si>
  <si>
    <t>LN FT:</t>
  </si>
  <si>
    <t>Crawlspace Wall Insulation</t>
  </si>
  <si>
    <t>Smart Thermostat</t>
  </si>
  <si>
    <t>Existing  Fuel:</t>
  </si>
  <si>
    <t>**not on Dashboard</t>
  </si>
  <si>
    <t>2B: Appliances/HVAC Measures</t>
  </si>
  <si>
    <t>Existing</t>
  </si>
  <si>
    <t>Proposed</t>
  </si>
  <si>
    <t>Cooktop</t>
  </si>
  <si>
    <t>Clothes Dryer</t>
  </si>
  <si>
    <t>Water Heater</t>
  </si>
  <si>
    <t>UEF:</t>
  </si>
  <si>
    <t>Furnace</t>
  </si>
  <si>
    <t>SECTION 3: CUSTOMER SUMMARY - Annual Customer Energy Bill Impacts</t>
  </si>
  <si>
    <t>3A: Replace fossil fuel heating with electric and weatherization</t>
  </si>
  <si>
    <t>3B: Leave existing heat source and complete weatherization</t>
  </si>
  <si>
    <t>3C: Install high efficiency furnace and weatherization*</t>
  </si>
  <si>
    <t>Fossil Fuel Bill Savings</t>
  </si>
  <si>
    <t>Electric Bill Savings</t>
  </si>
  <si>
    <t>Estimated Bill Savings</t>
  </si>
  <si>
    <t>*Scenario 3C is for estimated savings comparison only and not an option available through the Ameren IL Energy Efficiency Program</t>
  </si>
  <si>
    <t>SECTION 4: CUSTOMER ACKNOWLEDGEMENT</t>
  </si>
  <si>
    <t>These are projected savings based upon modeling and are not guaranteed. The bill savings may not be an accurate representation of the actual savings due to variances in equipment, assumptions in home performance, cost of energy, or other energy use. Ameren Illinois, its parent, affiliates and subsidiaries, and their directors, officers, employees, contractors or agents shall not be liable to the customer for the failure to achieve energy savings in general or as listed above.</t>
  </si>
  <si>
    <t xml:space="preserve">I, the undersigned, agree that the information above is representative of what has been discussed and proposed by the participating program ally (contractor). </t>
  </si>
  <si>
    <t>Print Customer Name</t>
  </si>
  <si>
    <t>Customer Signature</t>
  </si>
  <si>
    <t>Date</t>
  </si>
  <si>
    <t>Program Ally Signature</t>
  </si>
  <si>
    <t>SECTION 5: BREAKDOWN OF ESTIMATED SAVINGS FOR ELECTRIFICATION</t>
  </si>
  <si>
    <t>For Option 3A above, here is the breakdown of estimated savings:</t>
  </si>
  <si>
    <t>Equipment</t>
  </si>
  <si>
    <t>Average Monthly Estimated Savings</t>
  </si>
  <si>
    <t>Average Annual Estimated Savings</t>
  </si>
  <si>
    <t>Induction Cooktop</t>
  </si>
  <si>
    <t>Heat Pump Clothes Dryer</t>
  </si>
  <si>
    <t>Heat Pump Water Heater</t>
  </si>
  <si>
    <t>Weatherization</t>
  </si>
  <si>
    <t>Total</t>
  </si>
  <si>
    <t>Key Impacts</t>
  </si>
  <si>
    <t>Rate Inputs</t>
  </si>
  <si>
    <t>Weather-Sensitive Inputs</t>
  </si>
  <si>
    <t>Weatherization Project Inputs</t>
  </si>
  <si>
    <t>Annual Bill Savings ($)</t>
  </si>
  <si>
    <t>Current Date</t>
  </si>
  <si>
    <t>Climate Zone</t>
  </si>
  <si>
    <t>Total CFM50 Reduction</t>
  </si>
  <si>
    <t>Annual BTU Savings</t>
  </si>
  <si>
    <t>Electric Rate Class</t>
  </si>
  <si>
    <t>DS-1 (Residential)</t>
  </si>
  <si>
    <t>Ceiling/Attic Insulation #1</t>
  </si>
  <si>
    <t>Total Project Sqft</t>
  </si>
  <si>
    <t>Annual Claimable kWh Savings</t>
  </si>
  <si>
    <t>Natural Gas Rate Class</t>
  </si>
  <si>
    <t>GDS-1 (Residential)</t>
  </si>
  <si>
    <t>Heating System Inputs</t>
  </si>
  <si>
    <t>Ceiling/Attic Insulation #2</t>
  </si>
  <si>
    <t>Total Project Cost</t>
  </si>
  <si>
    <t>Electricity (Non-Summer)</t>
  </si>
  <si>
    <t>/kWh</t>
  </si>
  <si>
    <t>HSPF/COP_EE</t>
  </si>
  <si>
    <t>Attic Kneewall Insulation #1</t>
  </si>
  <si>
    <t>$/kWh Savings Yield</t>
  </si>
  <si>
    <t>Electricity (Summer)</t>
  </si>
  <si>
    <t>AFUE_EE</t>
  </si>
  <si>
    <t>Attic Kneewall Insulation #2</t>
  </si>
  <si>
    <t>First Year CO2 Savings (lb)</t>
  </si>
  <si>
    <t>Natural Gas</t>
  </si>
  <si>
    <t>/MMBTU</t>
  </si>
  <si>
    <t>AFUE_Base</t>
  </si>
  <si>
    <t>Natural Gas (Customer Charge)</t>
  </si>
  <si>
    <t>/Month</t>
  </si>
  <si>
    <t>Heating Btuh_EE</t>
  </si>
  <si>
    <t>Rim/Band Joist Insulation</t>
  </si>
  <si>
    <t>Key</t>
  </si>
  <si>
    <t>Natural Gas Elimination</t>
  </si>
  <si>
    <t>Heating Btuh_Base</t>
  </si>
  <si>
    <t>Basement Sidewall Insulation</t>
  </si>
  <si>
    <t>Total Length (ft)</t>
  </si>
  <si>
    <t>User Input</t>
  </si>
  <si>
    <t>Output</t>
  </si>
  <si>
    <t>Propane Elimination</t>
  </si>
  <si>
    <t>Switchover Temperature</t>
  </si>
  <si>
    <t>32F</t>
  </si>
  <si>
    <t>Above Grade Height (ft)</t>
  </si>
  <si>
    <t>Propane</t>
  </si>
  <si>
    <t>/gal</t>
  </si>
  <si>
    <t>Total Height (ft)</t>
  </si>
  <si>
    <t>Fuel Oil</t>
  </si>
  <si>
    <t>Cooling System Inputs</t>
  </si>
  <si>
    <t>SEER2_EE/EER2_PL</t>
  </si>
  <si>
    <t>Insulation Properties</t>
  </si>
  <si>
    <t>Pre R-Value</t>
  </si>
  <si>
    <t>Post R-Value</t>
  </si>
  <si>
    <t>Derated AFUE_Base</t>
  </si>
  <si>
    <t>SEER2_Base</t>
  </si>
  <si>
    <t>converted to SEER2</t>
  </si>
  <si>
    <t>Derated SEER_Base</t>
  </si>
  <si>
    <t>Capacity_ASHPCool</t>
  </si>
  <si>
    <t>Existing Central Cooling</t>
  </si>
  <si>
    <t>Customer Type</t>
  </si>
  <si>
    <t>Income Eligible?</t>
  </si>
  <si>
    <t>Yes</t>
  </si>
  <si>
    <t>Measure Selection</t>
  </si>
  <si>
    <t>Sector</t>
  </si>
  <si>
    <t>End Use</t>
  </si>
  <si>
    <t>Existing Technology</t>
  </si>
  <si>
    <t>Existing Fuel</t>
  </si>
  <si>
    <t>New Technology</t>
  </si>
  <si>
    <t>Project Cost</t>
  </si>
  <si>
    <t>Existing Technology BTU Impacts</t>
  </si>
  <si>
    <t>New Technology BTU Impacts</t>
  </si>
  <si>
    <t>Total BTU Impacts by Fuel Type</t>
  </si>
  <si>
    <t>Bill Impacts by Fuel Type</t>
  </si>
  <si>
    <t>kWh-Equivalent Savings</t>
  </si>
  <si>
    <t>CO2 Savings</t>
  </si>
  <si>
    <t>Fossil Fuel</t>
  </si>
  <si>
    <t>Winter Electricity</t>
  </si>
  <si>
    <t>Summer Electricity</t>
  </si>
  <si>
    <t>Total Electricity</t>
  </si>
  <si>
    <t>Electricity</t>
  </si>
  <si>
    <t>Residential</t>
  </si>
  <si>
    <t>HVAC</t>
  </si>
  <si>
    <t>n/a</t>
  </si>
  <si>
    <t>Hot Water</t>
  </si>
  <si>
    <t>Appliances</t>
  </si>
  <si>
    <t>Building Shell</t>
  </si>
  <si>
    <t>Uninsulated</t>
  </si>
  <si>
    <t>Total Net BTU Impacts =</t>
  </si>
  <si>
    <t>Total Net Bill Impacts =</t>
  </si>
  <si>
    <t>Total Net Claimable kWh Savings =</t>
  </si>
  <si>
    <t>Total Net CO2 Savings =</t>
  </si>
  <si>
    <t>Annual kWh-Equivalent Savings</t>
  </si>
  <si>
    <t>HSPF_EE</t>
  </si>
  <si>
    <t>$/kWh-Equivalent Savings Yield</t>
  </si>
  <si>
    <t>Partial</t>
  </si>
  <si>
    <t>SEER_EE</t>
  </si>
  <si>
    <t>Has Central Cooling?</t>
  </si>
  <si>
    <t>Air Sealing (Fossil Fuel Heat)</t>
  </si>
  <si>
    <t>Ceiling/Attic Insulation #1 (Fossil Fuel Heat)</t>
  </si>
  <si>
    <t>Ceiling/Attic Insulation #2 (Fossil Fuel Heat)</t>
  </si>
  <si>
    <t>Attic Kneewall Insulation #1 (Fossil Fuel Heat)</t>
  </si>
  <si>
    <t>Attic Kneewall Insulation #2 (Fossil Fuel Heat)</t>
  </si>
  <si>
    <t>Wall Insulation (Fossil Fuel Heat)</t>
  </si>
  <si>
    <t>Rim/Band Joist Insulation (Fossil Fuel Heat)</t>
  </si>
  <si>
    <t>Basement Sidewall Insulation (Fossil Fuel Heat)</t>
  </si>
  <si>
    <t>Total Net kWh-Equivalent Savings =</t>
  </si>
  <si>
    <t>ASHP</t>
  </si>
  <si>
    <t>Propane Furnace</t>
  </si>
  <si>
    <t>Central Air Conditioning</t>
  </si>
  <si>
    <t>N/A</t>
  </si>
  <si>
    <t>DHP</t>
  </si>
  <si>
    <t>Propane Boiler</t>
  </si>
  <si>
    <t>Window Unit AC</t>
  </si>
  <si>
    <t>Electric</t>
  </si>
  <si>
    <t>Tier 1</t>
  </si>
  <si>
    <t>GSHP</t>
  </si>
  <si>
    <t>Tier 2</t>
  </si>
  <si>
    <t>Tier 3</t>
  </si>
  <si>
    <t>None</t>
  </si>
  <si>
    <t>Tier 4</t>
  </si>
  <si>
    <t>Tier 5</t>
  </si>
  <si>
    <t>High Efficiency Furnace</t>
  </si>
  <si>
    <t>High Efficiency Boiler</t>
  </si>
  <si>
    <t>Air Source Heat Pump</t>
  </si>
  <si>
    <t>Ductless Minisplit Heat Pump</t>
  </si>
  <si>
    <t>Ground Source Heat Pump</t>
  </si>
  <si>
    <t>17F</t>
  </si>
  <si>
    <t>20F</t>
  </si>
  <si>
    <t>23F</t>
  </si>
  <si>
    <t>26F</t>
  </si>
  <si>
    <t>29F</t>
  </si>
  <si>
    <t>35F</t>
  </si>
  <si>
    <t>38F</t>
  </si>
  <si>
    <t>41F</t>
  </si>
  <si>
    <t>44F</t>
  </si>
  <si>
    <t>47F</t>
  </si>
  <si>
    <t>Zip Code: Zip Code Name</t>
  </si>
  <si>
    <t>Heating City</t>
  </si>
  <si>
    <t>Heating Zone</t>
  </si>
  <si>
    <t>Cooling City</t>
  </si>
  <si>
    <t>Cooling Zone</t>
  </si>
  <si>
    <t>2 (Chicago)</t>
  </si>
  <si>
    <t>3 (Springfield)</t>
  </si>
  <si>
    <t>4 (Belleville)</t>
  </si>
  <si>
    <t>5 (Marion)</t>
  </si>
  <si>
    <t>Measure / Technology</t>
  </si>
  <si>
    <t>Attribute</t>
  </si>
  <si>
    <t>Value</t>
  </si>
  <si>
    <t>Description</t>
  </si>
  <si>
    <t>Source</t>
  </si>
  <si>
    <t>TRM Measure Code</t>
  </si>
  <si>
    <t>ISFORMULA()</t>
  </si>
  <si>
    <t>EFLH</t>
  </si>
  <si>
    <t>based on zip code</t>
  </si>
  <si>
    <t>Illinois Statewide Technical Reference Manual — 5.3.1 Air Source Heat Pumps (Centrally Ducted and Ductless)</t>
  </si>
  <si>
    <t>RS-HVC-ASHP-V15-250101</t>
  </si>
  <si>
    <t>Air-Source Heat Pump</t>
  </si>
  <si>
    <t>Capacity_ASHPheat (Btuh_Existing)</t>
  </si>
  <si>
    <t>Actual</t>
  </si>
  <si>
    <t>Heat Load Factor</t>
  </si>
  <si>
    <t>partial based on zip code (assumed 32F switchover temp)</t>
  </si>
  <si>
    <t>HeatLoad_Disp</t>
  </si>
  <si>
    <t>DuctlessSave</t>
  </si>
  <si>
    <t>ducted replaced by ducted</t>
  </si>
  <si>
    <t>AFUEbase</t>
  </si>
  <si>
    <t>GasHeatReplaced</t>
  </si>
  <si>
    <t>FurnaceFlag</t>
  </si>
  <si>
    <t>Furnace replaced</t>
  </si>
  <si>
    <t>Capacity_ASHPheat</t>
  </si>
  <si>
    <t>Fe</t>
  </si>
  <si>
    <t>FurnaceFanSavings</t>
  </si>
  <si>
    <t>MMBTU</t>
  </si>
  <si>
    <t>FLH_ASHPheat</t>
  </si>
  <si>
    <t>HSPF2_ee</t>
  </si>
  <si>
    <t>HSPF2_ClimateAdj</t>
  </si>
  <si>
    <t>full based on zip code (assumed 32F switchover temp)</t>
  </si>
  <si>
    <t>PD_Adj</t>
  </si>
  <si>
    <t>DeratingHeatEff</t>
  </si>
  <si>
    <t>unknown</t>
  </si>
  <si>
    <t>ASHPSiteHeatConsumed</t>
  </si>
  <si>
    <t>FLHcool</t>
  </si>
  <si>
    <t>Capacity_ASHPcool</t>
  </si>
  <si>
    <t>CoolingLoad</t>
  </si>
  <si>
    <t>SEER2_base</t>
  </si>
  <si>
    <t>DeratingCoolBase</t>
  </si>
  <si>
    <t>SEER2_ee</t>
  </si>
  <si>
    <t>DeratingCoolEff</t>
  </si>
  <si>
    <t>ASHPSiteCoolingImpact</t>
  </si>
  <si>
    <t>BTU_NewSiteCoolingImpact</t>
  </si>
  <si>
    <t>SiteEnergySavings (MMBTUs)</t>
  </si>
  <si>
    <t>Capacity_cooling</t>
  </si>
  <si>
    <t>Estimated cooling capacity</t>
  </si>
  <si>
    <t>EER_base</t>
  </si>
  <si>
    <t>Central AC, TOS</t>
  </si>
  <si>
    <t>EER_ee</t>
  </si>
  <si>
    <t>CF</t>
  </si>
  <si>
    <t>Summer System Peak Coincidence Factor for Heat Pumps in single-family homes (during system peak hour)</t>
  </si>
  <si>
    <t>Delta_kW</t>
  </si>
  <si>
    <t>kWh Saved per Unit</t>
  </si>
  <si>
    <t>Coincident Peak kW Saved per Unit</t>
  </si>
  <si>
    <t>Propane Gal Saved per Unit</t>
  </si>
  <si>
    <t>91,333 Btu per gal propane, IL EE Policy Manual v2.1</t>
  </si>
  <si>
    <t>Lifetime (years)</t>
  </si>
  <si>
    <t>Incremental Cost</t>
  </si>
  <si>
    <t>Leidos pricing for 3-ton SEER 16 ASHP with electrical upgrades</t>
  </si>
  <si>
    <t>BTU Impact_Existing_Fossil Fuel</t>
  </si>
  <si>
    <t>BTU Impact_Existing_Winter Electricity</t>
  </si>
  <si>
    <t>BTU Impact_Existing_Summer Electricity</t>
  </si>
  <si>
    <t>BTU Impact_New_Fossil Fuel</t>
  </si>
  <si>
    <t>BTU Impact_New_Winter Electricity</t>
  </si>
  <si>
    <t>BTU Impact_New_Summer Electricity</t>
  </si>
  <si>
    <t>Boiler</t>
  </si>
  <si>
    <t>Single Family</t>
  </si>
  <si>
    <t>Ductless Heat Pump</t>
  </si>
  <si>
    <t>Capacity_DMSHPheat (Btuh_Existing)</t>
  </si>
  <si>
    <t>ductless replaced by ductless</t>
  </si>
  <si>
    <t>No furnace replaced</t>
  </si>
  <si>
    <t>Capacity_DMSHPheat</t>
  </si>
  <si>
    <t>EFLHheat_DMSHP</t>
  </si>
  <si>
    <t>HeatLoadFactorelec</t>
  </si>
  <si>
    <t>DMSHPSiteHeatConsumed</t>
  </si>
  <si>
    <t>EFLHcool</t>
  </si>
  <si>
    <t>Capacity_DMSHPcool</t>
  </si>
  <si>
    <t>DMSHPSiteCoolingImpact</t>
  </si>
  <si>
    <t>Assumes no existing cooling system</t>
  </si>
  <si>
    <t>Capacitycool</t>
  </si>
  <si>
    <t>Illinois Statewide Technical Reference Manual — 5.3.8 Ground Source Heat Pump</t>
  </si>
  <si>
    <t>RS-HVC-GSHP-V15-250101</t>
  </si>
  <si>
    <t>HeatLoad</t>
  </si>
  <si>
    <t>FLH_GSHPheat</t>
  </si>
  <si>
    <t>Capacity_GSHPheat</t>
  </si>
  <si>
    <t>COP_pl</t>
  </si>
  <si>
    <t>GSHPSiteHeatConsumed</t>
  </si>
  <si>
    <t>Capacity_GSHPcool</t>
  </si>
  <si>
    <t>EER2_pl</t>
  </si>
  <si>
    <t>GSHPSiteCoolingImpact</t>
  </si>
  <si>
    <t>EER2_base</t>
  </si>
  <si>
    <t>Summer System Peak Coincidence Factor for Central A/C (during sytem peak hour)</t>
  </si>
  <si>
    <t>%DHW Displaced</t>
  </si>
  <si>
    <t>unknown, no desuperheater installed</t>
  </si>
  <si>
    <t>EF_gas</t>
  </si>
  <si>
    <t>unknown, assumed 40 gal</t>
  </si>
  <si>
    <t>EF_elec</t>
  </si>
  <si>
    <t>GPD</t>
  </si>
  <si>
    <t>Household</t>
  </si>
  <si>
    <t>yWater</t>
  </si>
  <si>
    <t>T_out</t>
  </si>
  <si>
    <t>T_in</t>
  </si>
  <si>
    <t>GSHPSiteWaterImpact_gas</t>
  </si>
  <si>
    <t>GSHPSiteWaterImpact_elec</t>
  </si>
  <si>
    <t>UEFBASE</t>
  </si>
  <si>
    <t>50 gallon</t>
  </si>
  <si>
    <t>Illinois Statewide Technical Reference Manual — 5.4.3 Heat Pump Water Heaters</t>
  </si>
  <si>
    <t>RS-HWE-HPWH-V14-250101</t>
  </si>
  <si>
    <t>UEFEFFICIENT</t>
  </si>
  <si>
    <t>Single-Family - Deemed</t>
  </si>
  <si>
    <t>γWater</t>
  </si>
  <si>
    <t>TOUT</t>
  </si>
  <si>
    <t>TIN</t>
  </si>
  <si>
    <t>LF</t>
  </si>
  <si>
    <t>Unknown location</t>
  </si>
  <si>
    <t>COPCOOL</t>
  </si>
  <si>
    <t>Unknown</t>
  </si>
  <si>
    <t>LM</t>
  </si>
  <si>
    <t>kWh_cooling</t>
  </si>
  <si>
    <t>COPHEAT</t>
  </si>
  <si>
    <t>%NaturalGas</t>
  </si>
  <si>
    <t>kWh_heating</t>
  </si>
  <si>
    <t>Deh_Reduction</t>
  </si>
  <si>
    <t>Delta_kWh</t>
  </si>
  <si>
    <t>Hours</t>
  </si>
  <si>
    <t>Unknown, 50-gal capacity</t>
  </si>
  <si>
    <t>Delta_Therms</t>
  </si>
  <si>
    <t>Delta_Btu</t>
  </si>
  <si>
    <t>Load</t>
  </si>
  <si>
    <t>Standard</t>
  </si>
  <si>
    <t>Illinois Statewide Technical Reference Manual — 5.1.10 ENERGY STAR Clothes Dryer</t>
  </si>
  <si>
    <t>RS-APL-ESDR-V07-250101</t>
  </si>
  <si>
    <t>CEFbase</t>
  </si>
  <si>
    <t>Vented Electric, Standard (≥ 4.4 ft3)</t>
  </si>
  <si>
    <t>CEFeff</t>
  </si>
  <si>
    <t>ES min</t>
  </si>
  <si>
    <t>Ncycles</t>
  </si>
  <si>
    <t>%Electric</t>
  </si>
  <si>
    <t>Electric Dryer</t>
  </si>
  <si>
    <t>ΔkWh</t>
  </si>
  <si>
    <t>ΔkW</t>
  </si>
  <si>
    <t>EFbase</t>
  </si>
  <si>
    <t>Vented Gas</t>
  </si>
  <si>
    <t>IQAdj</t>
  </si>
  <si>
    <t>Therm_convert</t>
  </si>
  <si>
    <t>%Gas</t>
  </si>
  <si>
    <t>Gas Dryer</t>
  </si>
  <si>
    <t>Δtherm</t>
  </si>
  <si>
    <t>Therms Saved per Unit</t>
  </si>
  <si>
    <t>ENERGY STAR</t>
  </si>
  <si>
    <t>Gas Dryer Electric Consumption</t>
  </si>
  <si>
    <t>Electric Range</t>
  </si>
  <si>
    <t>Cooktop AEC_basegas</t>
  </si>
  <si>
    <t>Illinois Statewide Technical Reference Manual — 5.1.14 Residential Induction Cooking Appliances</t>
  </si>
  <si>
    <t>RS-MSC-INDC-V03-250101</t>
  </si>
  <si>
    <t>Oven AEC_basegas</t>
  </si>
  <si>
    <t>AEC_basegas</t>
  </si>
  <si>
    <t>Gas Consumption Replaced</t>
  </si>
  <si>
    <t>Cooktop IAEC_ee</t>
  </si>
  <si>
    <t>Oven IAEC_ee</t>
  </si>
  <si>
    <t>unknown, range amount</t>
  </si>
  <si>
    <t>IAEC_ee</t>
  </si>
  <si>
    <t>Electric Consumption Added</t>
  </si>
  <si>
    <t>Eff_ee</t>
  </si>
  <si>
    <t>Eff_base</t>
  </si>
  <si>
    <t>Cooktop AEC_base</t>
  </si>
  <si>
    <t>AEC_baseelectric</t>
  </si>
  <si>
    <t>Electric Consumption Replaced</t>
  </si>
  <si>
    <t>Cooking Savings</t>
  </si>
  <si>
    <t>%Cool</t>
  </si>
  <si>
    <t>HCF_cool</t>
  </si>
  <si>
    <t>Vent Factor</t>
  </si>
  <si>
    <t>COP_cool</t>
  </si>
  <si>
    <t>Cooling Impact</t>
  </si>
  <si>
    <t>%ElectricHeat</t>
  </si>
  <si>
    <t>AIC unknown</t>
  </si>
  <si>
    <t>HCF_heat</t>
  </si>
  <si>
    <t>COP_heat</t>
  </si>
  <si>
    <t>ElecHeat Impact</t>
  </si>
  <si>
    <t>%FossilFuelHeat</t>
  </si>
  <si>
    <t>nHeat</t>
  </si>
  <si>
    <t>Fossil Fuel Heat Impact</t>
  </si>
  <si>
    <t>WHFd</t>
  </si>
  <si>
    <t>kW Saved per Unit</t>
  </si>
  <si>
    <t>Air Sealing (Electric Heat)</t>
  </si>
  <si>
    <t>CFM50_existing</t>
  </si>
  <si>
    <t>per project</t>
  </si>
  <si>
    <t>Illinois Statewide Technical Reference Manual — 5.6.1 Air Sealing</t>
  </si>
  <si>
    <t>RS-SHL-AIRS-V14-250101</t>
  </si>
  <si>
    <t>CFM50_new</t>
  </si>
  <si>
    <t>per CFM</t>
  </si>
  <si>
    <t>N_cool</t>
  </si>
  <si>
    <t>Springfield, 1.5 stories</t>
  </si>
  <si>
    <t>CDD</t>
  </si>
  <si>
    <t>Based on zip code</t>
  </si>
  <si>
    <t>DUA</t>
  </si>
  <si>
    <t>ηCool</t>
  </si>
  <si>
    <t>ηCool_Mid-Life_Adj</t>
  </si>
  <si>
    <t>Springfield</t>
  </si>
  <si>
    <t>ADJAirSealingCool</t>
  </si>
  <si>
    <t>Air sealing and attic insulation</t>
  </si>
  <si>
    <t>IENetCorrection</t>
  </si>
  <si>
    <t>Delta_kWh_cooling</t>
  </si>
  <si>
    <t>Delta_kWh_cooling_Mid-Life_Adj</t>
  </si>
  <si>
    <t>N_heat</t>
  </si>
  <si>
    <t>HDD</t>
  </si>
  <si>
    <t>ηHeat</t>
  </si>
  <si>
    <t>ηHeat_Mid-Life_Adj</t>
  </si>
  <si>
    <t>Electric Heat</t>
  </si>
  <si>
    <t>Delta_kWh_heatingElectric</t>
  </si>
  <si>
    <t>Delta_kWh_heatingElectric_Mid-Life_Adj</t>
  </si>
  <si>
    <t>ADJAirSealingHeatFan</t>
  </si>
  <si>
    <t>Delta_kWh_heatingGas</t>
  </si>
  <si>
    <t>Delta_kWh_heatingGas_Mid-Life_Adj</t>
  </si>
  <si>
    <t>FLH_cooling</t>
  </si>
  <si>
    <t>Delta_kW_Mid-Life_Adj</t>
  </si>
  <si>
    <t>ADJAirSealingGasHeat</t>
  </si>
  <si>
    <t>Delta_therms</t>
  </si>
  <si>
    <t>Delta_therms_Mid-Life_Adj</t>
  </si>
  <si>
    <t>Remaining Year kWh</t>
  </si>
  <si>
    <t>Remaining Year kW</t>
  </si>
  <si>
    <t>Remaining Year Therms</t>
  </si>
  <si>
    <t>Remaining Life</t>
  </si>
  <si>
    <t>Direct Install, set equal to incentive cost</t>
  </si>
  <si>
    <t>Ceiling/Attic Insulation #1 (Electric Heat)</t>
  </si>
  <si>
    <t>R_old</t>
  </si>
  <si>
    <t>Illinois Statewide Technical Reference Manual — 5.6.5 Ceiling/Attic Insulation</t>
  </si>
  <si>
    <t>RS-SHL-AINS-V08-250101</t>
  </si>
  <si>
    <t>R_attic</t>
  </si>
  <si>
    <t>A_attic</t>
  </si>
  <si>
    <t>Framing_factor_attic</t>
  </si>
  <si>
    <t>ADJAtticCool</t>
  </si>
  <si>
    <t>ADJAtticElectricHeat</t>
  </si>
  <si>
    <t>ADJAtticHeatFan</t>
  </si>
  <si>
    <t>ADJAtticGasHeat</t>
  </si>
  <si>
    <t>%GasHeat</t>
  </si>
  <si>
    <t>Ceiling/Attic Insulation #2 (Electric Heat)</t>
  </si>
  <si>
    <t>Attic Kneewall Insulation #1 (Electric Heat)</t>
  </si>
  <si>
    <t>Illinois Statewide Technical Reference Manual — 5.6.4 Wall Insulation</t>
  </si>
  <si>
    <t>RS-SHL-WINS-V14-250101</t>
  </si>
  <si>
    <t>R_wall</t>
  </si>
  <si>
    <t>A_wall</t>
  </si>
  <si>
    <t>Framing_factor_wall</t>
  </si>
  <si>
    <t>ADJWallCool</t>
  </si>
  <si>
    <t>ADJWallHeat</t>
  </si>
  <si>
    <t>Delta_Therms_Mid-Life_Adj</t>
  </si>
  <si>
    <t>Attic Kneewall Insulation #2 (Electric Heat)</t>
  </si>
  <si>
    <t>Wall Insulation (Electric Heat)</t>
  </si>
  <si>
    <t>Uninsulated assembly</t>
  </si>
  <si>
    <t>Rim/Band Joist Insulation (Electric Heat)</t>
  </si>
  <si>
    <t>Illinois Statewide Technical Reference Manual — 5.6.6 Rim/Band Joist Insulation</t>
  </si>
  <si>
    <t>RS-SHL-RINS-V07-250101</t>
  </si>
  <si>
    <t>R_rim</t>
  </si>
  <si>
    <t>A_rim</t>
  </si>
  <si>
    <t>Framing_factor_rim</t>
  </si>
  <si>
    <t>Based on zip code, unconditioned values</t>
  </si>
  <si>
    <t>ADJBasementCool</t>
  </si>
  <si>
    <t>ADJBasementHeat</t>
  </si>
  <si>
    <t>Basement Sidewall Insulation (Electric Heat)</t>
  </si>
  <si>
    <t>R_old_AG</t>
  </si>
  <si>
    <t>Illinois Statewide Technical Reference Manual — 5.6.2 Basement Sidewall Insulation</t>
  </si>
  <si>
    <t>RS-SHL-BINS-V15-250101</t>
  </si>
  <si>
    <t>R_added</t>
  </si>
  <si>
    <t>TRM e.g.</t>
  </si>
  <si>
    <t>L_basement_wall_total</t>
  </si>
  <si>
    <t>H_basement_wall_AG</t>
  </si>
  <si>
    <t>Framing_factor</t>
  </si>
  <si>
    <t>Studs and cavity insulation</t>
  </si>
  <si>
    <t>R_old_BG</t>
  </si>
  <si>
    <t>4 ft below grade</t>
  </si>
  <si>
    <t>H_basement_wall_total</t>
  </si>
  <si>
    <t>Illinois Statewide Technical Reference Manual — 5.3.7 Gas High Efficiency Furnace</t>
  </si>
  <si>
    <t>RS-HVC-GHEF-V14-250101</t>
  </si>
  <si>
    <t>Gas High Efficiency Furnace</t>
  </si>
  <si>
    <t>CAPInput</t>
  </si>
  <si>
    <t>Heating Btuh_Existing</t>
  </si>
  <si>
    <t>Derating(base)</t>
  </si>
  <si>
    <t>AFUE(base)</t>
  </si>
  <si>
    <t>AFUE_Existing</t>
  </si>
  <si>
    <t>Derating(eff)</t>
  </si>
  <si>
    <t>AFUE(eff)</t>
  </si>
  <si>
    <t>AFUE 95%, Full installation cost</t>
  </si>
  <si>
    <t>Illinois Statewide Technical Reference Manual — 5.3.6 Gas High Efficiency Boiler</t>
  </si>
  <si>
    <t>RS-HVC-GHEB-V12-250101</t>
  </si>
  <si>
    <t>Gas High Efficiency Boiler</t>
  </si>
  <si>
    <t>AFUEBase</t>
  </si>
  <si>
    <t>AFUEEff</t>
  </si>
  <si>
    <t>Scenario Selection</t>
  </si>
  <si>
    <t>No</t>
  </si>
  <si>
    <t>Option 1</t>
  </si>
  <si>
    <t>Option 2</t>
  </si>
  <si>
    <t>FF Water Heater</t>
  </si>
  <si>
    <t>FF Dryer</t>
  </si>
  <si>
    <t>FF Range</t>
  </si>
  <si>
    <t>Fuel</t>
  </si>
  <si>
    <t>Fuel Unit</t>
  </si>
  <si>
    <t>Btu/Fuel Unit</t>
  </si>
  <si>
    <t>lb CO2/Btu</t>
  </si>
  <si>
    <t>Gal</t>
  </si>
  <si>
    <t>MMBtu</t>
  </si>
  <si>
    <t>kWh</t>
  </si>
  <si>
    <t>Electric Customer Class</t>
  </si>
  <si>
    <t>Gas Customer Class</t>
  </si>
  <si>
    <t>1 (Rockford)</t>
  </si>
  <si>
    <t>Weighted Average</t>
  </si>
  <si>
    <t>Fossil Fuel Heat</t>
  </si>
  <si>
    <t>Derating_eff</t>
  </si>
  <si>
    <t>AFUE_eff</t>
  </si>
  <si>
    <t>AFUE_base</t>
  </si>
  <si>
    <t>Derating_base</t>
  </si>
  <si>
    <t>Gas Water Heater</t>
  </si>
  <si>
    <t>Unknown, 50 gal</t>
  </si>
  <si>
    <t>Illinois Statewide Technical Reference Manual — 5.4.2 Gas Water Heater</t>
  </si>
  <si>
    <t>RS-HWE-GWHT-V12-250101</t>
  </si>
  <si>
    <t>Unknown, medium draw pattern, 50 gal</t>
  </si>
  <si>
    <t>Single-Family - Deemed, All Participants</t>
  </si>
  <si>
    <t>ENERGY STAR Clothes Dryer</t>
  </si>
  <si>
    <t>Vented gas</t>
  </si>
  <si>
    <t>ENERGY STAR, Vented gas</t>
  </si>
  <si>
    <t>EFLHheat_DMSHP_suppl</t>
  </si>
  <si>
    <t>EFLHcool_suppl_non-IQ</t>
  </si>
  <si>
    <t>EFLHcool_suppl_IQ</t>
  </si>
  <si>
    <t>Commercial</t>
  </si>
  <si>
    <t xml:space="preserve">AIC Rates </t>
  </si>
  <si>
    <t>June-September</t>
  </si>
  <si>
    <t>All Other Months</t>
  </si>
  <si>
    <t>Lookup</t>
  </si>
  <si>
    <t>Averaging</t>
  </si>
  <si>
    <t>Customer Charge, Single Phase</t>
  </si>
  <si>
    <t>Customer Charge</t>
  </si>
  <si>
    <t>Current value</t>
  </si>
  <si>
    <t>Meter Charge, Single Phase</t>
  </si>
  <si>
    <t>Meter Charge</t>
  </si>
  <si>
    <t>CGC - Customer generation charge (Flat Fee .10/month)</t>
  </si>
  <si>
    <t>CGC - Customer generation charge</t>
  </si>
  <si>
    <t>Distribution Delivery Charge (Summer)</t>
  </si>
  <si>
    <t>Two-year average</t>
  </si>
  <si>
    <t>Distribution Delivery Charge (Non-Summer)  0-800</t>
  </si>
  <si>
    <t>Distribution Delivery Charge (Non-Summer) +800</t>
  </si>
  <si>
    <t xml:space="preserve">EDT Cost Recovery </t>
  </si>
  <si>
    <t>Rider EDITA (Electric Deferred Income Tax Adjustment)</t>
  </si>
  <si>
    <t>Total June-September DS Cost</t>
  </si>
  <si>
    <t>Total All Other Months DS Cost &lt;800</t>
  </si>
  <si>
    <t>Total All Other Months Ds Cost &gt;800</t>
  </si>
  <si>
    <t>Supply Costs</t>
  </si>
  <si>
    <t>Supply Charge (Summer)</t>
  </si>
  <si>
    <t>Supply Charge (Non-Summer)  0-800</t>
  </si>
  <si>
    <t>SupplyCharge (Non-Summer) +800</t>
  </si>
  <si>
    <t>SCA Supply Cost Adjustment</t>
  </si>
  <si>
    <t>One-year average</t>
  </si>
  <si>
    <t>EUA Supply Cost Adjustment</t>
  </si>
  <si>
    <t>Transmission Rider TS</t>
  </si>
  <si>
    <t>Total June-September Suppy Cost</t>
  </si>
  <si>
    <t>Total All Other Months Supply Cost &lt;800</t>
  </si>
  <si>
    <t>Total All Other Months Supply Cost &gt;800</t>
  </si>
  <si>
    <t>Supplemental Charges</t>
  </si>
  <si>
    <t>State Tax Addition $/Kwh</t>
  </si>
  <si>
    <t>Rider EE</t>
  </si>
  <si>
    <t xml:space="preserve">Rider CEAC - Clean Energy Assistance Chrg </t>
  </si>
  <si>
    <t>Rider REA -Renewable Energy Assis-BGS</t>
  </si>
  <si>
    <t>Rider ETAC-Energy Transition</t>
  </si>
  <si>
    <t>Rider CSESC (Coal to Solar and Energy Storage Charge)</t>
  </si>
  <si>
    <t>Total Supplemental Charges</t>
  </si>
  <si>
    <t>Total Variable $/Kwh cost (Excludes Customer &amp; Meter Charges)</t>
  </si>
  <si>
    <t>Summer</t>
  </si>
  <si>
    <t>Non-Summer &gt;800 kWh</t>
  </si>
  <si>
    <t>Non-Summer &lt;800 kWh</t>
  </si>
  <si>
    <t>Gas Charges</t>
  </si>
  <si>
    <t>Customer Charges</t>
  </si>
  <si>
    <t>Lookups</t>
  </si>
  <si>
    <t>Total Customer Charges</t>
  </si>
  <si>
    <t>Per Therm Charges</t>
  </si>
  <si>
    <t>Delivery Service</t>
  </si>
  <si>
    <t>Rider QIP</t>
  </si>
  <si>
    <t>Invested Capitol Tax</t>
  </si>
  <si>
    <t>PGA</t>
  </si>
  <si>
    <t>Rider VBA</t>
  </si>
  <si>
    <t>Rider GER</t>
  </si>
  <si>
    <t>State Revenue Tax</t>
  </si>
  <si>
    <t>Public Utility Fund Tax</t>
  </si>
  <si>
    <t>Total Per Therm Charges</t>
  </si>
  <si>
    <t>QIP Percentage</t>
  </si>
  <si>
    <t>Public Utility Funding Tax</t>
  </si>
  <si>
    <t>Rows are added by Rate Owners as needed.  The Effective Date of the change is a placeholder to be used as needed but does not currently impact the process.</t>
  </si>
  <si>
    <t>Lookup Date =</t>
  </si>
  <si>
    <t>Used by Rate Owners to enter rates as they change (only the ones that change)</t>
  </si>
  <si>
    <t>Used by CAD to test bills</t>
  </si>
  <si>
    <t>Rate Change</t>
  </si>
  <si>
    <t>Current Rate</t>
  </si>
  <si>
    <t>Customer Class</t>
  </si>
  <si>
    <t>Rates</t>
  </si>
  <si>
    <t>Effective Date</t>
  </si>
  <si>
    <t>Billing Period</t>
  </si>
  <si>
    <t>Cons Type</t>
  </si>
  <si>
    <t>Decimal Places</t>
  </si>
  <si>
    <t>Rate Owner</t>
  </si>
  <si>
    <t>Change Frequency</t>
  </si>
  <si>
    <t>Open</t>
  </si>
  <si>
    <t>One-Year Average</t>
  </si>
  <si>
    <t>Two-Year Average</t>
  </si>
  <si>
    <t>Short Name</t>
  </si>
  <si>
    <t>Charge/Rate Name</t>
  </si>
  <si>
    <t>Usage Range</t>
  </si>
  <si>
    <t>Range Operator</t>
  </si>
  <si>
    <t>RTP-1 (Residential) Summer - All kWh</t>
  </si>
  <si>
    <t>Ancillary Service (part of Day Ahead Energy Charge)</t>
  </si>
  <si>
    <t xml:space="preserve"> -   </t>
  </si>
  <si>
    <t>RTP-1 (Residential) Non-Summer 0-800 kWh</t>
  </si>
  <si>
    <t>RTP-1 (Residential) Non-Summer - +800</t>
  </si>
  <si>
    <t>RTP-2 (Non-Residential) Summer - All kWh</t>
  </si>
  <si>
    <t>RTP-2 (Non-Residential) Non-Summer - All kWh</t>
  </si>
  <si>
    <t>DS-4 (Large General Service)</t>
  </si>
  <si>
    <t>Prorated</t>
  </si>
  <si>
    <t xml:space="preserve"> Regulatory </t>
  </si>
  <si>
    <t xml:space="preserve"> DS-4 </t>
  </si>
  <si>
    <t>DS-6 (DS-3) Temp. Sensitive DS</t>
  </si>
  <si>
    <t xml:space="preserve"> DS-6.3 </t>
  </si>
  <si>
    <t>DS-6 (DS-4) Temp. Sensitive DS</t>
  </si>
  <si>
    <t xml:space="preserve"> DS-6.4 </t>
  </si>
  <si>
    <t>DS-5 (Lighting Service)</t>
  </si>
  <si>
    <t>Area - LED 10 -Zone I</t>
  </si>
  <si>
    <t>Billing Cycle</t>
  </si>
  <si>
    <t xml:space="preserve"> DS-5 </t>
  </si>
  <si>
    <t>Area - LED 10 -Zone II</t>
  </si>
  <si>
    <t>Area - LED 10 -Zone III</t>
  </si>
  <si>
    <t>Area - LED 25 -Zone I</t>
  </si>
  <si>
    <t xml:space="preserve"> &lt;= </t>
  </si>
  <si>
    <t>Area - LED 25 -Zone II</t>
  </si>
  <si>
    <t xml:space="preserve">  &gt; </t>
  </si>
  <si>
    <t>Area - LED 25 -Zone III</t>
  </si>
  <si>
    <t>Area - LED 40 -Zone I</t>
  </si>
  <si>
    <t>Area - LED 40 -Zone II</t>
  </si>
  <si>
    <t>Area - LED 40 -Zone III</t>
  </si>
  <si>
    <t>Avg Base Uncollectible</t>
  </si>
  <si>
    <t xml:space="preserve"> DS-1 </t>
  </si>
  <si>
    <t>DS-2 Optional (Small General Service)</t>
  </si>
  <si>
    <t xml:space="preserve"> DS-2 </t>
  </si>
  <si>
    <t>DS-2 (Small General Service)</t>
  </si>
  <si>
    <t>DS-3 (General Delivery Service)</t>
  </si>
  <si>
    <t xml:space="preserve"> DS-3 </t>
  </si>
  <si>
    <t xml:space="preserve"> GDS-1 </t>
  </si>
  <si>
    <t>GDS-2 (Small General Delivery)</t>
  </si>
  <si>
    <t xml:space="preserve"> GDS-2 </t>
  </si>
  <si>
    <t>GDS-3 (Intermediate General Delivery)</t>
  </si>
  <si>
    <t xml:space="preserve"> GDS-3 </t>
  </si>
  <si>
    <t>GDS-4 (Large General Delivery)</t>
  </si>
  <si>
    <t xml:space="preserve"> GDS-4 </t>
  </si>
  <si>
    <t>GDS-5 (Seasonal)</t>
  </si>
  <si>
    <t xml:space="preserve"> GDS-5 </t>
  </si>
  <si>
    <t>BGS-1 (Residential)</t>
  </si>
  <si>
    <t xml:space="preserve">BGS Non-Summer  - +800 </t>
  </si>
  <si>
    <t xml:space="preserve"> BGS-1 </t>
  </si>
  <si>
    <t>BGS Non-Summer -  First 800</t>
  </si>
  <si>
    <t>BGS-5 (Basic Generation Service)</t>
  </si>
  <si>
    <t>BGS Non-Summer - All kWh</t>
  </si>
  <si>
    <t xml:space="preserve"> BGS-5 </t>
  </si>
  <si>
    <t xml:space="preserve"> &gt; </t>
  </si>
  <si>
    <t>BGS-2 (Non-Residential)</t>
  </si>
  <si>
    <t>BGS Non-Summer &gt; 2000 kWh High Voltage</t>
  </si>
  <si>
    <t xml:space="preserve"> BGS-2 </t>
  </si>
  <si>
    <t>BGS Non-Summer &gt; 2000 kWh Primary</t>
  </si>
  <si>
    <t>BGS Non-Summer &gt; 2000 kWh Secondary</t>
  </si>
  <si>
    <t>BGS Non-Summer 0-2000 kWh High Voltage</t>
  </si>
  <si>
    <t>BGS Non-Summer 0-2000 kWh Primary</t>
  </si>
  <si>
    <t>BGS Non-Summer 0-2000 kWh Secondary</t>
  </si>
  <si>
    <t>BGS Summer - All kWh</t>
  </si>
  <si>
    <t>BGS Summer kWh High</t>
  </si>
  <si>
    <t>BGS Summer kWh Primary</t>
  </si>
  <si>
    <t>BGS Summer kWh Secondary</t>
  </si>
  <si>
    <t>Capacity Charge (kw-dy)</t>
  </si>
  <si>
    <t>Commodity Gas Charge (CGC)</t>
  </si>
  <si>
    <t xml:space="preserve"> Gas Supply </t>
  </si>
  <si>
    <t>GDS-6 (Inadequate Capacity)</t>
  </si>
  <si>
    <t xml:space="preserve"> GDS-6 </t>
  </si>
  <si>
    <t>Customer Charge (Customer-owned Lighting Fixtures)</t>
  </si>
  <si>
    <t>Customer Charge &gt;100kV</t>
  </si>
  <si>
    <t>Customer Charge High Voltage</t>
  </si>
  <si>
    <t>Customer Charge MDCQ &lt; 10000 (Rider S and T)</t>
  </si>
  <si>
    <t>Customer Charge MDCQ &lt; 3250 (Rider S and T)</t>
  </si>
  <si>
    <t>Customer Charge MDCQ &gt; 10000 (Rider S and T)</t>
  </si>
  <si>
    <t>Customer Charge MDCQ &gt; 3250 (Rider S and T)</t>
  </si>
  <si>
    <t>Customer Charge Primary</t>
  </si>
  <si>
    <t>Customer Charge Secondary</t>
  </si>
  <si>
    <t>Decorative - Metal Halide, 150 Nominal Watts -Zone I</t>
  </si>
  <si>
    <t>Decorative - Metal Halide, 150 Nominal Watts -Zone III</t>
  </si>
  <si>
    <t>Decorative - Metal Halide, 150 Nominal Watts-Zone II</t>
  </si>
  <si>
    <t>Decorative - Sodium Vapor, Nominal Watts -Zone I</t>
  </si>
  <si>
    <t>Decorative - Sodium Vapor, Nominal Watts -Zone III</t>
  </si>
  <si>
    <t>Decorative - Sodium Vapor, Nominal Watts-Zone II</t>
  </si>
  <si>
    <t>Demand Charge &lt; 60 psig MAOP (Rider S)</t>
  </si>
  <si>
    <t>Demand Charge &lt; 60 psig MAOP (Rider S) Winter Demand</t>
  </si>
  <si>
    <t>Demand Charge &lt; 60 psig MAOP (Rider T)</t>
  </si>
  <si>
    <t>Demand Charge &gt; 60 psig MAOP (Rider S)</t>
  </si>
  <si>
    <t>Demand Charge &gt; 60 psig MAOP (Rider S) Winter Demand</t>
  </si>
  <si>
    <t>Demand Charge &gt; 60 psig MAOP &lt; 30000 (Rider T) Zone I</t>
  </si>
  <si>
    <t>Demand Charge &gt; 60 psig MAOP &lt; 30000 (Rider T) Zone II</t>
  </si>
  <si>
    <t>Demand Charge &gt; 60 psig MAOP &lt; 30000 (Rider T) Zone III</t>
  </si>
  <si>
    <t>Demand Charge &gt; 60 psig MAOP &gt; 30000 (Rider T) Zone I</t>
  </si>
  <si>
    <t>Demand Charge &gt; 60 psig MAOP &gt; 30000 (Rider T) Zone II</t>
  </si>
  <si>
    <t>Demand Charge &gt; 60 psig MAOP &gt; 30000 (Rider T) Zone III</t>
  </si>
  <si>
    <t>Demand Gas Charge (DGC)</t>
  </si>
  <si>
    <t>Demand Gas Charge (DGC) - Uncollectible Adjustment</t>
  </si>
  <si>
    <t>Demand Gas Charge (DGC) - Working Capital Adjustment</t>
  </si>
  <si>
    <t>Directional - LED 25 -Zone I</t>
  </si>
  <si>
    <t>Directional - LED 25 -Zone II</t>
  </si>
  <si>
    <t>Directional - LED 25 -Zone III</t>
  </si>
  <si>
    <t>Directional - LED 40 -Zone I</t>
  </si>
  <si>
    <t>Directional - LED 40 -Zone II</t>
  </si>
  <si>
    <t>Directional - LED 40 -Zone III</t>
  </si>
  <si>
    <t>Distribution Delivery Charge Non-Summer &gt; 800</t>
  </si>
  <si>
    <t>Distribution Delivery Charge Non-Summer 0-800</t>
  </si>
  <si>
    <t>Distribution Delivery Charge Summer</t>
  </si>
  <si>
    <t>Distribution Delivery Charges  (Customer Owned Fixtures) Rate Zone I</t>
  </si>
  <si>
    <t>Distribution Delivery Charges  (Customer Owned Fixtures) Rate Zone II</t>
  </si>
  <si>
    <t>Distribution Delivery Charges  (Customer Owned Fixtures) Rate Zone III</t>
  </si>
  <si>
    <t>Distribution Delivery Charges</t>
  </si>
  <si>
    <t>Distribution Delivery Charges (Rider S)</t>
  </si>
  <si>
    <t>Distribution Delivery Charges (Rider T)</t>
  </si>
  <si>
    <t>Distribution Delivery Charges 100 kV</t>
  </si>
  <si>
    <t>Distribution Delivery Charges High Voltage</t>
  </si>
  <si>
    <t>Distribution Delivery Charges Primary</t>
  </si>
  <si>
    <t>Distribution Delivery Charges Rate Zone I &gt;100kV</t>
  </si>
  <si>
    <t>Distribution Delivery Charges Rate Zone I High Voltage</t>
  </si>
  <si>
    <t>Distribution Delivery Charges Rate Zone I Primary</t>
  </si>
  <si>
    <t>Distribution Delivery Charges Rate Zone II &gt;100kV</t>
  </si>
  <si>
    <t>Distribution Delivery Charges Rate Zone II High Voltage</t>
  </si>
  <si>
    <t>Distribution Delivery Charges Rate Zone II Primary</t>
  </si>
  <si>
    <t>Distribution Delivery Charges Rate Zone III &gt;100kV</t>
  </si>
  <si>
    <t>Distribution Delivery Charges Rate Zone III High Voltage</t>
  </si>
  <si>
    <t>Distribution Delivery Charges Rate Zone III Primary</t>
  </si>
  <si>
    <t>Distribution Delivery Non-Summer Charge &gt; 2000</t>
  </si>
  <si>
    <t>Distribution Delivery Non-Summer Charge 0-2000</t>
  </si>
  <si>
    <t>EDT Cost Recovery Rate Zone I</t>
  </si>
  <si>
    <t>EDT Cost Recovery Rate Zone I &gt;100kV</t>
  </si>
  <si>
    <t>EDT Cost Recovery Rate Zone I High Voltage</t>
  </si>
  <si>
    <t>EDT Cost Recovery Rate Zone I Primary</t>
  </si>
  <si>
    <t>EDT Cost Recovery Rate Zone II</t>
  </si>
  <si>
    <t>EDT Cost Recovery Rate Zone II &gt;100kV</t>
  </si>
  <si>
    <t>EDT Cost Recovery Rate Zone II High Voltage</t>
  </si>
  <si>
    <t>EDT Cost Recovery Rate Zone II Primary</t>
  </si>
  <si>
    <t>EDT Cost Recovery Rate Zone III</t>
  </si>
  <si>
    <t>EDT Cost Recovery Rate Zone III &gt;100kV</t>
  </si>
  <si>
    <t>EDT Cost Recovery Rate Zone III High Voltage</t>
  </si>
  <si>
    <t>EDT Cost Recovery Rate Zone III Primary</t>
  </si>
  <si>
    <t>Electric Environmental Adjustment Rate Zone I</t>
  </si>
  <si>
    <t xml:space="preserve"> General Accounting </t>
  </si>
  <si>
    <t xml:space="preserve"> Monthly </t>
  </si>
  <si>
    <t>Electric Environmental Adjustment Rate Zone III</t>
  </si>
  <si>
    <t>Energy Assistance Adder Charge</t>
  </si>
  <si>
    <t>Energy Assistance Adder Charge - Tier 3</t>
  </si>
  <si>
    <t>Energy Assistance Charge</t>
  </si>
  <si>
    <t>Energy Assistance Charge - Tier 3</t>
  </si>
  <si>
    <t>Excess Demand Charge (per kW) - Tier 1</t>
  </si>
  <si>
    <t>Excess Demand Charge (per kW) - Tier 2</t>
  </si>
  <si>
    <t>Market Settlement (part of Day Ahead Energy Charge)</t>
  </si>
  <si>
    <t>Metal Halide, 150 Nominal Watts -Zone I</t>
  </si>
  <si>
    <t>Metal Halide, 150 Nominal Watts -Zone II</t>
  </si>
  <si>
    <t>Metal Halide, 150 Nominal Watts -Zone III</t>
  </si>
  <si>
    <t>Meter Charge (all other electric service)</t>
  </si>
  <si>
    <t>Meter Charge (Customer-owned Lighting Fixtures)</t>
  </si>
  <si>
    <t>Meter Charge &gt;100kV</t>
  </si>
  <si>
    <t>Meter Charge High Voltage</t>
  </si>
  <si>
    <t>Meter Charge Primary</t>
  </si>
  <si>
    <t>Meter Charge Secondary</t>
  </si>
  <si>
    <t>Meter Reassignment</t>
  </si>
  <si>
    <t>Non-Commodity Gas Charge (NCGC)</t>
  </si>
  <si>
    <t>OPT Avg Base Uncollectible</t>
  </si>
  <si>
    <t>OPT Customer Charge 100 kV</t>
  </si>
  <si>
    <t>OPT Customer Charge High Voltage</t>
  </si>
  <si>
    <t>OPT Customer Charge Primary</t>
  </si>
  <si>
    <t>OPT Customer Charge Secondary</t>
  </si>
  <si>
    <t>OPT Distribution Delivery Charge 100 kV</t>
  </si>
  <si>
    <t>OPT Distribution Delivery Charge High Voltage</t>
  </si>
  <si>
    <t>OPT Distribution Delivery Charge Primary</t>
  </si>
  <si>
    <t>OPT Energy Assistance Adder Charge</t>
  </si>
  <si>
    <t>OPT Energy Assistance Charge</t>
  </si>
  <si>
    <t>OPT Meter Charge 100 kV</t>
  </si>
  <si>
    <t>OPT Meter Charge High Voltage</t>
  </si>
  <si>
    <t>OPT Meter Charge Primary</t>
  </si>
  <si>
    <t>OPT Meter Charge Secondary</t>
  </si>
  <si>
    <t>OPT Meter Reassignment</t>
  </si>
  <si>
    <t>OPT Renewable Energy</t>
  </si>
  <si>
    <t>OPT Rider EUA-DS (Added to Customer Charge)</t>
  </si>
  <si>
    <t>OPT Rider UCB/POR - Program Charge</t>
  </si>
  <si>
    <t>OPT Transformation Charge (per KW)</t>
  </si>
  <si>
    <t>Overrun Demand Charge &lt; 60 psig MAOP (Rider S)</t>
  </si>
  <si>
    <t>Overrun Demand Charge &lt; 60 psig MAOP (Rider T)</t>
  </si>
  <si>
    <t>Overrun Demand Charge &gt; 60 psig MAOP (Rider S)</t>
  </si>
  <si>
    <t>Overrun Demand Charge &gt; 60 psig MAOP &lt; 30000 (Rider T) Zone I</t>
  </si>
  <si>
    <t>Overrun Demand Charge &gt; 60 psig MAOP &lt; 30000 (Rider T) Zone II</t>
  </si>
  <si>
    <t>Overrun Demand Charge &gt; 60 psig MAOP &lt; 30000 (Rider T) Zone III</t>
  </si>
  <si>
    <t>Overrun Demand Charge &gt; 60 psig MAOP &gt; 30000 (Rider T) Zone I</t>
  </si>
  <si>
    <t>Overrun Demand Charge &gt; 60 psig MAOP &gt; 30000 (Rider T) Zone II</t>
  </si>
  <si>
    <t>Overrun Demand Charge &gt; 60 psig MAOP &gt; 30000 (Rider T) Zone III</t>
  </si>
  <si>
    <t>PGA Cash Working Capital</t>
  </si>
  <si>
    <t>Pole Charge -Zone III</t>
  </si>
  <si>
    <t>Power Smart Pricing Participation Charge</t>
  </si>
  <si>
    <t>Do not add to customer charge</t>
  </si>
  <si>
    <t>Purchased Electricity Adjustment</t>
  </si>
  <si>
    <t>Add new line item (use most recent charge)</t>
  </si>
  <si>
    <t>RTP-1 (Residential)</t>
  </si>
  <si>
    <t xml:space="preserve"> RTP-1 </t>
  </si>
  <si>
    <t>RTP-2 (Non-Residential)</t>
  </si>
  <si>
    <t xml:space="preserve"> RTP-2 </t>
  </si>
  <si>
    <t>Reactive Demand Charge (per kVAR)</t>
  </si>
  <si>
    <t>Renewable Energy</t>
  </si>
  <si>
    <t>Renewable Energy - Tier 3</t>
  </si>
  <si>
    <t>Rider CEAC - Clean Energy Assistance Charge</t>
  </si>
  <si>
    <t>Rider CGC - Customer Generation Charge</t>
  </si>
  <si>
    <t>Rider EE - Energy Efficiency Programs Charge</t>
  </si>
  <si>
    <t>Rider EUA-DS (Added to Customer Charge)</t>
  </si>
  <si>
    <t>Rider EUA-Supply</t>
  </si>
  <si>
    <t>Rider GEA - Gas Environmental Adjust - Rate Zone I</t>
  </si>
  <si>
    <t>Add line item assuming higher zone price</t>
  </si>
  <si>
    <t>Rider GEA - Gas Environmental Adjust - Rate Zone III</t>
  </si>
  <si>
    <t>Rider GER - Energy Efficiency Programs Charge</t>
  </si>
  <si>
    <t>Rider GUA - DS (All Cust)</t>
  </si>
  <si>
    <t>GDS-7 (Special Contracts)</t>
  </si>
  <si>
    <t xml:space="preserve"> GDS-7 </t>
  </si>
  <si>
    <t>Rider GUA - Supply (Only Rider S Cust)</t>
  </si>
  <si>
    <t>Rider HSS - Cash Working Capital</t>
  </si>
  <si>
    <t>Rider HSS - Procurement Charge</t>
  </si>
  <si>
    <t>Rider HSS - Uncollectible Adjustment</t>
  </si>
  <si>
    <t>Rider ICTA (Investment Capital Tax Adjustment)</t>
  </si>
  <si>
    <t>Rider PER - Cash Working Capital</t>
  </si>
  <si>
    <t>Rider PER - Cash Working Capital High Voltage</t>
  </si>
  <si>
    <t>Rider PER - Cash Working Capital Primary</t>
  </si>
  <si>
    <t>Rider PER - Cash Working Capital Secondary</t>
  </si>
  <si>
    <t>Rider PER - Procurement Charge</t>
  </si>
  <si>
    <t>Rider PER - Procurement Charge High Voltage</t>
  </si>
  <si>
    <t>Rider PER - Procurement Charge Primary</t>
  </si>
  <si>
    <t>Rider PER - Procurement Charge Secondary</t>
  </si>
  <si>
    <t>Rider PER - Uncollectible Adjustment</t>
  </si>
  <si>
    <t>Rider PER - Uncollectible Adjustment High Voltage</t>
  </si>
  <si>
    <t>Rider PER - Uncollectible Adjustment Primary</t>
  </si>
  <si>
    <t>Rider PER - Uncollectible Adjustment Secondary</t>
  </si>
  <si>
    <t>Rider PGA - Uncollectible Adjustment</t>
  </si>
  <si>
    <t>Rider PSP - Program Charge</t>
  </si>
  <si>
    <t>Rider PUAC - Public Utility Assessment Charge</t>
  </si>
  <si>
    <t>Rider PUAC - Public Utility Assessment Charge &lt; 4M</t>
  </si>
  <si>
    <t>Rider PUAC - Public Utility Assessment Charge &gt; 4M</t>
  </si>
  <si>
    <t>Rider QF Non-Summer Off-Peak 100 kv</t>
  </si>
  <si>
    <t>Do not add, unique customer, n/a</t>
  </si>
  <si>
    <t>Rider QF Non-Summer Off-Peak High voltage</t>
  </si>
  <si>
    <t>Rider QF Non-Summer Off-Peak Primary</t>
  </si>
  <si>
    <t>Rider QF Non-Summer Off-Peak Secondary</t>
  </si>
  <si>
    <t>Rider QF Non-Summer On-Peak 100 kv</t>
  </si>
  <si>
    <t>Rider QF Non-Summer On-Peak High voltage</t>
  </si>
  <si>
    <t>Rider QF Non-Summer On-Peak Primary</t>
  </si>
  <si>
    <t>Rider QF Non-Summer On-Peak Secondary</t>
  </si>
  <si>
    <t>Rider QF Summer Off-Peak 100 kv</t>
  </si>
  <si>
    <t>e</t>
  </si>
  <si>
    <t>Rider QF Summer Off-Peak High voltage</t>
  </si>
  <si>
    <t>Rider QF Summer Off-Peak Primary</t>
  </si>
  <si>
    <t>Rider QF Summer Off-Peak Secondary</t>
  </si>
  <si>
    <t>Rider QF Summer On-Peak 100 kv</t>
  </si>
  <si>
    <t>Rider QF Summer On-Peak High voltage</t>
  </si>
  <si>
    <t>Rider QF Summer On-Peak Primary</t>
  </si>
  <si>
    <t>Rider QF Summer On-Peak Secondary</t>
  </si>
  <si>
    <t>Rider QIP (Qualifying Infrastructure Plant)</t>
  </si>
  <si>
    <t>Rider REA -Renewable Energy Assis-All Other</t>
  </si>
  <si>
    <t>Rider SPC - Special Purpose Chg</t>
  </si>
  <si>
    <t>Rider TAR - Recovery of Coal Tar Costs - Rate Zone II</t>
  </si>
  <si>
    <t>Rider TBS Capacity Charge (Rider T)</t>
  </si>
  <si>
    <t xml:space="preserve"> after each gas rate case </t>
  </si>
  <si>
    <t>Rider TS - Interval (overall rate)</t>
  </si>
  <si>
    <t>Rider TS - Interval (uncol rate)</t>
  </si>
  <si>
    <t>Rider TS - Non-Interval (overall rate)</t>
  </si>
  <si>
    <t>Rider TS - Non-Interval (uncol rate)</t>
  </si>
  <si>
    <t>Rider UCB/POR - Program Charge</t>
  </si>
  <si>
    <t>Rider VBA - (Volume Balancing Adjustment)</t>
  </si>
  <si>
    <t>Rider VITA (Variable Income Tax Adjustment)</t>
  </si>
  <si>
    <t>Do not add, not currently applicable.</t>
  </si>
  <si>
    <t xml:space="preserve">RTP Supplier Charge Non-Summer  - +800 </t>
  </si>
  <si>
    <t>RTP Supplier Charge Non-Summer - All kWh</t>
  </si>
  <si>
    <t>RTP Supplier Charge Non-Summer 0-800 kWh</t>
  </si>
  <si>
    <t>RTP Supplier Charge Summer - All kWh</t>
  </si>
  <si>
    <t>Supply Balancing Adjustment</t>
  </si>
  <si>
    <t>Transformation Charge (per KW)</t>
  </si>
  <si>
    <t>Transformation Charge (per KW) 100 kv - Rate Zone I</t>
  </si>
  <si>
    <t>Transformation Charge (per KW) 100 kv - Rate Zone II</t>
  </si>
  <si>
    <t>Transformation Charge (per KW) 100 kv - Rate Zone III</t>
  </si>
  <si>
    <t>Unsubscribed Bank Capacity Charge (UBCC)</t>
  </si>
  <si>
    <t xml:space="preserve"> May, August if needed </t>
  </si>
  <si>
    <t>Rider TPTFA (Third-Party Transaction Fee Adjustment)</t>
  </si>
  <si>
    <t>Rider ETAC (Energy Transistion Assistance Charge)</t>
  </si>
  <si>
    <t>Capacity Charge Summer (kw-dy)</t>
  </si>
  <si>
    <t>Capacity Charge Fall (kw-dy)</t>
  </si>
  <si>
    <t>Capacity Charge Winter (kw-dy)</t>
  </si>
  <si>
    <t>Capacity Charge Spring (kw-dy)</t>
  </si>
  <si>
    <t>MAP-R (Delivery Service Cost Adjustment)</t>
  </si>
  <si>
    <t>Rider USS (Utility-Owned Solar and Storage Adjustment)</t>
  </si>
  <si>
    <t>GDS-1-Low Income Credit Adjustment</t>
  </si>
  <si>
    <t>GDS-2-Low Income Credit Adjustment &lt; 4M</t>
  </si>
  <si>
    <t>GDS-3-Low Income Credit Adjustment &lt; 4M</t>
  </si>
  <si>
    <t>GDS-4-Low Income Credit Adjustment &lt; 4M</t>
  </si>
  <si>
    <t>GDS-5-Low Income Credit Adjustment &lt; 4M</t>
  </si>
  <si>
    <t>GDS-6-Low Income Credit Adjustment &lt; 4M</t>
  </si>
  <si>
    <t>GDS-7-Low Income Credit Adjustment &lt; 4M</t>
  </si>
  <si>
    <t>GDS-2-Low Income Credit Adjustment &gt; 4M</t>
  </si>
  <si>
    <t>GDS-3-Low Income Credit Adjustment &gt; 4M</t>
  </si>
  <si>
    <t>GDS-4-Low Income Credit Adjustment &gt; 4M</t>
  </si>
  <si>
    <t>GDS-5-Low Income Credit Adjustment &gt; 4M</t>
  </si>
  <si>
    <t>GDS-6-Low Income Credit Adjustment &gt; 4M</t>
  </si>
  <si>
    <t>GDS-7-Low Income Credit Adjustment &gt; 4M</t>
  </si>
  <si>
    <t>GDS-1-Low Income Credit - Tier 1</t>
  </si>
  <si>
    <t>GDS-1-Low Income Credit - Tier 2</t>
  </si>
  <si>
    <t>GDS-1-Low Income Credit - Tier 3</t>
  </si>
  <si>
    <t>GDS-1-Low Income Credit - Tier 4</t>
  </si>
  <si>
    <t>GDS-1-Low Income Credit - Tier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</si>
</sst>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3" formatCode="_(* #,##0.00_);_(* \(#,##0.00\);_(* &quot;-&quot;??_);_(@_)"/>
    <numFmt numFmtId="164" formatCode="#,##0.0000"/>
    <numFmt numFmtId="165" formatCode="&quot;$&quot;#,##0.0000000"/>
    <numFmt numFmtId="166" formatCode="&quot;$&quot;#,##0.00"/>
    <numFmt numFmtId="167" formatCode="&quot;$&quot;#,##0.00000"/>
    <numFmt numFmtId="168" formatCode="_(* #,##0_);_(* \(#,##0\);_(* &quot;-&quot;??_);_(@_)"/>
    <numFmt numFmtId="169" formatCode="&quot;$&quot;#,##0.00000_);[Red]\(&quot;$&quot;#,##0.00000\)"/>
    <numFmt numFmtId="170" formatCode="yyyymm"/>
    <numFmt numFmtId="171" formatCode="_(* #,##0.0000_);_(* \(#,##0.0000\);_(* &quot;-&quot;??_);_(@_)"/>
    <numFmt numFmtId="172" formatCode="0.0000000"/>
    <numFmt numFmtId="173" formatCode="_(* #,##0.000000_);_(* \(#,##0.000000\);_(* &quot;-&quot;??_);_(@_)"/>
    <numFmt numFmtId="174" formatCode="_(* #,##0.00000_);_(* \(#,##0.00000\);_(* &quot;-&quot;??_);_(@_)"/>
    <numFmt numFmtId="175" formatCode="00000"/>
    <numFmt numFmtId="176" formatCode="0.0"/>
  </numFmts>
  <fonts count="49" x14ac:knownFonts="1">
    <font>
      <sz val="11"/>
      <color theme="1"/>
      <name val="Calibri"/>
      <family val="2"/>
      <scheme val="minor"/>
    </font>
    <font>
      <b/>
      <sz val="11"/>
      <color theme="0"/>
      <name val="Calibri"/>
      <family val="2"/>
      <scheme val="minor"/>
    </font>
    <font>
      <sz val="11"/>
      <color rgb="FF3F3F76"/>
      <name val="Calibri"/>
      <family val="2"/>
      <scheme val="minor"/>
    </font>
    <font>
      <b/>
      <sz val="11"/>
      <color theme="1"/>
      <name val="Calibri"/>
      <family val="2"/>
      <scheme val="minor"/>
    </font>
    <font>
      <sz val="11"/>
      <color rgb="FFFF0000"/>
      <name val="Calibri"/>
      <family val="2"/>
      <scheme val="minor"/>
    </font>
    <font>
      <b/>
      <sz val="11"/>
      <name val="Calibri"/>
      <family val="2"/>
      <scheme val="minor"/>
    </font>
    <font>
      <u/>
      <sz val="11"/>
      <name val="Calibri"/>
      <family val="2"/>
      <scheme val="minor"/>
    </font>
    <font>
      <sz val="11"/>
      <name val="Calibri"/>
      <family val="2"/>
      <scheme val="minor"/>
    </font>
    <font>
      <b/>
      <sz val="11"/>
      <color rgb="FF0070C0"/>
      <name val="Calibri"/>
      <family val="2"/>
      <scheme val="minor"/>
    </font>
    <font>
      <b/>
      <sz val="11"/>
      <color rgb="FFFF0000"/>
      <name val="Calibri"/>
      <family val="2"/>
      <scheme val="minor"/>
    </font>
    <font>
      <sz val="11"/>
      <color rgb="FF006100"/>
      <name val="Calibri"/>
      <family val="2"/>
      <scheme val="minor"/>
    </font>
    <font>
      <b/>
      <sz val="9"/>
      <color indexed="81"/>
      <name val="Tahoma"/>
      <family val="2"/>
    </font>
    <font>
      <sz val="9"/>
      <color indexed="81"/>
      <name val="Tahoma"/>
      <family val="2"/>
    </font>
    <font>
      <sz val="11"/>
      <color rgb="FFDDDDDD"/>
      <name val="Calibri"/>
      <family val="2"/>
      <scheme val="minor"/>
    </font>
    <font>
      <sz val="11"/>
      <color theme="1"/>
      <name val="Arial"/>
      <family val="2"/>
    </font>
    <font>
      <sz val="12"/>
      <color rgb="FFFF0000"/>
      <name val="Arial"/>
      <family val="2"/>
    </font>
    <font>
      <sz val="20"/>
      <color rgb="FFFF0000"/>
      <name val="Arial"/>
      <family val="2"/>
    </font>
    <font>
      <b/>
      <sz val="12"/>
      <color theme="1"/>
      <name val="Arial"/>
      <family val="2"/>
    </font>
    <font>
      <b/>
      <sz val="11"/>
      <color theme="1"/>
      <name val="Arial"/>
      <family val="2"/>
    </font>
    <font>
      <u/>
      <sz val="11"/>
      <color theme="10"/>
      <name val="Arial"/>
      <family val="2"/>
    </font>
    <font>
      <sz val="10"/>
      <name val="Arial"/>
      <family val="2"/>
    </font>
    <font>
      <sz val="11"/>
      <color theme="10"/>
      <name val="Arial"/>
      <family val="2"/>
    </font>
    <font>
      <b/>
      <sz val="11"/>
      <name val="Arial"/>
      <family val="2"/>
    </font>
    <font>
      <sz val="10"/>
      <color theme="1"/>
      <name val="Arial"/>
      <family val="2"/>
    </font>
    <font>
      <b/>
      <sz val="11"/>
      <color rgb="FF3F3F3F"/>
      <name val="Calibri"/>
      <family val="2"/>
      <scheme val="minor"/>
    </font>
    <font>
      <b/>
      <sz val="11"/>
      <color rgb="FFFA7D00"/>
      <name val="Calibri"/>
      <family val="2"/>
      <scheme val="minor"/>
    </font>
    <font>
      <sz val="11"/>
      <color theme="1"/>
      <name val="Calibri"/>
      <family val="2"/>
      <scheme val="minor"/>
    </font>
    <font>
      <sz val="11"/>
      <color indexed="8"/>
      <name val="Calibri"/>
      <family val="2"/>
      <scheme val="minor"/>
    </font>
    <font>
      <b/>
      <sz val="12"/>
      <color rgb="FF56585B"/>
      <name val="Calibri"/>
      <family val="2"/>
    </font>
    <font>
      <sz val="12"/>
      <color rgb="FF000000"/>
      <name val="Calibri"/>
      <family val="2"/>
    </font>
    <font>
      <sz val="10"/>
      <color theme="1"/>
      <name val="Calibri"/>
      <family val="2"/>
      <scheme val="minor"/>
    </font>
    <font>
      <b/>
      <sz val="10"/>
      <name val="Calibri"/>
      <family val="2"/>
    </font>
    <font>
      <sz val="10"/>
      <color rgb="FF006100"/>
      <name val="Calibri"/>
      <family val="2"/>
      <scheme val="minor"/>
    </font>
    <font>
      <b/>
      <sz val="12"/>
      <color rgb="FFFFFFFF"/>
      <name val="Calibri"/>
      <family val="2"/>
    </font>
    <font>
      <sz val="8"/>
      <color theme="1"/>
      <name val="Calibri"/>
      <family val="2"/>
      <scheme val="minor"/>
    </font>
    <font>
      <b/>
      <sz val="11"/>
      <color rgb="FF439539"/>
      <name val="Calibri"/>
      <family val="2"/>
      <scheme val="minor"/>
    </font>
    <font>
      <b/>
      <sz val="10"/>
      <color rgb="FF0070C0"/>
      <name val="Calibri"/>
      <family val="2"/>
      <scheme val="minor"/>
    </font>
    <font>
      <b/>
      <sz val="10"/>
      <color rgb="FFFF0000"/>
      <name val="Calibri"/>
      <family val="2"/>
      <scheme val="minor"/>
    </font>
    <font>
      <b/>
      <sz val="10"/>
      <color theme="1"/>
      <name val="Calibri"/>
      <family val="2"/>
      <scheme val="minor"/>
    </font>
    <font>
      <i/>
      <sz val="10"/>
      <color theme="1"/>
      <name val="Calibri"/>
      <family val="2"/>
      <scheme val="minor"/>
    </font>
    <font>
      <b/>
      <sz val="16"/>
      <color theme="1"/>
      <name val="Calibri"/>
      <family val="2"/>
      <scheme val="minor"/>
    </font>
    <font>
      <b/>
      <sz val="18"/>
      <color theme="1"/>
      <name val="Calibri"/>
      <family val="2"/>
      <scheme val="minor"/>
    </font>
    <font>
      <sz val="9"/>
      <color theme="1"/>
      <name val="Calibri"/>
      <family val="2"/>
      <scheme val="minor"/>
    </font>
    <font>
      <b/>
      <sz val="10"/>
      <color rgb="FF000000"/>
      <name val="Calibri"/>
      <family val="2"/>
      <scheme val="minor"/>
    </font>
    <font>
      <i/>
      <sz val="8"/>
      <color theme="1"/>
      <name val="Calibri"/>
      <family val="2"/>
      <scheme val="minor"/>
    </font>
    <font>
      <b/>
      <i/>
      <sz val="8"/>
      <color rgb="FF000000"/>
      <name val="Calibri"/>
      <family val="2"/>
    </font>
    <font>
      <sz val="11"/>
      <color rgb="FF000000"/>
      <name val="Calibri"/>
      <family val="2"/>
      <scheme val="minor"/>
    </font>
    <font>
      <sz val="8"/>
      <name val="Calibri"/>
      <family val="2"/>
      <scheme val="minor"/>
    </font>
    <font>
      <sz val="10"/>
      <name val="Calibri"/>
      <family val="2"/>
      <scheme val="minor"/>
    </font>
  </fonts>
  <fills count="23">
    <fill>
      <patternFill patternType="none"/>
    </fill>
    <fill>
      <patternFill patternType="gray125"/>
    </fill>
    <fill>
      <patternFill patternType="solid">
        <fgColor theme="3"/>
        <bgColor indexed="64"/>
      </patternFill>
    </fill>
    <fill>
      <patternFill patternType="solid">
        <fgColor rgb="FFFFCC99"/>
      </patternFill>
    </fill>
    <fill>
      <patternFill patternType="solid">
        <fgColor theme="3" tint="0.39997558519241921"/>
        <bgColor indexed="64"/>
      </patternFill>
    </fill>
    <fill>
      <patternFill patternType="solid">
        <fgColor rgb="FFFFFF00"/>
        <bgColor indexed="64"/>
      </patternFill>
    </fill>
    <fill>
      <patternFill patternType="solid">
        <fgColor rgb="FFC6EFCE"/>
      </patternFill>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2F2F2"/>
      </patternFill>
    </fill>
    <fill>
      <patternFill patternType="solid">
        <fgColor rgb="FF000000"/>
        <bgColor indexed="64"/>
      </patternFill>
    </fill>
    <fill>
      <patternFill patternType="solid">
        <fgColor rgb="FFE9E8E5"/>
      </patternFill>
    </fill>
    <fill>
      <patternFill patternType="solid">
        <fgColor rgb="FFFFFFFF"/>
      </patternFill>
    </fill>
    <fill>
      <patternFill patternType="solid">
        <fgColor theme="9" tint="0.39997558519241921"/>
        <bgColor indexed="64"/>
      </patternFill>
    </fill>
    <fill>
      <patternFill patternType="solid">
        <fgColor rgb="FF439539"/>
        <bgColor indexed="64"/>
      </patternFill>
    </fill>
    <fill>
      <patternFill patternType="solid">
        <fgColor theme="0"/>
        <bgColor indexed="64"/>
      </patternFill>
    </fill>
    <fill>
      <patternFill patternType="solid">
        <fgColor rgb="FFC7DCBF"/>
        <bgColor indexed="64"/>
      </patternFill>
    </fill>
    <fill>
      <patternFill patternType="solid">
        <fgColor theme="0" tint="-0.249977111117893"/>
        <bgColor indexed="64"/>
      </patternFill>
    </fill>
    <fill>
      <patternFill patternType="solid">
        <fgColor rgb="FFFFCC99"/>
        <bgColor indexed="64"/>
      </patternFill>
    </fill>
  </fills>
  <borders count="62">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rgb="FFC0C0C0"/>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thin">
        <color rgb="FF7F7F7F"/>
      </top>
      <bottom style="thin">
        <color rgb="FF7F7F7F"/>
      </bottom>
      <diagonal/>
    </border>
    <border>
      <left style="thin">
        <color rgb="FF7F7F7F"/>
      </left>
      <right style="medium">
        <color indexed="64"/>
      </right>
      <top style="thin">
        <color rgb="FF7F7F7F"/>
      </top>
      <bottom style="medium">
        <color indexed="64"/>
      </bottom>
      <diagonal/>
    </border>
    <border>
      <left style="thin">
        <color rgb="FFD5D3D1"/>
      </left>
      <right style="thin">
        <color rgb="FFD5D3D1"/>
      </right>
      <top style="thin">
        <color rgb="FFD5D3D1"/>
      </top>
      <bottom style="thin">
        <color rgb="FFD5D3D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s>
  <cellStyleXfs count="12">
    <xf numFmtId="0" fontId="0" fillId="0" borderId="0"/>
    <xf numFmtId="0" fontId="2" fillId="3" borderId="1" applyNumberFormat="0" applyAlignment="0" applyProtection="0"/>
    <xf numFmtId="0" fontId="10" fillId="6" borderId="0" applyNumberFormat="0" applyBorder="0" applyAlignment="0" applyProtection="0"/>
    <xf numFmtId="0" fontId="14" fillId="0" borderId="0"/>
    <xf numFmtId="43" fontId="14" fillId="0" borderId="0" applyFont="0" applyFill="0" applyBorder="0" applyAlignment="0" applyProtection="0"/>
    <xf numFmtId="0" fontId="19" fillId="0" borderId="0" applyNumberFormat="0" applyFill="0" applyBorder="0" applyAlignment="0" applyProtection="0"/>
    <xf numFmtId="0" fontId="24" fillId="13" borderId="29" applyNumberFormat="0" applyAlignment="0" applyProtection="0"/>
    <xf numFmtId="0" fontId="25" fillId="13" borderId="1" applyNumberFormat="0" applyAlignment="0" applyProtection="0"/>
    <xf numFmtId="0" fontId="26" fillId="0" borderId="0"/>
    <xf numFmtId="9" fontId="26" fillId="0" borderId="0" applyFont="0" applyFill="0" applyBorder="0" applyAlignment="0" applyProtection="0"/>
    <xf numFmtId="0" fontId="27" fillId="0" borderId="0"/>
    <xf numFmtId="43" fontId="26" fillId="0" borderId="0" applyFont="0" applyFill="0" applyBorder="0" applyAlignment="0" applyProtection="0"/>
  </cellStyleXfs>
  <cellXfs count="390">
    <xf numFmtId="0" fontId="0" fillId="0" borderId="0" xfId="0"/>
    <xf numFmtId="0" fontId="3" fillId="0" borderId="0" xfId="0" applyFont="1"/>
    <xf numFmtId="0" fontId="5" fillId="0" borderId="0" xfId="0" applyFont="1" applyAlignment="1">
      <alignment horizontal="center"/>
    </xf>
    <xf numFmtId="0" fontId="6" fillId="0" borderId="0" xfId="0" applyFont="1" applyAlignment="1">
      <alignment horizontal="center"/>
    </xf>
    <xf numFmtId="166" fontId="8" fillId="0" borderId="0" xfId="0" applyNumberFormat="1" applyFont="1" applyAlignment="1">
      <alignment horizontal="right"/>
    </xf>
    <xf numFmtId="166" fontId="7" fillId="0" borderId="0" xfId="0" applyNumberFormat="1" applyFont="1" applyAlignment="1">
      <alignment horizontal="right"/>
    </xf>
    <xf numFmtId="167" fontId="7" fillId="0" borderId="0" xfId="0" applyNumberFormat="1" applyFont="1" applyAlignment="1">
      <alignment horizontal="right"/>
    </xf>
    <xf numFmtId="167" fontId="8" fillId="0" borderId="0" xfId="0" applyNumberFormat="1" applyFont="1" applyAlignment="1">
      <alignment horizontal="right"/>
    </xf>
    <xf numFmtId="165" fontId="4" fillId="0" borderId="0" xfId="0" applyNumberFormat="1" applyFont="1" applyAlignment="1">
      <alignment horizontal="right"/>
    </xf>
    <xf numFmtId="165" fontId="8" fillId="0" borderId="0" xfId="0" applyNumberFormat="1" applyFont="1" applyAlignment="1">
      <alignment horizontal="right"/>
    </xf>
    <xf numFmtId="165" fontId="7" fillId="0" borderId="0" xfId="0" applyNumberFormat="1" applyFont="1" applyAlignment="1">
      <alignment horizontal="right"/>
    </xf>
    <xf numFmtId="0" fontId="7" fillId="0" borderId="0" xfId="0" applyFont="1" applyAlignment="1">
      <alignment horizontal="center"/>
    </xf>
    <xf numFmtId="0" fontId="7" fillId="0" borderId="0" xfId="0" applyFont="1"/>
    <xf numFmtId="0" fontId="6" fillId="0" borderId="0" xfId="0" applyFont="1"/>
    <xf numFmtId="166" fontId="7" fillId="0" borderId="0" xfId="0" applyNumberFormat="1" applyFont="1"/>
    <xf numFmtId="0" fontId="0" fillId="0" borderId="10" xfId="0" applyBorder="1"/>
    <xf numFmtId="0" fontId="7" fillId="0" borderId="0" xfId="0" applyFont="1" applyAlignment="1">
      <alignment horizontal="left"/>
    </xf>
    <xf numFmtId="165" fontId="9" fillId="0" borderId="0" xfId="0" applyNumberFormat="1" applyFont="1" applyAlignment="1">
      <alignment horizontal="right"/>
    </xf>
    <xf numFmtId="0" fontId="7" fillId="0" borderId="0" xfId="0" applyFont="1" applyAlignment="1">
      <alignment horizontal="left" vertical="top"/>
    </xf>
    <xf numFmtId="0" fontId="5" fillId="0" borderId="10" xfId="0" applyFont="1" applyBorder="1" applyAlignment="1">
      <alignment horizontal="center"/>
    </xf>
    <xf numFmtId="0" fontId="7" fillId="5" borderId="0" xfId="0" applyFont="1" applyFill="1"/>
    <xf numFmtId="0" fontId="5" fillId="0" borderId="10" xfId="0" applyFont="1" applyBorder="1"/>
    <xf numFmtId="0" fontId="5" fillId="0" borderId="0" xfId="0" applyFont="1"/>
    <xf numFmtId="0" fontId="7" fillId="0" borderId="0" xfId="0" applyFont="1" applyAlignment="1">
      <alignment horizontal="left" vertical="center"/>
    </xf>
    <xf numFmtId="0" fontId="7" fillId="0" borderId="9" xfId="0" applyFont="1" applyBorder="1"/>
    <xf numFmtId="0" fontId="7" fillId="0" borderId="8" xfId="0" applyFont="1" applyBorder="1"/>
    <xf numFmtId="0" fontId="7" fillId="0" borderId="6" xfId="0" applyFont="1" applyBorder="1"/>
    <xf numFmtId="0" fontId="7" fillId="0" borderId="4" xfId="0" applyFont="1" applyBorder="1"/>
    <xf numFmtId="0" fontId="7" fillId="0" borderId="3" xfId="0" applyFont="1" applyBorder="1"/>
    <xf numFmtId="0" fontId="0" fillId="0" borderId="14" xfId="0" applyBorder="1"/>
    <xf numFmtId="0" fontId="2" fillId="3" borderId="14" xfId="1" applyBorder="1"/>
    <xf numFmtId="0" fontId="1" fillId="2" borderId="14" xfId="0" applyFont="1" applyFill="1" applyBorder="1"/>
    <xf numFmtId="0" fontId="1" fillId="4" borderId="14" xfId="0" applyFont="1" applyFill="1" applyBorder="1" applyAlignment="1">
      <alignment wrapText="1"/>
    </xf>
    <xf numFmtId="38" fontId="0" fillId="0" borderId="14" xfId="0" applyNumberFormat="1" applyBorder="1"/>
    <xf numFmtId="8" fontId="0" fillId="0" borderId="14" xfId="0" applyNumberFormat="1" applyBorder="1"/>
    <xf numFmtId="0" fontId="0" fillId="0" borderId="16" xfId="0" applyBorder="1"/>
    <xf numFmtId="0" fontId="0" fillId="0" borderId="17" xfId="0" applyBorder="1"/>
    <xf numFmtId="0" fontId="0" fillId="0" borderId="18" xfId="0" applyBorder="1"/>
    <xf numFmtId="0" fontId="0" fillId="0" borderId="19" xfId="0" applyBorder="1"/>
    <xf numFmtId="0" fontId="3" fillId="0" borderId="18" xfId="0" applyFont="1" applyBorder="1" applyAlignment="1">
      <alignment horizontal="right"/>
    </xf>
    <xf numFmtId="0" fontId="3" fillId="0" borderId="19" xfId="0" applyFont="1" applyBorder="1" applyAlignment="1">
      <alignment horizontal="right"/>
    </xf>
    <xf numFmtId="0" fontId="1" fillId="2" borderId="17" xfId="0" applyFont="1" applyFill="1" applyBorder="1"/>
    <xf numFmtId="0" fontId="1" fillId="2" borderId="18" xfId="0" applyFont="1" applyFill="1" applyBorder="1"/>
    <xf numFmtId="0" fontId="1" fillId="2" borderId="19" xfId="0" applyFont="1" applyFill="1" applyBorder="1"/>
    <xf numFmtId="0" fontId="1" fillId="2" borderId="21" xfId="0" applyFont="1" applyFill="1" applyBorder="1"/>
    <xf numFmtId="0" fontId="1" fillId="2" borderId="22" xfId="0" applyFont="1" applyFill="1" applyBorder="1"/>
    <xf numFmtId="0" fontId="1" fillId="2" borderId="20" xfId="0" applyFont="1" applyFill="1" applyBorder="1" applyAlignment="1">
      <alignment wrapText="1"/>
    </xf>
    <xf numFmtId="3" fontId="3" fillId="0" borderId="19" xfId="0" applyNumberFormat="1" applyFont="1" applyBorder="1"/>
    <xf numFmtId="8" fontId="3" fillId="0" borderId="19" xfId="0" applyNumberFormat="1" applyFont="1" applyBorder="1"/>
    <xf numFmtId="0" fontId="1" fillId="2" borderId="16" xfId="0" applyFont="1" applyFill="1" applyBorder="1" applyAlignment="1">
      <alignment wrapText="1"/>
    </xf>
    <xf numFmtId="6" fontId="3" fillId="0" borderId="23" xfId="0" applyNumberFormat="1" applyFont="1" applyBorder="1"/>
    <xf numFmtId="0" fontId="13" fillId="0" borderId="15" xfId="0" applyFont="1" applyBorder="1"/>
    <xf numFmtId="38" fontId="3" fillId="0" borderId="19" xfId="0" applyNumberFormat="1" applyFont="1" applyBorder="1"/>
    <xf numFmtId="3" fontId="0" fillId="0" borderId="0" xfId="0" applyNumberFormat="1"/>
    <xf numFmtId="0" fontId="15" fillId="0" borderId="0" xfId="3" applyFont="1"/>
    <xf numFmtId="0" fontId="14" fillId="0" borderId="0" xfId="3"/>
    <xf numFmtId="0" fontId="14" fillId="0" borderId="0" xfId="3" applyAlignment="1">
      <alignment horizontal="right"/>
    </xf>
    <xf numFmtId="0" fontId="14" fillId="0" borderId="0" xfId="3" applyAlignment="1">
      <alignment horizontal="left"/>
    </xf>
    <xf numFmtId="0" fontId="14" fillId="0" borderId="0" xfId="3" applyAlignment="1">
      <alignment horizontal="center"/>
    </xf>
    <xf numFmtId="0" fontId="17" fillId="7" borderId="24" xfId="3" applyFont="1" applyFill="1" applyBorder="1" applyAlignment="1">
      <alignment horizontal="center"/>
    </xf>
    <xf numFmtId="0" fontId="18" fillId="0" borderId="24" xfId="3" applyFont="1" applyBorder="1" applyAlignment="1">
      <alignment horizontal="center" vertical="center"/>
    </xf>
    <xf numFmtId="0" fontId="18" fillId="0" borderId="27" xfId="3" applyFont="1" applyBorder="1" applyAlignment="1">
      <alignment horizontal="center" vertical="center" wrapText="1"/>
    </xf>
    <xf numFmtId="0" fontId="18" fillId="8" borderId="26" xfId="3" applyFont="1" applyFill="1" applyBorder="1" applyAlignment="1">
      <alignment horizontal="center" vertical="center" wrapText="1"/>
    </xf>
    <xf numFmtId="0" fontId="18" fillId="0" borderId="27" xfId="3" applyFont="1" applyBorder="1" applyAlignment="1">
      <alignment horizontal="left" vertical="center" wrapText="1"/>
    </xf>
    <xf numFmtId="170" fontId="18" fillId="5" borderId="27" xfId="4" applyNumberFormat="1" applyFont="1" applyFill="1" applyBorder="1" applyAlignment="1">
      <alignment horizontal="center" vertical="center" wrapText="1"/>
    </xf>
    <xf numFmtId="170" fontId="18" fillId="7" borderId="27" xfId="3" applyNumberFormat="1" applyFont="1" applyFill="1" applyBorder="1" applyAlignment="1">
      <alignment horizontal="center" vertical="center" wrapText="1"/>
    </xf>
    <xf numFmtId="170" fontId="18" fillId="7" borderId="24" xfId="3" applyNumberFormat="1" applyFont="1" applyFill="1" applyBorder="1" applyAlignment="1">
      <alignment horizontal="center" vertical="center" wrapText="1"/>
    </xf>
    <xf numFmtId="170" fontId="18" fillId="7" borderId="26" xfId="3" applyNumberFormat="1" applyFont="1" applyFill="1" applyBorder="1" applyAlignment="1">
      <alignment horizontal="center" vertical="center" wrapText="1"/>
    </xf>
    <xf numFmtId="0" fontId="14" fillId="0" borderId="0" xfId="3" applyAlignment="1">
      <alignment vertical="center"/>
    </xf>
    <xf numFmtId="0" fontId="18" fillId="0" borderId="0" xfId="3" applyFont="1" applyAlignment="1">
      <alignment vertical="center"/>
    </xf>
    <xf numFmtId="0" fontId="20" fillId="0" borderId="9" xfId="5" applyFont="1" applyBorder="1" applyAlignment="1">
      <alignment horizontal="left" vertical="center"/>
    </xf>
    <xf numFmtId="0" fontId="20" fillId="0" borderId="12" xfId="5" applyFont="1" applyFill="1" applyBorder="1" applyAlignment="1">
      <alignment horizontal="left" vertical="center"/>
    </xf>
    <xf numFmtId="0" fontId="21" fillId="9" borderId="7" xfId="5" applyFont="1" applyFill="1" applyBorder="1" applyAlignment="1" applyProtection="1">
      <alignment horizontal="left" vertical="center" indent="1"/>
      <protection locked="0"/>
    </xf>
    <xf numFmtId="0" fontId="22" fillId="10" borderId="12" xfId="5" applyFont="1" applyFill="1" applyBorder="1" applyAlignment="1">
      <alignment horizontal="center" vertical="center"/>
    </xf>
    <xf numFmtId="171" fontId="22" fillId="10" borderId="12" xfId="4" applyNumberFormat="1" applyFont="1" applyFill="1" applyBorder="1" applyAlignment="1">
      <alignment horizontal="center" vertical="center"/>
    </xf>
    <xf numFmtId="171" fontId="22" fillId="10" borderId="12" xfId="4" applyNumberFormat="1" applyFont="1" applyFill="1" applyBorder="1" applyAlignment="1">
      <alignment horizontal="left" vertical="center"/>
    </xf>
    <xf numFmtId="0" fontId="21" fillId="11" borderId="13" xfId="5" applyFont="1" applyFill="1" applyBorder="1" applyAlignment="1">
      <alignment horizontal="center" vertical="center"/>
    </xf>
    <xf numFmtId="171" fontId="21" fillId="7" borderId="12" xfId="4" applyNumberFormat="1" applyFont="1" applyFill="1" applyBorder="1" applyAlignment="1">
      <alignment horizontal="left" vertical="center"/>
    </xf>
    <xf numFmtId="171" fontId="21" fillId="7" borderId="12" xfId="4" applyNumberFormat="1" applyFont="1" applyFill="1" applyBorder="1" applyAlignment="1">
      <alignment horizontal="center" vertical="center"/>
    </xf>
    <xf numFmtId="168" fontId="21" fillId="7" borderId="12" xfId="4" applyNumberFormat="1" applyFont="1" applyFill="1" applyBorder="1" applyAlignment="1">
      <alignment horizontal="center" vertical="center"/>
    </xf>
    <xf numFmtId="0" fontId="20" fillId="0" borderId="6" xfId="5" applyFont="1" applyBorder="1" applyAlignment="1">
      <alignment horizontal="left" vertical="center"/>
    </xf>
    <xf numFmtId="0" fontId="21" fillId="9" borderId="5" xfId="5" applyFont="1" applyFill="1" applyBorder="1" applyAlignment="1" applyProtection="1">
      <alignment horizontal="left" vertical="center" indent="1"/>
      <protection locked="0"/>
    </xf>
    <xf numFmtId="0" fontId="21" fillId="11" borderId="12" xfId="5" applyFont="1" applyFill="1" applyBorder="1" applyAlignment="1">
      <alignment horizontal="center" vertical="center"/>
    </xf>
    <xf numFmtId="0" fontId="20" fillId="0" borderId="12" xfId="3" applyFont="1" applyBorder="1"/>
    <xf numFmtId="0" fontId="22" fillId="12" borderId="12" xfId="5" applyFont="1" applyFill="1" applyBorder="1" applyAlignment="1">
      <alignment horizontal="center" vertical="center"/>
    </xf>
    <xf numFmtId="0" fontId="20" fillId="0" borderId="6" xfId="5" applyFont="1" applyFill="1" applyBorder="1" applyAlignment="1">
      <alignment horizontal="left" vertical="center"/>
    </xf>
    <xf numFmtId="14" fontId="21" fillId="9" borderId="5" xfId="5" applyNumberFormat="1" applyFont="1" applyFill="1" applyBorder="1" applyAlignment="1" applyProtection="1">
      <alignment horizontal="left" vertical="center" indent="1"/>
      <protection locked="0"/>
    </xf>
    <xf numFmtId="173" fontId="21" fillId="11" borderId="12" xfId="4" applyNumberFormat="1" applyFont="1" applyFill="1" applyBorder="1" applyAlignment="1">
      <alignment horizontal="center" vertical="center"/>
    </xf>
    <xf numFmtId="174" fontId="21" fillId="7" borderId="12" xfId="4" applyNumberFormat="1" applyFont="1" applyFill="1" applyBorder="1" applyAlignment="1">
      <alignment horizontal="center" vertical="center"/>
    </xf>
    <xf numFmtId="0" fontId="20" fillId="0" borderId="4" xfId="5" applyFont="1" applyBorder="1" applyAlignment="1">
      <alignment horizontal="left" vertical="center"/>
    </xf>
    <xf numFmtId="0" fontId="20" fillId="0" borderId="11" xfId="5" applyFont="1" applyBorder="1" applyAlignment="1">
      <alignment horizontal="left" vertical="center"/>
    </xf>
    <xf numFmtId="0" fontId="21" fillId="9" borderId="2" xfId="5" applyFont="1" applyFill="1" applyBorder="1" applyAlignment="1" applyProtection="1">
      <alignment horizontal="left" vertical="center" indent="1"/>
      <protection locked="0"/>
    </xf>
    <xf numFmtId="0" fontId="22" fillId="10" borderId="11" xfId="5" applyFont="1" applyFill="1" applyBorder="1" applyAlignment="1">
      <alignment horizontal="center" vertical="center"/>
    </xf>
    <xf numFmtId="171" fontId="22" fillId="10" borderId="11" xfId="4" applyNumberFormat="1" applyFont="1" applyFill="1" applyBorder="1" applyAlignment="1">
      <alignment horizontal="center" vertical="center"/>
    </xf>
    <xf numFmtId="171" fontId="22" fillId="10" borderId="11" xfId="4" applyNumberFormat="1" applyFont="1" applyFill="1" applyBorder="1" applyAlignment="1">
      <alignment horizontal="left" vertical="center"/>
    </xf>
    <xf numFmtId="0" fontId="21" fillId="11" borderId="11" xfId="5" applyFont="1" applyFill="1" applyBorder="1" applyAlignment="1">
      <alignment horizontal="center" vertical="center"/>
    </xf>
    <xf numFmtId="171" fontId="21" fillId="7" borderId="11" xfId="4" applyNumberFormat="1" applyFont="1" applyFill="1" applyBorder="1" applyAlignment="1">
      <alignment horizontal="left" vertical="center"/>
    </xf>
    <xf numFmtId="171" fontId="21" fillId="7" borderId="11" xfId="4" applyNumberFormat="1" applyFont="1" applyFill="1" applyBorder="1" applyAlignment="1">
      <alignment horizontal="center" vertical="center"/>
    </xf>
    <xf numFmtId="172" fontId="0" fillId="0" borderId="0" xfId="0" applyNumberFormat="1"/>
    <xf numFmtId="40" fontId="24" fillId="13" borderId="29" xfId="6" applyNumberFormat="1" applyAlignment="1"/>
    <xf numFmtId="8" fontId="24" fillId="13" borderId="29" xfId="6" applyNumberFormat="1" applyAlignment="1"/>
    <xf numFmtId="4" fontId="24" fillId="13" borderId="29" xfId="6" applyNumberFormat="1" applyAlignment="1"/>
    <xf numFmtId="0" fontId="2" fillId="3" borderId="1" xfId="1" applyAlignment="1">
      <alignment horizontal="left"/>
    </xf>
    <xf numFmtId="40" fontId="2" fillId="3" borderId="1" xfId="1" applyNumberFormat="1"/>
    <xf numFmtId="40" fontId="2" fillId="3" borderId="1" xfId="1" quotePrefix="1" applyNumberFormat="1"/>
    <xf numFmtId="4" fontId="2" fillId="3" borderId="1" xfId="1" applyNumberFormat="1"/>
    <xf numFmtId="164" fontId="2" fillId="3" borderId="1" xfId="1" applyNumberFormat="1"/>
    <xf numFmtId="4" fontId="2" fillId="3" borderId="1" xfId="1" quotePrefix="1" applyNumberFormat="1"/>
    <xf numFmtId="9" fontId="2" fillId="3" borderId="1" xfId="1" applyNumberFormat="1" applyAlignment="1">
      <alignment horizontal="left"/>
    </xf>
    <xf numFmtId="10" fontId="7" fillId="0" borderId="0" xfId="0" applyNumberFormat="1" applyFont="1"/>
    <xf numFmtId="0" fontId="3" fillId="0" borderId="0" xfId="0" applyFont="1" applyAlignment="1">
      <alignment horizontal="left"/>
    </xf>
    <xf numFmtId="0" fontId="24" fillId="13" borderId="29" xfId="6" applyAlignment="1">
      <alignment horizontal="left"/>
    </xf>
    <xf numFmtId="0" fontId="0" fillId="0" borderId="0" xfId="0" applyAlignment="1">
      <alignment horizontal="left"/>
    </xf>
    <xf numFmtId="4" fontId="24" fillId="13" borderId="29" xfId="6" applyNumberFormat="1"/>
    <xf numFmtId="0" fontId="25" fillId="13" borderId="1" xfId="7" applyAlignment="1">
      <alignment horizontal="left"/>
    </xf>
    <xf numFmtId="40" fontId="25" fillId="13" borderId="1" xfId="7" applyNumberFormat="1"/>
    <xf numFmtId="4" fontId="25" fillId="13" borderId="1" xfId="7" applyNumberFormat="1"/>
    <xf numFmtId="4" fontId="25" fillId="13" borderId="1" xfId="7" applyNumberFormat="1" applyAlignment="1">
      <alignment horizontal="left"/>
    </xf>
    <xf numFmtId="40" fontId="25" fillId="13" borderId="1" xfId="7" quotePrefix="1" applyNumberFormat="1"/>
    <xf numFmtId="4" fontId="25" fillId="13" borderId="1" xfId="7" quotePrefix="1" applyNumberFormat="1"/>
    <xf numFmtId="8" fontId="10" fillId="6" borderId="14" xfId="2" applyNumberFormat="1" applyBorder="1" applyAlignment="1"/>
    <xf numFmtId="0" fontId="2" fillId="3" borderId="14" xfId="1" applyBorder="1" applyAlignment="1"/>
    <xf numFmtId="0" fontId="2" fillId="3" borderId="14" xfId="1" applyBorder="1" applyAlignment="1">
      <alignment vertical="center"/>
    </xf>
    <xf numFmtId="8" fontId="24" fillId="13" borderId="14" xfId="6" applyNumberFormat="1" applyBorder="1" applyAlignment="1"/>
    <xf numFmtId="6" fontId="10" fillId="6" borderId="14" xfId="2" applyNumberFormat="1" applyBorder="1" applyAlignment="1"/>
    <xf numFmtId="4" fontId="2" fillId="3" borderId="14" xfId="1" applyNumberFormat="1" applyBorder="1" applyAlignment="1"/>
    <xf numFmtId="3" fontId="2" fillId="3" borderId="14" xfId="1" applyNumberFormat="1" applyBorder="1" applyAlignment="1"/>
    <xf numFmtId="0" fontId="0" fillId="0" borderId="28" xfId="0" applyBorder="1"/>
    <xf numFmtId="8" fontId="2" fillId="3" borderId="14" xfId="1" applyNumberFormat="1" applyBorder="1" applyAlignment="1"/>
    <xf numFmtId="9" fontId="2" fillId="3" borderId="14" xfId="1" applyNumberFormat="1" applyBorder="1" applyAlignment="1"/>
    <xf numFmtId="0" fontId="1" fillId="2" borderId="14" xfId="0" applyFont="1" applyFill="1" applyBorder="1" applyAlignment="1">
      <alignment wrapText="1"/>
    </xf>
    <xf numFmtId="14" fontId="24" fillId="13" borderId="29" xfId="6" applyNumberFormat="1" applyAlignment="1"/>
    <xf numFmtId="0" fontId="0" fillId="0" borderId="17" xfId="0" applyBorder="1" applyAlignment="1">
      <alignment vertical="center"/>
    </xf>
    <xf numFmtId="0" fontId="24" fillId="13" borderId="14" xfId="6" applyBorder="1" applyAlignment="1"/>
    <xf numFmtId="0" fontId="14" fillId="7" borderId="25" xfId="3" applyFill="1" applyBorder="1" applyAlignment="1">
      <alignment horizontal="center"/>
    </xf>
    <xf numFmtId="0" fontId="14" fillId="7" borderId="26" xfId="3" applyFill="1" applyBorder="1" applyAlignment="1">
      <alignment horizontal="center"/>
    </xf>
    <xf numFmtId="0" fontId="24" fillId="13" borderId="29" xfId="6"/>
    <xf numFmtId="14" fontId="24" fillId="13" borderId="29" xfId="6" applyNumberFormat="1"/>
    <xf numFmtId="0" fontId="25" fillId="13" borderId="1" xfId="7" applyAlignment="1" applyProtection="1">
      <alignment horizontal="center" vertical="center"/>
      <protection locked="0"/>
    </xf>
    <xf numFmtId="165" fontId="25" fillId="13" borderId="1" xfId="7" applyNumberFormat="1" applyAlignment="1">
      <alignment horizontal="right"/>
    </xf>
    <xf numFmtId="165" fontId="25" fillId="13" borderId="1" xfId="7" applyNumberFormat="1"/>
    <xf numFmtId="165" fontId="25" fillId="13" borderId="30" xfId="7" applyNumberFormat="1" applyBorder="1"/>
    <xf numFmtId="165" fontId="25" fillId="13" borderId="31" xfId="7" applyNumberFormat="1" applyBorder="1"/>
    <xf numFmtId="165" fontId="25" fillId="13" borderId="32" xfId="7" applyNumberFormat="1" applyBorder="1"/>
    <xf numFmtId="165" fontId="24" fillId="13" borderId="29" xfId="6" applyNumberFormat="1" applyAlignment="1">
      <alignment horizontal="right"/>
    </xf>
    <xf numFmtId="165" fontId="5" fillId="0" borderId="0" xfId="0" applyNumberFormat="1" applyFont="1" applyAlignment="1">
      <alignment horizontal="right"/>
    </xf>
    <xf numFmtId="165" fontId="7" fillId="0" borderId="0" xfId="0" applyNumberFormat="1" applyFont="1"/>
    <xf numFmtId="165" fontId="4" fillId="0" borderId="7" xfId="0" applyNumberFormat="1" applyFont="1" applyBorder="1"/>
    <xf numFmtId="165" fontId="4" fillId="0" borderId="0" xfId="0" applyNumberFormat="1" applyFont="1"/>
    <xf numFmtId="165" fontId="4" fillId="0" borderId="3" xfId="0" applyNumberFormat="1" applyFont="1" applyBorder="1"/>
    <xf numFmtId="0" fontId="20" fillId="0" borderId="5" xfId="5" applyFont="1" applyFill="1" applyBorder="1" applyAlignment="1">
      <alignment horizontal="left" vertical="center"/>
    </xf>
    <xf numFmtId="0" fontId="20" fillId="0" borderId="5" xfId="3" applyFont="1" applyBorder="1"/>
    <xf numFmtId="0" fontId="20" fillId="0" borderId="2" xfId="5" applyFont="1" applyBorder="1" applyAlignment="1">
      <alignment horizontal="left" vertical="center"/>
    </xf>
    <xf numFmtId="0" fontId="18" fillId="5" borderId="26" xfId="3" applyFont="1" applyFill="1" applyBorder="1" applyAlignment="1">
      <alignment horizontal="center" vertical="center" wrapText="1"/>
    </xf>
    <xf numFmtId="0" fontId="5" fillId="5" borderId="10" xfId="0" applyFont="1" applyFill="1" applyBorder="1"/>
    <xf numFmtId="166" fontId="25" fillId="13" borderId="1" xfId="7" applyNumberFormat="1" applyAlignment="1"/>
    <xf numFmtId="10" fontId="2" fillId="3" borderId="1" xfId="1" applyNumberFormat="1" applyAlignment="1"/>
    <xf numFmtId="169" fontId="25" fillId="13" borderId="1" xfId="7" applyNumberFormat="1" applyAlignment="1"/>
    <xf numFmtId="10" fontId="24" fillId="13" borderId="29" xfId="6" applyNumberFormat="1" applyAlignment="1"/>
    <xf numFmtId="38" fontId="10" fillId="6" borderId="14" xfId="2" quotePrefix="1" applyNumberFormat="1" applyBorder="1" applyAlignment="1"/>
    <xf numFmtId="38" fontId="10" fillId="6" borderId="14" xfId="2" applyNumberFormat="1" applyBorder="1" applyAlignment="1"/>
    <xf numFmtId="0" fontId="3" fillId="5" borderId="0" xfId="0" applyFont="1" applyFill="1"/>
    <xf numFmtId="165" fontId="2" fillId="3" borderId="1" xfId="1" applyNumberFormat="1" applyAlignment="1">
      <alignment horizontal="right"/>
    </xf>
    <xf numFmtId="4" fontId="2" fillId="3" borderId="14" xfId="1" applyNumberFormat="1" applyBorder="1"/>
    <xf numFmtId="0" fontId="0" fillId="14" borderId="18" xfId="0" applyFill="1" applyBorder="1"/>
    <xf numFmtId="0" fontId="2" fillId="14" borderId="18" xfId="1" applyFill="1" applyBorder="1"/>
    <xf numFmtId="38" fontId="0" fillId="14" borderId="18" xfId="0" applyNumberFormat="1" applyFill="1" applyBorder="1"/>
    <xf numFmtId="8" fontId="0" fillId="14" borderId="18" xfId="0" applyNumberFormat="1" applyFill="1" applyBorder="1"/>
    <xf numFmtId="8" fontId="0" fillId="0" borderId="0" xfId="0" applyNumberFormat="1"/>
    <xf numFmtId="0" fontId="23" fillId="0" borderId="12" xfId="3" applyFont="1" applyBorder="1"/>
    <xf numFmtId="0" fontId="16" fillId="0" borderId="2" xfId="3" applyFont="1" applyBorder="1"/>
    <xf numFmtId="0" fontId="16" fillId="0" borderId="3" xfId="3" applyFont="1" applyBorder="1"/>
    <xf numFmtId="0" fontId="16" fillId="0" borderId="4" xfId="3" applyFont="1" applyBorder="1"/>
    <xf numFmtId="0" fontId="16" fillId="0" borderId="7" xfId="3" applyFont="1" applyBorder="1"/>
    <xf numFmtId="0" fontId="16" fillId="0" borderId="8" xfId="3" applyFont="1" applyBorder="1"/>
    <xf numFmtId="0" fontId="16" fillId="0" borderId="9" xfId="3" applyFont="1" applyBorder="1"/>
    <xf numFmtId="0" fontId="26" fillId="0" borderId="0" xfId="8" applyAlignment="1">
      <alignment horizontal="right"/>
    </xf>
    <xf numFmtId="8" fontId="8" fillId="0" borderId="0" xfId="0" applyNumberFormat="1" applyFont="1" applyAlignment="1">
      <alignment horizontal="right"/>
    </xf>
    <xf numFmtId="6" fontId="0" fillId="14" borderId="10" xfId="0" applyNumberFormat="1" applyFill="1" applyBorder="1"/>
    <xf numFmtId="6" fontId="2" fillId="3" borderId="14" xfId="1" applyNumberFormat="1" applyBorder="1"/>
    <xf numFmtId="0" fontId="2" fillId="3" borderId="14" xfId="1" applyBorder="1" applyAlignment="1">
      <alignment horizontal="left"/>
    </xf>
    <xf numFmtId="0" fontId="25" fillId="13" borderId="14" xfId="7" applyBorder="1" applyAlignment="1">
      <alignment horizontal="left"/>
    </xf>
    <xf numFmtId="4" fontId="25" fillId="13" borderId="14" xfId="7" applyNumberFormat="1" applyBorder="1"/>
    <xf numFmtId="0" fontId="24" fillId="13" borderId="14" xfId="6" applyBorder="1" applyAlignment="1">
      <alignment horizontal="left"/>
    </xf>
    <xf numFmtId="40" fontId="24" fillId="13" borderId="14" xfId="6" applyNumberFormat="1" applyBorder="1" applyAlignment="1"/>
    <xf numFmtId="40" fontId="25" fillId="13" borderId="14" xfId="7" applyNumberFormat="1" applyBorder="1"/>
    <xf numFmtId="4" fontId="24" fillId="13" borderId="14" xfId="6" applyNumberFormat="1" applyBorder="1" applyAlignment="1"/>
    <xf numFmtId="1" fontId="28" fillId="15" borderId="33" xfId="10" applyNumberFormat="1" applyFont="1" applyFill="1" applyBorder="1"/>
    <xf numFmtId="0" fontId="28" fillId="15" borderId="33" xfId="10" applyFont="1" applyFill="1" applyBorder="1"/>
    <xf numFmtId="0" fontId="27" fillId="0" borderId="0" xfId="10"/>
    <xf numFmtId="0" fontId="29" fillId="16" borderId="33" xfId="10" applyFont="1" applyFill="1" applyBorder="1" applyAlignment="1">
      <alignment horizontal="left"/>
    </xf>
    <xf numFmtId="175" fontId="29" fillId="16" borderId="33" xfId="10" applyNumberFormat="1" applyFont="1" applyFill="1" applyBorder="1" applyAlignment="1">
      <alignment horizontal="left"/>
    </xf>
    <xf numFmtId="1" fontId="27" fillId="0" borderId="0" xfId="10" applyNumberFormat="1"/>
    <xf numFmtId="0" fontId="30" fillId="0" borderId="0" xfId="0" applyFont="1"/>
    <xf numFmtId="0" fontId="0" fillId="0" borderId="0" xfId="0" applyAlignment="1">
      <alignment vertical="center"/>
    </xf>
    <xf numFmtId="9" fontId="0" fillId="0" borderId="0" xfId="9" applyFont="1"/>
    <xf numFmtId="0" fontId="34" fillId="0" borderId="0" xfId="0" applyFont="1" applyAlignment="1">
      <alignment vertical="center"/>
    </xf>
    <xf numFmtId="0" fontId="30" fillId="0" borderId="0" xfId="0" applyFont="1" applyAlignment="1">
      <alignment vertical="center"/>
    </xf>
    <xf numFmtId="166" fontId="30" fillId="0" borderId="0" xfId="0" applyNumberFormat="1" applyFont="1" applyAlignment="1">
      <alignment vertical="center"/>
    </xf>
    <xf numFmtId="166" fontId="30" fillId="0" borderId="5" xfId="0" applyNumberFormat="1" applyFont="1" applyBorder="1" applyAlignment="1">
      <alignment vertical="center"/>
    </xf>
    <xf numFmtId="0" fontId="31" fillId="17" borderId="0" xfId="10" applyFont="1" applyFill="1" applyAlignment="1">
      <alignment vertical="center" wrapText="1"/>
    </xf>
    <xf numFmtId="0" fontId="0" fillId="17" borderId="0" xfId="0" applyFill="1" applyAlignment="1">
      <alignment vertical="center"/>
    </xf>
    <xf numFmtId="0" fontId="33" fillId="0" borderId="0" xfId="10" applyFont="1" applyAlignment="1">
      <alignment vertical="center" wrapText="1"/>
    </xf>
    <xf numFmtId="175" fontId="30" fillId="0" borderId="0" xfId="0" applyNumberFormat="1" applyFont="1" applyAlignment="1">
      <alignment vertical="center"/>
    </xf>
    <xf numFmtId="0" fontId="35" fillId="0" borderId="0" xfId="0" applyFont="1" applyAlignment="1">
      <alignment vertical="center"/>
    </xf>
    <xf numFmtId="0" fontId="36" fillId="0" borderId="0" xfId="0" applyFont="1" applyAlignment="1">
      <alignment vertical="center"/>
    </xf>
    <xf numFmtId="3" fontId="30" fillId="0" borderId="0" xfId="0" applyNumberFormat="1" applyFont="1" applyAlignment="1">
      <alignment vertical="center"/>
    </xf>
    <xf numFmtId="0" fontId="30" fillId="0" borderId="0" xfId="0" applyFont="1" applyAlignment="1">
      <alignment vertical="center" wrapText="1"/>
    </xf>
    <xf numFmtId="3" fontId="30" fillId="0" borderId="0" xfId="0" applyNumberFormat="1" applyFont="1" applyAlignment="1">
      <alignment vertical="center" wrapText="1"/>
    </xf>
    <xf numFmtId="0" fontId="34" fillId="0" borderId="0" xfId="0" applyFont="1" applyAlignment="1">
      <alignment vertical="center" wrapText="1"/>
    </xf>
    <xf numFmtId="3" fontId="30" fillId="0" borderId="0" xfId="0" applyNumberFormat="1" applyFont="1" applyAlignment="1">
      <alignment horizontal="center" vertical="center" wrapText="1"/>
    </xf>
    <xf numFmtId="0" fontId="31" fillId="0" borderId="0" xfId="10" applyFont="1" applyAlignment="1">
      <alignment vertical="center" wrapText="1"/>
    </xf>
    <xf numFmtId="0" fontId="31" fillId="0" borderId="0" xfId="10" applyFont="1" applyAlignment="1">
      <alignment horizontal="left" vertical="center" wrapText="1"/>
    </xf>
    <xf numFmtId="166" fontId="42" fillId="0" borderId="0" xfId="0" applyNumberFormat="1" applyFont="1" applyAlignment="1">
      <alignment vertical="center"/>
    </xf>
    <xf numFmtId="0" fontId="39" fillId="0" borderId="0" xfId="0" applyFont="1" applyAlignment="1">
      <alignment vertical="center" wrapText="1"/>
    </xf>
    <xf numFmtId="0" fontId="34" fillId="0" borderId="0" xfId="0" applyFont="1"/>
    <xf numFmtId="8" fontId="30" fillId="0" borderId="0" xfId="0" applyNumberFormat="1" applyFont="1"/>
    <xf numFmtId="4" fontId="2" fillId="5" borderId="14" xfId="1" applyNumberFormat="1" applyFill="1" applyBorder="1"/>
    <xf numFmtId="8" fontId="24" fillId="5" borderId="29" xfId="6" applyNumberFormat="1" applyFill="1"/>
    <xf numFmtId="40" fontId="2" fillId="5" borderId="1" xfId="1" applyNumberFormat="1" applyFill="1"/>
    <xf numFmtId="38" fontId="2" fillId="3" borderId="1" xfId="1" applyNumberFormat="1"/>
    <xf numFmtId="40" fontId="25" fillId="5" borderId="1" xfId="7" applyNumberFormat="1" applyFill="1"/>
    <xf numFmtId="0" fontId="42" fillId="0" borderId="0" xfId="0" applyFont="1"/>
    <xf numFmtId="3" fontId="2" fillId="3" borderId="14" xfId="1" applyNumberFormat="1" applyBorder="1" applyAlignment="1">
      <alignment horizontal="right"/>
    </xf>
    <xf numFmtId="43" fontId="0" fillId="0" borderId="0" xfId="11" applyFont="1"/>
    <xf numFmtId="0" fontId="0" fillId="0" borderId="0" xfId="0" applyAlignment="1">
      <alignment horizontal="center"/>
    </xf>
    <xf numFmtId="40" fontId="2" fillId="5" borderId="1" xfId="1" quotePrefix="1" applyNumberFormat="1" applyFill="1"/>
    <xf numFmtId="0" fontId="30" fillId="19" borderId="3" xfId="0" applyFont="1" applyFill="1" applyBorder="1" applyAlignment="1">
      <alignment vertical="center"/>
    </xf>
    <xf numFmtId="0" fontId="30" fillId="19" borderId="2" xfId="0" applyFont="1" applyFill="1" applyBorder="1" applyAlignment="1">
      <alignment vertical="center"/>
    </xf>
    <xf numFmtId="9" fontId="0" fillId="0" borderId="0" xfId="0" applyNumberFormat="1"/>
    <xf numFmtId="0" fontId="30" fillId="19" borderId="10" xfId="0" applyFont="1" applyFill="1" applyBorder="1" applyAlignment="1">
      <alignment horizontal="center" vertical="center"/>
    </xf>
    <xf numFmtId="0" fontId="48" fillId="10" borderId="5" xfId="0" applyFont="1" applyFill="1" applyBorder="1" applyAlignment="1">
      <alignment vertical="center"/>
    </xf>
    <xf numFmtId="40" fontId="2" fillId="22" borderId="1" xfId="1" applyNumberFormat="1" applyFill="1"/>
    <xf numFmtId="40" fontId="25" fillId="5" borderId="1" xfId="7" quotePrefix="1" applyNumberFormat="1" applyFill="1"/>
    <xf numFmtId="2" fontId="2" fillId="3" borderId="14" xfId="1" applyNumberFormat="1" applyBorder="1"/>
    <xf numFmtId="8" fontId="24" fillId="5" borderId="29" xfId="6" applyNumberFormat="1" applyFill="1" applyAlignment="1"/>
    <xf numFmtId="40" fontId="24" fillId="5" borderId="29" xfId="6" applyNumberFormat="1" applyFill="1" applyAlignment="1"/>
    <xf numFmtId="0" fontId="7" fillId="0" borderId="0" xfId="0" applyFont="1" applyAlignment="1">
      <alignment horizontal="right"/>
    </xf>
    <xf numFmtId="0" fontId="0" fillId="19" borderId="3" xfId="0" applyFill="1" applyBorder="1" applyAlignment="1">
      <alignment horizontal="center"/>
    </xf>
    <xf numFmtId="3" fontId="30" fillId="0" borderId="0" xfId="0" applyNumberFormat="1" applyFont="1" applyAlignment="1" applyProtection="1">
      <alignment horizontal="center" vertical="center"/>
      <protection locked="0"/>
    </xf>
    <xf numFmtId="176" fontId="34" fillId="19" borderId="17" xfId="0" applyNumberFormat="1" applyFont="1" applyFill="1" applyBorder="1" applyAlignment="1">
      <alignment horizontal="right" vertical="center" wrapText="1"/>
    </xf>
    <xf numFmtId="176" fontId="34" fillId="19" borderId="18" xfId="0" applyNumberFormat="1" applyFont="1" applyFill="1" applyBorder="1" applyAlignment="1">
      <alignment horizontal="right" vertical="center" wrapText="1"/>
    </xf>
    <xf numFmtId="0" fontId="34" fillId="19" borderId="41" xfId="0" applyFont="1" applyFill="1" applyBorder="1" applyAlignment="1">
      <alignment horizontal="right" vertical="center"/>
    </xf>
    <xf numFmtId="0" fontId="34" fillId="19" borderId="18" xfId="0" applyFont="1" applyFill="1" applyBorder="1" applyAlignment="1">
      <alignment horizontal="right" vertical="center"/>
    </xf>
    <xf numFmtId="176" fontId="30" fillId="19" borderId="18" xfId="0" applyNumberFormat="1" applyFont="1" applyFill="1" applyBorder="1" applyAlignment="1" applyProtection="1">
      <alignment horizontal="center" vertical="center"/>
      <protection locked="0"/>
    </xf>
    <xf numFmtId="3" fontId="30" fillId="19" borderId="34" xfId="0" applyNumberFormat="1" applyFont="1" applyFill="1" applyBorder="1" applyAlignment="1" applyProtection="1">
      <alignment horizontal="center" vertical="center" wrapText="1"/>
      <protection locked="0"/>
    </xf>
    <xf numFmtId="0" fontId="31" fillId="17" borderId="12" xfId="10" applyFont="1" applyFill="1" applyBorder="1" applyAlignment="1">
      <alignment horizontal="left" vertical="center" wrapText="1"/>
    </xf>
    <xf numFmtId="0" fontId="34" fillId="19" borderId="8" xfId="0" applyFont="1" applyFill="1" applyBorder="1" applyAlignment="1">
      <alignment horizontal="left"/>
    </xf>
    <xf numFmtId="0" fontId="30" fillId="19" borderId="0" xfId="0" applyFont="1" applyFill="1" applyAlignment="1" applyProtection="1">
      <alignment horizontal="center" vertical="center"/>
      <protection locked="0"/>
    </xf>
    <xf numFmtId="3" fontId="30" fillId="0" borderId="5" xfId="0" applyNumberFormat="1" applyFont="1" applyBorder="1" applyAlignment="1" applyProtection="1">
      <alignment horizontal="center" vertical="center"/>
      <protection locked="0"/>
    </xf>
    <xf numFmtId="0" fontId="30" fillId="19" borderId="10" xfId="0" applyFont="1" applyFill="1" applyBorder="1" applyAlignment="1" applyProtection="1">
      <alignment horizontal="center" vertical="center"/>
      <protection locked="0"/>
    </xf>
    <xf numFmtId="0" fontId="30" fillId="19" borderId="10" xfId="0" applyFont="1" applyFill="1" applyBorder="1" applyAlignment="1">
      <alignment horizontal="right" vertical="center"/>
    </xf>
    <xf numFmtId="3" fontId="30" fillId="0" borderId="0" xfId="0" applyNumberFormat="1" applyFont="1" applyAlignment="1">
      <alignment horizontal="center" vertical="center"/>
    </xf>
    <xf numFmtId="0" fontId="42" fillId="0" borderId="0" xfId="0" applyFont="1" applyAlignment="1">
      <alignment horizontal="right" vertical="center"/>
    </xf>
    <xf numFmtId="0" fontId="34" fillId="19" borderId="34" xfId="0" applyFont="1" applyFill="1" applyBorder="1" applyAlignment="1">
      <alignment horizontal="center" vertical="center" wrapText="1"/>
    </xf>
    <xf numFmtId="0" fontId="34" fillId="19" borderId="39" xfId="0" applyFont="1" applyFill="1" applyBorder="1" applyAlignment="1">
      <alignment horizontal="center" vertical="center" wrapText="1"/>
    </xf>
    <xf numFmtId="0" fontId="30" fillId="19" borderId="10" xfId="0" applyFont="1" applyFill="1" applyBorder="1" applyAlignment="1">
      <alignment horizontal="center" vertical="center"/>
    </xf>
    <xf numFmtId="175" fontId="30" fillId="19" borderId="10" xfId="0" applyNumberFormat="1" applyFont="1" applyFill="1" applyBorder="1" applyAlignment="1" applyProtection="1">
      <alignment horizontal="center" vertical="center"/>
      <protection locked="0"/>
    </xf>
    <xf numFmtId="175" fontId="30" fillId="19" borderId="48" xfId="0" applyNumberFormat="1" applyFont="1" applyFill="1" applyBorder="1" applyAlignment="1" applyProtection="1">
      <alignment horizontal="center" vertical="center"/>
      <protection locked="0"/>
    </xf>
    <xf numFmtId="0" fontId="35" fillId="20" borderId="38" xfId="0" applyFont="1" applyFill="1" applyBorder="1" applyAlignment="1">
      <alignment horizontal="center" vertical="center"/>
    </xf>
    <xf numFmtId="0" fontId="35" fillId="20" borderId="37" xfId="0" applyFont="1" applyFill="1" applyBorder="1" applyAlignment="1">
      <alignment horizontal="center" vertical="center"/>
    </xf>
    <xf numFmtId="0" fontId="35" fillId="20" borderId="36" xfId="0" applyFont="1" applyFill="1" applyBorder="1" applyAlignment="1">
      <alignment horizontal="center" vertical="center"/>
    </xf>
    <xf numFmtId="3" fontId="30" fillId="19" borderId="18" xfId="0" applyNumberFormat="1" applyFont="1" applyFill="1" applyBorder="1" applyAlignment="1" applyProtection="1">
      <alignment horizontal="center" vertical="center"/>
      <protection locked="0"/>
    </xf>
    <xf numFmtId="3" fontId="30" fillId="19" borderId="19" xfId="0" applyNumberFormat="1" applyFont="1" applyFill="1" applyBorder="1" applyAlignment="1" applyProtection="1">
      <alignment horizontal="center" vertical="center"/>
      <protection locked="0"/>
    </xf>
    <xf numFmtId="0" fontId="38" fillId="19" borderId="3" xfId="0" applyFont="1" applyFill="1" applyBorder="1" applyAlignment="1">
      <alignment horizontal="center"/>
    </xf>
    <xf numFmtId="0" fontId="41" fillId="19" borderId="0" xfId="0" applyFont="1" applyFill="1" applyAlignment="1">
      <alignment horizontal="left"/>
    </xf>
    <xf numFmtId="0" fontId="40" fillId="19" borderId="0" xfId="0" applyFont="1" applyFill="1" applyAlignment="1">
      <alignment horizontal="left"/>
    </xf>
    <xf numFmtId="0" fontId="0" fillId="0" borderId="25" xfId="0" applyBorder="1" applyAlignment="1">
      <alignment horizontal="center"/>
    </xf>
    <xf numFmtId="0" fontId="31" fillId="17" borderId="0" xfId="10" applyFont="1" applyFill="1" applyAlignment="1">
      <alignment horizontal="center" vertical="center" wrapText="1"/>
    </xf>
    <xf numFmtId="0" fontId="31" fillId="17" borderId="5" xfId="10" applyFont="1" applyFill="1" applyBorder="1" applyAlignment="1">
      <alignment horizontal="center" vertical="center" wrapText="1"/>
    </xf>
    <xf numFmtId="0" fontId="30" fillId="19" borderId="5" xfId="0" applyFont="1" applyFill="1" applyBorder="1" applyAlignment="1" applyProtection="1">
      <alignment horizontal="center" vertical="center"/>
      <protection locked="0"/>
    </xf>
    <xf numFmtId="0" fontId="30" fillId="19" borderId="3" xfId="0" applyFont="1" applyFill="1" applyBorder="1" applyAlignment="1" applyProtection="1">
      <alignment horizontal="center" vertical="center"/>
      <protection locked="0"/>
    </xf>
    <xf numFmtId="0" fontId="30" fillId="19" borderId="2" xfId="0" applyFont="1" applyFill="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44"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5" xfId="0" applyFont="1" applyBorder="1" applyAlignment="1" applyProtection="1">
      <alignment horizontal="center" vertical="center"/>
      <protection locked="0"/>
    </xf>
    <xf numFmtId="0" fontId="34" fillId="19" borderId="18" xfId="0" applyFont="1" applyFill="1" applyBorder="1" applyAlignment="1">
      <alignment horizontal="right" vertical="center" wrapText="1"/>
    </xf>
    <xf numFmtId="3" fontId="30" fillId="19" borderId="40" xfId="0" applyNumberFormat="1" applyFont="1" applyFill="1" applyBorder="1" applyAlignment="1" applyProtection="1">
      <alignment horizontal="center" vertical="center"/>
      <protection locked="0"/>
    </xf>
    <xf numFmtId="0" fontId="30" fillId="19" borderId="47" xfId="0" applyFont="1" applyFill="1" applyBorder="1" applyAlignment="1">
      <alignment horizontal="right" vertical="center"/>
    </xf>
    <xf numFmtId="0" fontId="34" fillId="19" borderId="41" xfId="0" applyFont="1" applyFill="1" applyBorder="1" applyAlignment="1">
      <alignment horizontal="right" vertical="center" wrapText="1"/>
    </xf>
    <xf numFmtId="0" fontId="30" fillId="19" borderId="6" xfId="0" applyFont="1" applyFill="1" applyBorder="1" applyAlignment="1">
      <alignment horizontal="right" vertical="center"/>
    </xf>
    <xf numFmtId="0" fontId="30" fillId="19" borderId="0" xfId="0" applyFont="1" applyFill="1" applyAlignment="1">
      <alignment horizontal="right" vertical="center"/>
    </xf>
    <xf numFmtId="0" fontId="34" fillId="19" borderId="34" xfId="0" applyFont="1" applyFill="1" applyBorder="1" applyAlignment="1">
      <alignment horizontal="right" vertical="center" wrapText="1"/>
    </xf>
    <xf numFmtId="3" fontId="30" fillId="19" borderId="39" xfId="0" applyNumberFormat="1" applyFont="1" applyFill="1" applyBorder="1" applyAlignment="1" applyProtection="1">
      <alignment horizontal="center" vertical="center" wrapText="1"/>
      <protection locked="0"/>
    </xf>
    <xf numFmtId="0" fontId="33" fillId="18" borderId="9" xfId="10" applyFont="1" applyFill="1" applyBorder="1" applyAlignment="1">
      <alignment horizontal="left" vertical="center" wrapText="1"/>
    </xf>
    <xf numFmtId="0" fontId="33" fillId="18" borderId="8" xfId="10" applyFont="1" applyFill="1" applyBorder="1" applyAlignment="1">
      <alignment horizontal="left" vertical="center" wrapText="1"/>
    </xf>
    <xf numFmtId="0" fontId="33" fillId="18" borderId="7" xfId="10" applyFont="1" applyFill="1" applyBorder="1" applyAlignment="1">
      <alignment horizontal="left" vertical="center" wrapText="1"/>
    </xf>
    <xf numFmtId="0" fontId="31" fillId="17" borderId="6" xfId="10" applyFont="1" applyFill="1" applyBorder="1" applyAlignment="1">
      <alignment horizontal="left" vertical="center" wrapText="1"/>
    </xf>
    <xf numFmtId="0" fontId="31" fillId="17" borderId="0" xfId="10" applyFont="1" applyFill="1" applyAlignment="1">
      <alignment horizontal="left" vertical="center" wrapText="1"/>
    </xf>
    <xf numFmtId="0" fontId="31" fillId="17" borderId="5" xfId="10" applyFont="1" applyFill="1" applyBorder="1" applyAlignment="1">
      <alignment horizontal="left" vertical="center" wrapText="1"/>
    </xf>
    <xf numFmtId="0" fontId="42" fillId="0" borderId="0" xfId="0" applyFont="1" applyAlignment="1">
      <alignment horizontal="center" vertical="center"/>
    </xf>
    <xf numFmtId="0" fontId="37" fillId="20" borderId="41" xfId="0" applyFont="1" applyFill="1" applyBorder="1" applyAlignment="1">
      <alignment horizontal="center" vertical="center"/>
    </xf>
    <xf numFmtId="0" fontId="37" fillId="20" borderId="18" xfId="0" applyFont="1" applyFill="1" applyBorder="1" applyAlignment="1">
      <alignment horizontal="center" vertical="center"/>
    </xf>
    <xf numFmtId="0" fontId="37" fillId="20" borderId="19" xfId="0" applyFont="1" applyFill="1" applyBorder="1" applyAlignment="1">
      <alignment horizontal="center" vertical="center"/>
    </xf>
    <xf numFmtId="0" fontId="36" fillId="20" borderId="18" xfId="0" applyFont="1" applyFill="1" applyBorder="1" applyAlignment="1">
      <alignment horizontal="center" vertical="center"/>
    </xf>
    <xf numFmtId="0" fontId="36" fillId="20" borderId="40" xfId="0" applyFont="1" applyFill="1" applyBorder="1" applyAlignment="1">
      <alignment horizontal="center" vertical="center"/>
    </xf>
    <xf numFmtId="0" fontId="34" fillId="19" borderId="17" xfId="0" applyFont="1" applyFill="1" applyBorder="1" applyAlignment="1">
      <alignment horizontal="center" vertical="center" wrapText="1"/>
    </xf>
    <xf numFmtId="0" fontId="34" fillId="19" borderId="18" xfId="0" applyFont="1" applyFill="1" applyBorder="1" applyAlignment="1">
      <alignment horizontal="center" vertical="center" wrapText="1"/>
    </xf>
    <xf numFmtId="0" fontId="30" fillId="19" borderId="18" xfId="0" applyFont="1" applyFill="1" applyBorder="1" applyAlignment="1" applyProtection="1">
      <alignment horizontal="center" vertical="center"/>
      <protection locked="0"/>
    </xf>
    <xf numFmtId="0" fontId="30" fillId="19" borderId="19" xfId="0" applyFont="1" applyFill="1" applyBorder="1" applyAlignment="1" applyProtection="1">
      <alignment horizontal="center" vertical="center"/>
      <protection locked="0"/>
    </xf>
    <xf numFmtId="0" fontId="31" fillId="17" borderId="6" xfId="10" applyFont="1" applyFill="1" applyBorder="1" applyAlignment="1">
      <alignment horizontal="center" vertical="center" wrapText="1"/>
    </xf>
    <xf numFmtId="0" fontId="31" fillId="21" borderId="0" xfId="10" applyFont="1" applyFill="1" applyAlignment="1">
      <alignment vertical="center" wrapText="1"/>
    </xf>
    <xf numFmtId="0" fontId="31" fillId="21" borderId="5" xfId="10" applyFont="1" applyFill="1" applyBorder="1" applyAlignment="1">
      <alignment vertical="center" wrapText="1"/>
    </xf>
    <xf numFmtId="0" fontId="30" fillId="11" borderId="6" xfId="0" applyFont="1" applyFill="1" applyBorder="1" applyAlignment="1">
      <alignment horizontal="left" vertical="center"/>
    </xf>
    <xf numFmtId="0" fontId="30" fillId="11" borderId="0" xfId="0" applyFont="1" applyFill="1" applyAlignment="1">
      <alignment horizontal="left" vertical="center"/>
    </xf>
    <xf numFmtId="0" fontId="48" fillId="10" borderId="0" xfId="0" applyFont="1" applyFill="1" applyAlignment="1">
      <alignment horizontal="center" vertical="center"/>
    </xf>
    <xf numFmtId="0" fontId="30" fillId="19" borderId="61" xfId="0" applyFont="1" applyFill="1" applyBorder="1" applyAlignment="1" applyProtection="1">
      <alignment horizontal="center" vertical="center"/>
      <protection locked="0"/>
    </xf>
    <xf numFmtId="0" fontId="34" fillId="19" borderId="34" xfId="0" applyFont="1" applyFill="1" applyBorder="1" applyAlignment="1">
      <alignment horizontal="right" vertical="center"/>
    </xf>
    <xf numFmtId="2" fontId="42" fillId="19" borderId="34" xfId="0" applyNumberFormat="1" applyFont="1" applyFill="1" applyBorder="1" applyAlignment="1" applyProtection="1">
      <alignment horizontal="center" vertical="center"/>
      <protection locked="0"/>
    </xf>
    <xf numFmtId="2" fontId="42" fillId="19" borderId="34" xfId="0" applyNumberFormat="1" applyFont="1" applyFill="1" applyBorder="1" applyAlignment="1" applyProtection="1">
      <alignment horizontal="center" vertical="center" wrapText="1"/>
      <protection locked="0"/>
    </xf>
    <xf numFmtId="0" fontId="30" fillId="19" borderId="18" xfId="0" applyFont="1" applyFill="1" applyBorder="1" applyAlignment="1" applyProtection="1">
      <alignment horizontal="center" vertical="center" wrapText="1"/>
      <protection locked="0"/>
    </xf>
    <xf numFmtId="0" fontId="30" fillId="19" borderId="40" xfId="0" applyFont="1" applyFill="1" applyBorder="1" applyAlignment="1" applyProtection="1">
      <alignment horizontal="center" vertical="center" wrapText="1"/>
      <protection locked="0"/>
    </xf>
    <xf numFmtId="0" fontId="34" fillId="19" borderId="17" xfId="0" applyFont="1" applyFill="1" applyBorder="1" applyAlignment="1">
      <alignment horizontal="right" vertical="center" wrapText="1"/>
    </xf>
    <xf numFmtId="0" fontId="30" fillId="19" borderId="19" xfId="0" applyFont="1" applyFill="1" applyBorder="1" applyAlignment="1" applyProtection="1">
      <alignment horizontal="center" vertical="center" wrapText="1"/>
      <protection locked="0"/>
    </xf>
    <xf numFmtId="0" fontId="34" fillId="19" borderId="35" xfId="0" applyFont="1" applyFill="1" applyBorder="1" applyAlignment="1">
      <alignment horizontal="center" vertical="center"/>
    </xf>
    <xf numFmtId="0" fontId="34" fillId="19" borderId="34" xfId="0" applyFont="1" applyFill="1" applyBorder="1" applyAlignment="1">
      <alignment horizontal="center" vertical="center"/>
    </xf>
    <xf numFmtId="0" fontId="30" fillId="19" borderId="34" xfId="0" applyFont="1" applyFill="1" applyBorder="1" applyAlignment="1" applyProtection="1">
      <alignment horizontal="center" vertical="top" wrapText="1"/>
      <protection locked="0"/>
    </xf>
    <xf numFmtId="176" fontId="30" fillId="19" borderId="18" xfId="0" applyNumberFormat="1" applyFont="1" applyFill="1" applyBorder="1" applyAlignment="1">
      <alignment horizontal="center" vertical="center"/>
    </xf>
    <xf numFmtId="176" fontId="30" fillId="19" borderId="19" xfId="0" applyNumberFormat="1" applyFont="1" applyFill="1" applyBorder="1" applyAlignment="1">
      <alignment horizontal="center" vertical="center"/>
    </xf>
    <xf numFmtId="3" fontId="30" fillId="19" borderId="34" xfId="0" applyNumberFormat="1" applyFont="1" applyFill="1" applyBorder="1" applyAlignment="1">
      <alignment horizontal="center" vertical="center" wrapText="1"/>
    </xf>
    <xf numFmtId="3" fontId="30" fillId="19" borderId="39" xfId="0" applyNumberFormat="1" applyFont="1" applyFill="1" applyBorder="1" applyAlignment="1">
      <alignment horizontal="center" vertical="center" wrapText="1"/>
    </xf>
    <xf numFmtId="0" fontId="30" fillId="11" borderId="4"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6" xfId="0" applyFont="1" applyFill="1" applyBorder="1" applyAlignment="1">
      <alignment horizontal="center" vertical="center"/>
    </xf>
    <xf numFmtId="0" fontId="30" fillId="11" borderId="0" xfId="0" applyFont="1" applyFill="1" applyAlignment="1">
      <alignment horizontal="center" vertical="center"/>
    </xf>
    <xf numFmtId="0" fontId="30" fillId="0" borderId="0" xfId="0" applyFont="1" applyAlignment="1">
      <alignment horizontal="center" vertical="center"/>
    </xf>
    <xf numFmtId="0" fontId="34" fillId="19" borderId="35" xfId="0" applyFont="1" applyFill="1" applyBorder="1" applyAlignment="1">
      <alignment horizontal="right" vertical="center" wrapText="1"/>
    </xf>
    <xf numFmtId="0" fontId="30" fillId="19" borderId="34" xfId="0" applyFont="1" applyFill="1" applyBorder="1" applyAlignment="1" applyProtection="1">
      <alignment horizontal="center" vertical="center"/>
      <protection locked="0"/>
    </xf>
    <xf numFmtId="176" fontId="30" fillId="19" borderId="34" xfId="0" applyNumberFormat="1" applyFont="1" applyFill="1" applyBorder="1" applyAlignment="1" applyProtection="1">
      <alignment horizontal="center" vertical="center"/>
      <protection locked="0"/>
    </xf>
    <xf numFmtId="0" fontId="30" fillId="0" borderId="6" xfId="0" applyFont="1" applyBorder="1" applyAlignment="1">
      <alignment horizontal="right" vertical="center"/>
    </xf>
    <xf numFmtId="0" fontId="30" fillId="0" borderId="0" xfId="0" applyFont="1" applyAlignment="1">
      <alignment horizontal="right" vertical="center"/>
    </xf>
    <xf numFmtId="2" fontId="34" fillId="19" borderId="34" xfId="0" applyNumberFormat="1" applyFont="1" applyFill="1" applyBorder="1" applyAlignment="1">
      <alignment horizontal="right" vertical="center"/>
    </xf>
    <xf numFmtId="14" fontId="45" fillId="0" borderId="47" xfId="10" applyNumberFormat="1" applyFont="1" applyBorder="1" applyAlignment="1">
      <alignment horizontal="left" vertical="center" wrapText="1"/>
    </xf>
    <xf numFmtId="14" fontId="45" fillId="0" borderId="10" xfId="10" applyNumberFormat="1" applyFont="1" applyBorder="1" applyAlignment="1">
      <alignment horizontal="left" vertical="center" wrapText="1"/>
    </xf>
    <xf numFmtId="14" fontId="45" fillId="0" borderId="48" xfId="10" applyNumberFormat="1" applyFont="1" applyBorder="1" applyAlignment="1">
      <alignment horizontal="left" vertical="center" wrapText="1"/>
    </xf>
    <xf numFmtId="14" fontId="31" fillId="0" borderId="18" xfId="10" applyNumberFormat="1" applyFont="1" applyBorder="1" applyAlignment="1" applyProtection="1">
      <alignment horizontal="center" vertical="center" wrapText="1"/>
      <protection locked="0"/>
    </xf>
    <xf numFmtId="14" fontId="31" fillId="0" borderId="40" xfId="10" applyNumberFormat="1" applyFont="1" applyBorder="1" applyAlignment="1" applyProtection="1">
      <alignment horizontal="center" vertical="center" wrapText="1"/>
      <protection locked="0"/>
    </xf>
    <xf numFmtId="14" fontId="31" fillId="0" borderId="18" xfId="10" applyNumberFormat="1" applyFont="1" applyBorder="1" applyAlignment="1">
      <alignment horizontal="center" vertical="center" wrapText="1"/>
    </xf>
    <xf numFmtId="0" fontId="31" fillId="0" borderId="41" xfId="10" applyFont="1" applyBorder="1" applyAlignment="1">
      <alignment horizontal="right" vertical="center" wrapText="1"/>
    </xf>
    <xf numFmtId="0" fontId="31" fillId="0" borderId="18" xfId="10" applyFont="1" applyBorder="1" applyAlignment="1">
      <alignment horizontal="right" vertical="center" wrapText="1"/>
    </xf>
    <xf numFmtId="14" fontId="31" fillId="0" borderId="18" xfId="10" applyNumberFormat="1" applyFont="1" applyBorder="1" applyAlignment="1">
      <alignment horizontal="left" vertical="center" wrapText="1" indent="1"/>
    </xf>
    <xf numFmtId="14" fontId="31" fillId="0" borderId="34" xfId="10" applyNumberFormat="1" applyFont="1" applyBorder="1" applyAlignment="1" applyProtection="1">
      <alignment horizontal="center" vertical="center" wrapText="1"/>
      <protection locked="0"/>
    </xf>
    <xf numFmtId="14" fontId="31" fillId="0" borderId="39" xfId="10" applyNumberFormat="1" applyFont="1" applyBorder="1" applyAlignment="1" applyProtection="1">
      <alignment horizontal="center" vertical="center" wrapText="1"/>
      <protection locked="0"/>
    </xf>
    <xf numFmtId="14" fontId="31" fillId="0" borderId="34" xfId="10" applyNumberFormat="1" applyFont="1" applyBorder="1" applyAlignment="1">
      <alignment horizontal="center" vertical="center" wrapText="1"/>
    </xf>
    <xf numFmtId="0" fontId="43" fillId="0" borderId="35" xfId="10" applyFont="1" applyBorder="1" applyAlignment="1">
      <alignment horizontal="center" vertical="center"/>
    </xf>
    <xf numFmtId="0" fontId="43" fillId="0" borderId="34" xfId="10" applyFont="1" applyBorder="1" applyAlignment="1">
      <alignment horizontal="center" vertical="center"/>
    </xf>
    <xf numFmtId="0" fontId="44" fillId="0" borderId="49" xfId="0" applyFont="1" applyBorder="1" applyAlignment="1">
      <alignment horizontal="left" vertical="center" wrapText="1"/>
    </xf>
    <xf numFmtId="0" fontId="44" fillId="0" borderId="23" xfId="0" applyFont="1" applyBorder="1" applyAlignment="1">
      <alignment horizontal="left" vertical="center" wrapText="1"/>
    </xf>
    <xf numFmtId="0" fontId="44" fillId="0" borderId="50" xfId="0" applyFont="1" applyBorder="1" applyAlignment="1">
      <alignment horizontal="left" vertical="center" wrapText="1"/>
    </xf>
    <xf numFmtId="8" fontId="32" fillId="19" borderId="3" xfId="2" applyNumberFormat="1" applyFont="1" applyFill="1" applyBorder="1" applyAlignment="1" applyProtection="1">
      <alignment horizontal="center"/>
    </xf>
    <xf numFmtId="8" fontId="32" fillId="19" borderId="2" xfId="2" applyNumberFormat="1" applyFont="1" applyFill="1" applyBorder="1" applyAlignment="1" applyProtection="1">
      <alignment horizontal="center"/>
    </xf>
    <xf numFmtId="0" fontId="38" fillId="19" borderId="4" xfId="0" applyFont="1" applyFill="1" applyBorder="1" applyAlignment="1">
      <alignment horizontal="left"/>
    </xf>
    <xf numFmtId="0" fontId="38" fillId="19" borderId="3" xfId="0" applyFont="1" applyFill="1" applyBorder="1" applyAlignment="1">
      <alignment horizontal="left"/>
    </xf>
    <xf numFmtId="0" fontId="38" fillId="19" borderId="45" xfId="0" applyFont="1" applyFill="1" applyBorder="1" applyAlignment="1">
      <alignment horizontal="left"/>
    </xf>
    <xf numFmtId="0" fontId="30" fillId="19" borderId="6" xfId="0" applyFont="1" applyFill="1" applyBorder="1" applyAlignment="1">
      <alignment horizontal="left"/>
    </xf>
    <xf numFmtId="0" fontId="30" fillId="19" borderId="0" xfId="0" applyFont="1" applyFill="1" applyAlignment="1">
      <alignment horizontal="left"/>
    </xf>
    <xf numFmtId="0" fontId="30" fillId="19" borderId="44" xfId="0" applyFont="1" applyFill="1" applyBorder="1" applyAlignment="1">
      <alignment horizontal="left"/>
    </xf>
    <xf numFmtId="0" fontId="38" fillId="19" borderId="11" xfId="0" applyFont="1" applyFill="1" applyBorder="1" applyAlignment="1">
      <alignment horizontal="left"/>
    </xf>
    <xf numFmtId="0" fontId="30" fillId="19" borderId="12" xfId="0" applyFont="1" applyFill="1" applyBorder="1" applyAlignment="1">
      <alignment horizontal="left"/>
    </xf>
    <xf numFmtId="8" fontId="32" fillId="19" borderId="42" xfId="2" applyNumberFormat="1" applyFont="1" applyFill="1" applyBorder="1" applyAlignment="1" applyProtection="1">
      <alignment horizontal="center"/>
    </xf>
    <xf numFmtId="8" fontId="32" fillId="19" borderId="12" xfId="2" applyNumberFormat="1" applyFont="1" applyFill="1" applyBorder="1" applyAlignment="1" applyProtection="1">
      <alignment horizontal="center"/>
    </xf>
    <xf numFmtId="8" fontId="32" fillId="19" borderId="53" xfId="2" applyNumberFormat="1" applyFont="1" applyFill="1" applyBorder="1" applyAlignment="1" applyProtection="1">
      <alignment horizontal="center"/>
    </xf>
    <xf numFmtId="8" fontId="32" fillId="19" borderId="54" xfId="2" applyNumberFormat="1" applyFont="1" applyFill="1" applyBorder="1" applyAlignment="1" applyProtection="1">
      <alignment horizontal="center"/>
    </xf>
    <xf numFmtId="8" fontId="32" fillId="19" borderId="55" xfId="2" applyNumberFormat="1" applyFont="1" applyFill="1" applyBorder="1" applyAlignment="1" applyProtection="1">
      <alignment horizontal="center"/>
    </xf>
    <xf numFmtId="8" fontId="32" fillId="19" borderId="0" xfId="2" applyNumberFormat="1" applyFont="1" applyFill="1" applyBorder="1" applyAlignment="1" applyProtection="1">
      <alignment horizontal="center"/>
    </xf>
    <xf numFmtId="8" fontId="32" fillId="19" borderId="5" xfId="2" applyNumberFormat="1" applyFont="1" applyFill="1" applyBorder="1" applyAlignment="1" applyProtection="1">
      <alignment horizontal="center"/>
    </xf>
    <xf numFmtId="8" fontId="32" fillId="19" borderId="46" xfId="2" applyNumberFormat="1" applyFont="1" applyFill="1" applyBorder="1" applyAlignment="1" applyProtection="1">
      <alignment horizontal="center"/>
    </xf>
    <xf numFmtId="8" fontId="32" fillId="19" borderId="11" xfId="2" applyNumberFormat="1" applyFont="1" applyFill="1" applyBorder="1" applyAlignment="1" applyProtection="1">
      <alignment horizontal="center"/>
    </xf>
    <xf numFmtId="8" fontId="32" fillId="19" borderId="4" xfId="2" applyNumberFormat="1" applyFont="1" applyFill="1" applyBorder="1" applyAlignment="1" applyProtection="1">
      <alignment horizontal="center"/>
    </xf>
    <xf numFmtId="8" fontId="32" fillId="19" borderId="51" xfId="2" applyNumberFormat="1" applyFont="1" applyFill="1" applyBorder="1" applyAlignment="1" applyProtection="1">
      <alignment horizontal="center"/>
    </xf>
    <xf numFmtId="8" fontId="32" fillId="19" borderId="52" xfId="2" applyNumberFormat="1" applyFont="1" applyFill="1" applyBorder="1" applyAlignment="1" applyProtection="1">
      <alignment horizontal="center"/>
    </xf>
    <xf numFmtId="8" fontId="32" fillId="19" borderId="6" xfId="2" applyNumberFormat="1" applyFont="1" applyFill="1" applyBorder="1" applyAlignment="1" applyProtection="1">
      <alignment horizontal="center"/>
    </xf>
    <xf numFmtId="166" fontId="3" fillId="11" borderId="43" xfId="0" applyNumberFormat="1" applyFont="1" applyFill="1" applyBorder="1" applyAlignment="1">
      <alignment horizontal="center" vertical="center"/>
    </xf>
    <xf numFmtId="166" fontId="3" fillId="11" borderId="3" xfId="0" applyNumberFormat="1" applyFont="1" applyFill="1" applyBorder="1" applyAlignment="1">
      <alignment horizontal="center" vertical="center"/>
    </xf>
    <xf numFmtId="8" fontId="46" fillId="0" borderId="57" xfId="0" applyNumberFormat="1" applyFont="1" applyBorder="1" applyAlignment="1">
      <alignment horizontal="center"/>
    </xf>
    <xf numFmtId="8" fontId="46" fillId="0" borderId="14" xfId="0" applyNumberFormat="1" applyFont="1" applyBorder="1" applyAlignment="1">
      <alignment horizontal="center"/>
    </xf>
    <xf numFmtId="0" fontId="38" fillId="11" borderId="61" xfId="0" applyFont="1" applyFill="1" applyBorder="1" applyAlignment="1">
      <alignment horizontal="center" vertical="center"/>
    </xf>
    <xf numFmtId="0" fontId="38" fillId="11" borderId="0" xfId="0" applyFont="1" applyFill="1" applyAlignment="1">
      <alignment horizontal="center" vertical="center"/>
    </xf>
    <xf numFmtId="166" fontId="3" fillId="11" borderId="2" xfId="0" applyNumberFormat="1" applyFont="1" applyFill="1" applyBorder="1" applyAlignment="1">
      <alignment horizontal="center" vertical="center"/>
    </xf>
    <xf numFmtId="8" fontId="46" fillId="0" borderId="60" xfId="0" applyNumberFormat="1" applyFont="1" applyBorder="1" applyAlignment="1">
      <alignment horizontal="center"/>
    </xf>
    <xf numFmtId="8" fontId="46" fillId="0" borderId="58" xfId="0" applyNumberFormat="1" applyFont="1" applyBorder="1" applyAlignment="1">
      <alignment horizontal="center"/>
    </xf>
    <xf numFmtId="0" fontId="38" fillId="11" borderId="5"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3" xfId="0" applyFont="1" applyFill="1" applyBorder="1" applyAlignment="1">
      <alignment horizontal="center" vertical="center"/>
    </xf>
    <xf numFmtId="0" fontId="46" fillId="0" borderId="59" xfId="0" applyFont="1" applyBorder="1" applyAlignment="1">
      <alignment horizontal="center"/>
    </xf>
    <xf numFmtId="0" fontId="46" fillId="0" borderId="57" xfId="0" applyFont="1" applyBorder="1" applyAlignment="1">
      <alignment horizontal="center"/>
    </xf>
    <xf numFmtId="0" fontId="46" fillId="0" borderId="56" xfId="0" applyFont="1" applyBorder="1" applyAlignment="1">
      <alignment horizontal="center"/>
    </xf>
    <xf numFmtId="0" fontId="46" fillId="0" borderId="14" xfId="0" applyFont="1" applyBorder="1" applyAlignment="1">
      <alignment horizontal="center"/>
    </xf>
    <xf numFmtId="0" fontId="38" fillId="11" borderId="6" xfId="0" applyFont="1" applyFill="1" applyBorder="1" applyAlignment="1">
      <alignment horizontal="center" vertical="center"/>
    </xf>
  </cellXfs>
  <cellStyles count="12">
    <cellStyle name="Calculation" xfId="7" builtinId="22"/>
    <cellStyle name="Comma" xfId="11" builtinId="3"/>
    <cellStyle name="Comma 2" xfId="4" xr:uid="{BBFC367A-B64E-4BF2-B859-34E7CAF39D1A}"/>
    <cellStyle name="Good" xfId="2" builtinId="26"/>
    <cellStyle name="Hyperlink" xfId="5" builtinId="8"/>
    <cellStyle name="Input" xfId="1" builtinId="20"/>
    <cellStyle name="Normal" xfId="0" builtinId="0"/>
    <cellStyle name="Normal 2" xfId="3" xr:uid="{EFC4D75F-6F97-4225-8FAB-E671891F30DC}"/>
    <cellStyle name="Normal 2 2" xfId="8" xr:uid="{1554FEAE-1A06-4C71-9040-5FC6D57496DD}"/>
    <cellStyle name="Normal 3" xfId="10" xr:uid="{E8E0266F-3679-4879-A5A7-2CF9A8B9C8D8}"/>
    <cellStyle name="Output" xfId="6" builtinId="21"/>
    <cellStyle name="Percent" xfId="9" builtinId="5"/>
  </cellStyles>
  <dxfs count="140">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4" tint="0.59996337778862885"/>
        </patternFill>
      </fill>
    </dxf>
    <dxf>
      <fill>
        <patternFill>
          <bgColor theme="7" tint="0.39994506668294322"/>
        </patternFill>
      </fill>
    </dxf>
    <dxf>
      <fill>
        <patternFill>
          <bgColor rgb="FFFFFFCC"/>
        </patternFill>
      </fill>
    </dxf>
    <dxf>
      <fill>
        <patternFill>
          <bgColor theme="0" tint="-4.9989318521683403E-2"/>
        </patternFill>
      </fill>
    </dxf>
    <dxf>
      <fill>
        <patternFill>
          <bgColor theme="0" tint="-4.9989318521683403E-2"/>
        </patternFill>
      </fill>
    </dxf>
    <dxf>
      <fill>
        <patternFill>
          <bgColor rgb="FFFF5050"/>
        </patternFill>
      </fill>
    </dxf>
    <dxf>
      <font>
        <color rgb="FFFF0000"/>
      </font>
      <fill>
        <patternFill>
          <bgColor rgb="FFFF7C80"/>
        </patternFill>
      </fill>
    </dxf>
    <dxf>
      <fill>
        <patternFill>
          <bgColor rgb="FFFF5050"/>
        </patternFill>
      </fill>
    </dxf>
    <dxf>
      <font>
        <color rgb="FF006100"/>
      </font>
      <fill>
        <patternFill>
          <bgColor rgb="FFC6EFCE"/>
        </patternFill>
      </fill>
    </dxf>
    <dxf>
      <fill>
        <patternFill>
          <bgColor rgb="FFFF9999"/>
        </patternFill>
      </fill>
    </dxf>
  </dxfs>
  <tableStyles count="0" defaultTableStyle="TableStyleMedium2" defaultPivotStyle="PivotStyleLight16"/>
  <colors>
    <mruColors>
      <color rgb="FFFF7C80"/>
      <color rgb="FFFFCC99"/>
      <color rgb="FFFFFFCC"/>
      <color rgb="FFFF5050"/>
      <color rgb="FFFF9999"/>
      <color rgb="FF000000"/>
      <color rgb="FF66FFFF"/>
      <color rgb="FFDDDDDD"/>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32</xdr:col>
      <xdr:colOff>26317</xdr:colOff>
      <xdr:row>0</xdr:row>
      <xdr:rowOff>15274</xdr:rowOff>
    </xdr:from>
    <xdr:to>
      <xdr:col>36</xdr:col>
      <xdr:colOff>58909</xdr:colOff>
      <xdr:row>2</xdr:row>
      <xdr:rowOff>36634</xdr:rowOff>
    </xdr:to>
    <xdr:pic>
      <xdr:nvPicPr>
        <xdr:cNvPr id="2" name="Picture 1">
          <a:extLst>
            <a:ext uri="{FF2B5EF4-FFF2-40B4-BE49-F238E27FC236}">
              <a16:creationId xmlns:a16="http://schemas.microsoft.com/office/drawing/2014/main" id="{0D239EE0-69C1-462F-6431-DE478BEFE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8932" y="15274"/>
          <a:ext cx="695239" cy="607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eeresources.com/KevinShared/DMQC/InteractiveEffects/Interactive%20Effects_100226/Interactive%20Effects_1002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meresco-my.sharepoint.com/Users/AxZe/AppData/Local/Microsoft/Windows/Temporary%20Internet%20Files/Content.Outlook/9WDF8M4R/Dimming%20ballast%20measure%20saving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meresco-my.sharepoint.com/Users/axze/AppData/Local/Microsoft/Windows/Temporary%20Internet%20Files/Content.Outlook/L3P7IY6G/WIP%20v0%200%20-%20Calculation%20Template%202015%20v0%20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meresco-my.sharepoint.com/Projects/DEER2013/Lighting%20Workbook/Res/DEER2010-2012ResidentialImpacts%20v1_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meresco-my.sharepoint.com/WINDOWS/Temporary%20Internet%20Files/Content.Outlook/0CHIRH6H/Dual_baseli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Results"/>
      <sheetName val="Weighting Factors"/>
      <sheetName val="Results Bkgnd"/>
      <sheetName val="Lookups"/>
      <sheetName val="DmdModTable"/>
      <sheetName val="GasPAC"/>
      <sheetName val="HP"/>
      <sheetName val="PVAV"/>
      <sheetName val="SVAV"/>
      <sheetName val="WLHP"/>
      <sheetName val="ElecHeat"/>
      <sheetName val="GasFurn"/>
      <sheetName val="PSZElec"/>
      <sheetName val="PVAVElec"/>
      <sheetName val="SVAVElec"/>
      <sheetName val="Default WFs"/>
      <sheetName val="Drop Downs"/>
      <sheetName val="Drop down"/>
      <sheetName val="Unit definitions"/>
      <sheetName val="Support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Summary from ED"/>
      <sheetName val="All Data"/>
      <sheetName val="Lookup Table"/>
      <sheetName val="key"/>
      <sheetName val="Calculations"/>
      <sheetName val="WP"/>
      <sheetName val="MeasureList"/>
      <sheetName val="Wattages"/>
      <sheetName val="Costs"/>
      <sheetName val="Drop down"/>
      <sheetName val="Validations"/>
      <sheetName val="WP OTR Default Scenarios"/>
      <sheetName val="Unit 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History"/>
      <sheetName val="Data Sources"/>
      <sheetName val="Summary Table - Impacts"/>
      <sheetName val="Summary Table - Cost-NTG"/>
      <sheetName val="Measure List"/>
      <sheetName val="Matrix Permutations"/>
      <sheetName val="Lookup Info"/>
      <sheetName val="E3 Alt. BT"/>
      <sheetName val="CPUC End Use"/>
      <sheetName val="Cost Multipliers"/>
      <sheetName val="Impact Matrix"/>
      <sheetName val="Cost - NTG Matrix"/>
      <sheetName val="MMDB Input - Impact"/>
      <sheetName val="MMDB Input - Cost"/>
      <sheetName val="CFL IE v2.0"/>
      <sheetName val="Non-CFL IE v2.0"/>
      <sheetName val="Exit IE v2.0"/>
      <sheetName val="WIP v0 0 - Calculation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pdate"/>
      <sheetName val="change history"/>
      <sheetName val="Impacts Review"/>
      <sheetName val="Single Measure Impacts"/>
      <sheetName val="Refg Measure Desc"/>
      <sheetName val="Ltg Measure Desc"/>
      <sheetName val="DefineHVACWeights"/>
      <sheetName val="Weights Library"/>
      <sheetName val="NumHomes"/>
      <sheetName val="Results"/>
      <sheetName val="ARP Adjustments"/>
      <sheetName val="Lookups"/>
      <sheetName val="UES Calcs"/>
      <sheetName val="Engage Ltg Fixture Table"/>
      <sheetName val="GrossSavingsAdj"/>
      <sheetName val="Drop Downs"/>
      <sheetName val="Tech Types"/>
      <sheetName val="Tech Groups"/>
      <sheetName val="Use Sub Category"/>
      <sheetName val="Use 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P"/>
      <sheetName val="Validations"/>
      <sheetName val="WP OTR Default Scenarios"/>
      <sheetName val="Unit Definitions"/>
      <sheetName val="Drop down"/>
    </sheetNames>
    <sheetDataSet>
      <sheetData sheetId="0"/>
      <sheetData sheetId="1" refreshError="1"/>
      <sheetData sheetId="2"/>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Froio, Zach" id="{FF5A127B-4C16-4B61-9300-E4EDD18B1DC5}" userId="S::zfroio@ameresco.com::ef5ccb52-72b8-4928-910a-25b3a13ee2a8" providerId="AD"/>
  <person displayName="Dylan Royalty" id="{C6BF7CA9-C8D7-4B01-9728-18A1041F952D}" userId="S::droyalty@scottmadden.com::04ac8b8f-a893-48c5-a684-335091891c6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2" dT="2022-10-31T13:44:22.92" personId="{FF5A127B-4C16-4B61-9300-E4EDD18B1DC5}" id="{981B0F0A-49F1-4149-8587-B2B7E05A1097}">
    <text>EIA data from Nov 2021 to March 2022 for Illinois was an average of $2.28 (https://www.eia.gov/dnav/pet/PET_PRI_WFR_DCUS_SIL_W.htm)</text>
  </threadedComment>
  <threadedComment ref="G13" dT="2022-10-31T13:44:22.92" personId="{FF5A127B-4C16-4B61-9300-E4EDD18B1DC5}" id="{D258258C-2FD9-4A27-864D-576C433C2CAE}">
    <text>Annual Energy Outlook 2022, Table 3. Energy Prices by Sector and Source, Reference Case, East North Central, Residential, 2022 Nominal $/MMBtu ($17.297)</text>
  </threadedComment>
</ThreadedComments>
</file>

<file path=xl/threadedComments/threadedComment2.xml><?xml version="1.0" encoding="utf-8"?>
<ThreadedComments xmlns="http://schemas.microsoft.com/office/spreadsheetml/2018/threadedcomments" xmlns:x="http://schemas.openxmlformats.org/spreadsheetml/2006/main">
  <threadedComment ref="G11" dT="2022-10-31T13:44:22.92" personId="{FF5A127B-4C16-4B61-9300-E4EDD18B1DC5}" id="{E4875AB2-2A25-40D3-8272-21735C58EFFD}">
    <text>EIA data from Nov 2021 to March 2022 for Illinois was an average of $2.28 (https://www.eia.gov/dnav/pet/PET_PRI_WFR_DCUS_SIL_W.htm)</text>
  </threadedComment>
  <threadedComment ref="G12" dT="2022-10-31T13:44:22.92" personId="{FF5A127B-4C16-4B61-9300-E4EDD18B1DC5}" id="{AB003679-8758-41A3-9B5C-B8C115B3549D}">
    <text>Annual Energy Outlook 2022, Table 3. Energy Prices by Sector and Source, Reference Case, East North Central, Residential, 2022 Nominal $/MMBtu ($17.297)</text>
  </threadedComment>
</ThreadedComments>
</file>

<file path=xl/threadedComments/threadedComment3.xml><?xml version="1.0" encoding="utf-8"?>
<ThreadedComments xmlns="http://schemas.microsoft.com/office/spreadsheetml/2018/threadedcomments" xmlns:x="http://schemas.openxmlformats.org/spreadsheetml/2006/main">
  <threadedComment ref="F4" dT="2024-11-12T19:44:29.71" personId="{C6BF7CA9-C8D7-4B01-9728-18A1041F952D}" id="{08A4F256-BCA3-4A79-B2D4-E62C739C4783}">
    <text>11/12/24: Updated to reflect partial or full displacement depending on existing fuel type.</text>
  </threadedComment>
  <threadedComment ref="F13" dT="2024-11-12T19:44:50.24" personId="{C6BF7CA9-C8D7-4B01-9728-18A1041F952D}" id="{4595C9C2-3F9F-4378-A0B4-B7C8D5C19E55}">
    <text>11/12/24: Updated to reflect partial or full displacement depending on existing fuel type.</text>
  </threadedComment>
  <threadedComment ref="F22" dT="2024-11-12T19:45:09.13" personId="{C6BF7CA9-C8D7-4B01-9728-18A1041F952D}" id="{8935971F-63D8-4353-9500-F7E72CA63BE1}">
    <text>11/12/24: Updated to reflect partial or full displacement depending on existing fuel type.</text>
  </threadedComment>
  <threadedComment ref="F25" dT="2024-11-12T19:45:17.05" personId="{C6BF7CA9-C8D7-4B01-9728-18A1041F952D}" id="{323E57FF-9D2C-4246-862D-2203F59A23F5}">
    <text>11/12/24: Updated to reflect partial or full displacement depending on existing fuel type.</text>
  </threadedComment>
  <threadedComment ref="F26" dT="2024-11-12T19:45:22.27" personId="{C6BF7CA9-C8D7-4B01-9728-18A1041F952D}" id="{FBAB3F1D-62E8-42AB-B04C-65D89329FE85}">
    <text>11/12/24: Updated to reflect partial or full displacement depending on existing fuel type.</text>
  </threadedComment>
  <threadedComment ref="F68" dT="2024-11-12T19:45:58.34" personId="{C6BF7CA9-C8D7-4B01-9728-18A1041F952D}" id="{CD0E570A-AC2E-4AA7-98A4-B5D913ABDC8F}">
    <text>11/12/24: Updated to reflect partial or full displacement depending on existing fuel type.</text>
  </threadedComment>
  <threadedComment ref="F77" dT="2024-11-12T19:46:04.47" personId="{C6BF7CA9-C8D7-4B01-9728-18A1041F952D}" id="{12D4B841-CD40-44D6-9FB4-A17E7167CFFD}">
    <text>11/12/24: Updated to reflect partial or full displacement depending on existing fuel type.</text>
  </threadedComment>
  <threadedComment ref="F84" dT="2024-11-13T15:03:36.49" personId="{C6BF7CA9-C8D7-4B01-9728-18A1041F952D}" id="{0009F18F-618A-4136-997D-A166A6C7462A}">
    <text>11/13/24: Adjusted calculation to include EFLHheat for portable HP if the unit capacity is &lt;18,000 Btu per IL TRM v13.</text>
  </threadedComment>
  <threadedComment ref="F86" dT="2024-11-12T19:46:15.24" personId="{C6BF7CA9-C8D7-4B01-9728-18A1041F952D}" id="{FD926E0A-BFE3-422D-8E2E-7BABE2B86EDE}">
    <text>11/12/24: Updated to reflect partial or full displacement depending on existing fuel type.</text>
  </threadedComment>
  <threadedComment ref="F90" dT="2024-11-12T19:46:30.73" personId="{C6BF7CA9-C8D7-4B01-9728-18A1041F952D}" id="{F2EF4EB9-5B52-489F-A7F7-8B00CD5BCC2F}">
    <text>11/12/24: Updated to reflect partial or full displacement depending on existing fuel type.</text>
  </threadedComment>
  <threadedComment ref="F91" dT="2024-11-12T19:46:34.35" personId="{C6BF7CA9-C8D7-4B01-9728-18A1041F952D}" id="{8BC13F9A-BB31-450D-9566-698FD3F56088}">
    <text>11/12/24: Updated to reflect partial or full displacement depending on existing fuel type.</text>
  </threadedComment>
  <threadedComment ref="F97" dT="2024-11-13T15:03:20.91" personId="{C6BF7CA9-C8D7-4B01-9728-18A1041F952D}" id="{0C9C255F-F771-46AD-8400-5E966394382D}">
    <text>11/13/24: Adjusted calculation to include EFLHcool for portable HP if the unit capacity is &lt;18,000 Btu per IL TRM v13.</text>
  </threadedComment>
  <threadedComment ref="F119" dT="2024-11-12T20:31:26.01" personId="{C6BF7CA9-C8D7-4B01-9728-18A1041F952D}" id="{CBC85544-CDAD-4E9E-B32C-A72EECF62401}">
    <text>11/12/24: Adjusted calculation to include lifetime  for portable HP if the unit capacity is &lt;18,000 Btu per IL TRM v13.</text>
  </threadedComment>
  <threadedComment ref="F120" dT="2024-11-12T20:31:04.80" personId="{C6BF7CA9-C8D7-4B01-9728-18A1041F952D}" id="{26F6EB03-DDE5-4BFD-BAF4-321DA07FD8C5}">
    <text>11/12/24: Adjusted calculation to include costs for portable HP if the unit capacity is &lt;18,000 Btu per IL TRM v13.</text>
  </threadedComment>
  <threadedComment ref="F194" dT="2024-09-23T13:16:59.40" personId="{C6BF7CA9-C8D7-4B01-9728-18A1041F952D}" id="{72591CEE-7CDB-4F43-A421-3282177FE2BE}">
    <text>Updated to rely on UEF entered on Project Details. If blank, assumes 3.5 default value.</text>
  </threadedComment>
  <threadedComment ref="F196" dT="2024-11-12T19:47:21.32" personId="{C6BF7CA9-C8D7-4B01-9728-18A1041F952D}" id="{93DA18B6-C566-4F25-935F-3A4EF7BFDDB2}">
    <text>11/12/24: Updated to reflect IL TRM v13.</text>
  </threadedComment>
  <threadedComment ref="F207" dT="2024-11-12T19:47:13.74" personId="{C6BF7CA9-C8D7-4B01-9728-18A1041F952D}" id="{A37FA99F-7A20-4B6F-9719-96ABABAACE75}">
    <text>11/12/24: Updated to reflect IL TRM v13.</text>
  </threadedComment>
  <threadedComment ref="F216" dT="2024-09-23T16:12:00.60" personId="{C6BF7CA9-C8D7-4B01-9728-18A1041F952D}" id="{FBB8310E-9459-4E41-9AC0-8FC69A016C99}">
    <text>Updated to rely on capacity entered on Project Details.</text>
  </threadedComment>
  <threadedComment ref="F219" dT="2024-11-12T19:47:27.08" personId="{C6BF7CA9-C8D7-4B01-9728-18A1041F952D}" id="{0302E054-E7AF-4F9B-A8EC-0A580750BD06}">
    <text>11/12/24: Updated to reflect IL TRM v13.</text>
  </threadedComment>
  <threadedComment ref="G236" dT="2022-11-03T14:33:16.87" personId="{FF5A127B-4C16-4B61-9300-E4EDD18B1DC5}" id="{EE2A2CD8-5157-4118-B273-68D64B1033CF}">
    <text>IL TRM v11, Residential Heat Pump DHW Winter Peak and Winter Off-Peak Loadshapes.</text>
  </threadedComment>
  <threadedComment ref="G237" dT="2022-11-03T14:33:16.87" personId="{FF5A127B-4C16-4B61-9300-E4EDD18B1DC5}" id="{CBF4D2A7-2D73-4D6E-AF38-DF5D5CC15900}">
    <text>IL TRM v11, Residential Heat Pump DHW Summer Peak and Winter Off-Peak Loadshapes.</text>
  </threadedComment>
  <threadedComment ref="F243" dT="2024-11-12T19:47:36.51" personId="{C6BF7CA9-C8D7-4B01-9728-18A1041F952D}" id="{7FB49F37-FB33-40E5-8051-3A3486BABFC7}">
    <text>11/12/24: Updated to reflect IL TRM v13.</text>
  </threadedComment>
  <threadedComment ref="F254" dT="2024-11-12T19:47:36.51" personId="{C6BF7CA9-C8D7-4B01-9728-18A1041F952D}" id="{943D9346-E7CC-4073-90E2-0B79B314F3B5}">
    <text>11/12/24: Updated to reflect IL TRM v13.</text>
  </threadedComment>
  <threadedComment ref="F294" dT="2024-11-12T19:51:21.10" personId="{C6BF7CA9-C8D7-4B01-9728-18A1041F952D}" id="{BFA56017-FE54-444E-9CAE-5992C40EC9E3}">
    <text>11/12/24: Updated to reflect IL TRM v13.</text>
  </threadedComment>
  <threadedComment ref="F299" dT="2024-11-12T19:51:21.10" personId="{C6BF7CA9-C8D7-4B01-9728-18A1041F952D}" id="{C11C705F-B521-4F84-8C7D-1BC5E19D2AFF}">
    <text>11/12/24: Updated to reflect IL TRM v13.</text>
  </threadedComment>
  <threadedComment ref="F886" dT="2024-11-12T19:57:43.29" personId="{C6BF7CA9-C8D7-4B01-9728-18A1041F952D}" id="{BBC4EDED-DE89-4846-A342-FB976C405795}">
    <text>11/12/24: Updated to reflect IL TRM v13.</text>
  </threadedComment>
  <threadedComment ref="F903" dT="2024-11-12T19:56:47.16" personId="{C6BF7CA9-C8D7-4B01-9728-18A1041F952D}" id="{F9431939-3288-4709-80B4-4D917C13ACD9}">
    <text>11/12/24: Updated to reflect IL TRM v13.</text>
  </threadedComment>
</ThreadedComments>
</file>

<file path=xl/threadedComments/threadedComment4.xml><?xml version="1.0" encoding="utf-8"?>
<ThreadedComments xmlns="http://schemas.microsoft.com/office/spreadsheetml/2018/threadedcomments" xmlns:x="http://schemas.openxmlformats.org/spreadsheetml/2006/main">
  <threadedComment ref="C15" dT="2022-10-31T13:48:44.31" personId="{FF5A127B-4C16-4B61-9300-E4EDD18B1DC5}" id="{CAC976A7-1B31-431C-A33F-0FA099E6C356}">
    <text>https://www.eia.gov/energyexplained/units-and-calculators/british-thermal-units.php</text>
  </threadedComment>
  <threadedComment ref="D15" dT="2022-10-31T13:49:21.47" personId="{FF5A127B-4C16-4B61-9300-E4EDD18B1DC5}" id="{4EF5D425-A53E-48B9-BFC2-77A6111447D7}">
    <text>https://www.eia.gov/environment/emissions/co2_vol_mass.php</text>
  </threadedComment>
  <threadedComment ref="D16" dT="2022-10-31T13:49:21.47" personId="{FF5A127B-4C16-4B61-9300-E4EDD18B1DC5}" id="{4443119E-4C16-4871-B9DD-6C5766E40B38}">
    <text>https://www.eia.gov/environment/emissions/co2_vol_mass.php</text>
  </threadedComment>
  <threadedComment ref="C17" dT="2022-10-31T13:48:51.26" personId="{FF5A127B-4C16-4B61-9300-E4EDD18B1DC5}" id="{470FE59B-5519-418F-ADDF-A3C6D60B091C}">
    <text>https://www.eia.gov/energyexplained/units-and-calculators/british-thermal-units.php</text>
  </threadedComment>
  <threadedComment ref="D17" dT="2022-10-31T13:49:21.47" personId="{FF5A127B-4C16-4B61-9300-E4EDD18B1DC5}" id="{E6B4C447-0B90-4134-8FE0-31ED098689C0}">
    <text>https://www.eia.gov/environment/emissions/co2_vol_mass.php</text>
  </threadedComment>
  <threadedComment ref="D18" dT="2022-10-31T13:57:21.94" personId="{FF5A127B-4C16-4B61-9300-E4EDD18B1DC5}" id="{2872C561-E4DC-4DDE-89F7-1F124676BDCD}">
    <text>AIC Emissions Factor Forecast, 2022.</text>
  </threadedComment>
</ThreadedComments>
</file>

<file path=xl/threadedComments/threadedComment5.xml><?xml version="1.0" encoding="utf-8"?>
<ThreadedComments xmlns="http://schemas.microsoft.com/office/spreadsheetml/2018/threadedcomments" xmlns:x="http://schemas.openxmlformats.org/spreadsheetml/2006/main">
  <threadedComment ref="F545" dT="2024-11-12T19:57:43.29" personId="{C6BF7CA9-C8D7-4B01-9728-18A1041F952D}" id="{6C79ACEF-A937-471D-93A9-07FA049D2B4D}">
    <text>11/12/24: Updated to reflect IL TRM v13.</text>
  </threadedComment>
  <threadedComment ref="F556" dT="2024-11-12T19:56:47.16" personId="{C6BF7CA9-C8D7-4B01-9728-18A1041F952D}" id="{DE653FE0-3BE3-4171-833E-1781D5791F79}">
    <text>11/12/24: Updated to reflect IL TRM v13.</text>
  </threadedComment>
  <threadedComment ref="F561" dT="2024-11-12T20:14:27.02" personId="{C6BF7CA9-C8D7-4B01-9728-18A1041F952D}" id="{57C539AF-771D-4CF9-8ECE-17A685547696}">
    <text>11/12/24: Updated to reflect IL TRM v13.</text>
  </threadedComment>
  <threadedComment ref="F571" dT="2024-11-12T20:13:42.81" personId="{C6BF7CA9-C8D7-4B01-9728-18A1041F952D}" id="{30039BAD-BB79-4E0C-A4ED-DA321BD82082}">
    <text>11/12/24: Updated to reflect IL TRM v13.</text>
  </threadedComment>
  <threadedComment ref="F578" dT="2024-11-12T19:47:36.51" personId="{C6BF7CA9-C8D7-4B01-9728-18A1041F952D}" id="{49ADF9D2-4CF1-40E3-8E9E-2C1429CBB107}">
    <text>11/12/24: Updated to reflect IL TRM v13.</text>
  </threadedComment>
</ThreadedComments>
</file>

<file path=xl/threadedComments/threadedComment6.xml><?xml version="1.0" encoding="utf-8"?>
<ThreadedComments xmlns="http://schemas.microsoft.com/office/spreadsheetml/2018/threadedcomments" xmlns:x="http://schemas.openxmlformats.org/spreadsheetml/2006/main">
  <threadedComment ref="C15" dT="2022-10-31T13:48:44.31" personId="{FF5A127B-4C16-4B61-9300-E4EDD18B1DC5}" id="{1711F2BA-9C30-4E4D-9B24-48EE27861291}">
    <text>https://www.eia.gov/energyexplained/units-and-calculators/british-thermal-units.php</text>
  </threadedComment>
  <threadedComment ref="D15" dT="2022-10-31T13:49:21.47" personId="{FF5A127B-4C16-4B61-9300-E4EDD18B1DC5}" id="{ABBF634D-113A-46B6-B7E3-1B47954545C0}">
    <text>https://www.eia.gov/environment/emissions/co2_vol_mass.php</text>
  </threadedComment>
  <threadedComment ref="D16" dT="2022-10-31T13:49:21.47" personId="{FF5A127B-4C16-4B61-9300-E4EDD18B1DC5}" id="{3EB5AA5E-D10C-4ABF-BA5C-8E6763A1B2E1}">
    <text>https://www.eia.gov/environment/emissions/co2_vol_mass.php</text>
  </threadedComment>
  <threadedComment ref="C17" dT="2022-10-31T13:48:51.26" personId="{FF5A127B-4C16-4B61-9300-E4EDD18B1DC5}" id="{F0FE4986-9DC8-453B-8A4B-091D6D5ACAAB}">
    <text>https://www.eia.gov/energyexplained/units-and-calculators/british-thermal-units.php</text>
  </threadedComment>
  <threadedComment ref="D17" dT="2022-10-31T13:49:21.47" personId="{FF5A127B-4C16-4B61-9300-E4EDD18B1DC5}" id="{672BF983-9623-4384-A5CF-FD4534AB73B5}">
    <text>https://www.eia.gov/environment/emissions/co2_vol_mass.php</text>
  </threadedComment>
  <threadedComment ref="D18" dT="2022-10-31T13:57:21.94" personId="{FF5A127B-4C16-4B61-9300-E4EDD18B1DC5}" id="{31ACA6CF-A318-4F22-8B47-B7FFDB2793F2}">
    <text>AIC Emissions Factor Forecast, 2022.</text>
  </threadedComment>
</ThreadedComments>
</file>

<file path=xl/threadedComments/threadedComment7.xml><?xml version="1.0" encoding="utf-8"?>
<ThreadedComments xmlns="http://schemas.microsoft.com/office/spreadsheetml/2018/threadedcomments" xmlns:x="http://schemas.openxmlformats.org/spreadsheetml/2006/main">
  <threadedComment ref="D5" dT="2022-03-28T19:17:11.76" personId="{FF5A127B-4C16-4B61-9300-E4EDD18B1DC5}" id="{B4BE6945-B542-4EDD-97F3-A5FFB0D99698}">
    <text>Fixed charge.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 Id="rId4" Type="http://schemas.microsoft.com/office/2017/10/relationships/threadedComment" Target="../threadedComments/threadedComment7.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74BD-3D04-4E48-B4D1-09CBF95B3039}">
  <sheetPr>
    <tabColor rgb="FF92D050"/>
  </sheetPr>
  <dimension ref="B1:BZ55"/>
  <sheetViews>
    <sheetView tabSelected="1" zoomScale="130" zoomScaleNormal="130" workbookViewId="0">
      <selection activeCell="E5" sqref="E5:L5"/>
    </sheetView>
  </sheetViews>
  <sheetFormatPr defaultRowHeight="15" x14ac:dyDescent="0.25"/>
  <cols>
    <col min="1" max="46" width="2.5703125" customWidth="1"/>
    <col min="47" max="47" width="3.5703125" customWidth="1"/>
    <col min="48" max="92" width="2.5703125" customWidth="1"/>
  </cols>
  <sheetData>
    <row r="1" spans="2:63" ht="25.9" customHeight="1" x14ac:dyDescent="0.35">
      <c r="B1" s="265" t="s">
        <v>0</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row>
    <row r="2" spans="2:63" ht="21" customHeight="1" x14ac:dyDescent="0.35">
      <c r="B2" s="266" t="s">
        <v>1</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row>
    <row r="3" spans="2:63" ht="5.25" customHeight="1" thickBot="1" x14ac:dyDescent="0.3">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row>
    <row r="4" spans="2:63" ht="15.75" customHeight="1" x14ac:dyDescent="0.25">
      <c r="B4" s="285" t="s">
        <v>2</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7"/>
      <c r="AL4" s="202"/>
    </row>
    <row r="5" spans="2:63" s="194" customFormat="1" ht="18" customHeight="1" thickBot="1" x14ac:dyDescent="0.3">
      <c r="B5" s="279" t="s">
        <v>3</v>
      </c>
      <c r="C5" s="251"/>
      <c r="D5" s="251"/>
      <c r="E5" s="250"/>
      <c r="F5" s="250"/>
      <c r="G5" s="250"/>
      <c r="H5" s="250"/>
      <c r="I5" s="250"/>
      <c r="J5" s="250"/>
      <c r="K5" s="250"/>
      <c r="L5" s="250"/>
      <c r="M5" s="251" t="s">
        <v>4</v>
      </c>
      <c r="N5" s="251"/>
      <c r="O5" s="251"/>
      <c r="P5" s="250"/>
      <c r="Q5" s="250"/>
      <c r="R5" s="250"/>
      <c r="S5" s="250"/>
      <c r="T5" s="250"/>
      <c r="U5" s="250"/>
      <c r="V5" s="250"/>
      <c r="W5" s="250"/>
      <c r="X5" s="250"/>
      <c r="Y5" s="256" t="s">
        <v>5</v>
      </c>
      <c r="Z5" s="256"/>
      <c r="AA5" s="250"/>
      <c r="AB5" s="250"/>
      <c r="AC5" s="250"/>
      <c r="AD5" s="250"/>
      <c r="AE5" s="250"/>
      <c r="AF5" s="230" t="s">
        <v>6</v>
      </c>
      <c r="AG5" s="256" t="s">
        <v>7</v>
      </c>
      <c r="AH5" s="256"/>
      <c r="AI5" s="257"/>
      <c r="AJ5" s="257"/>
      <c r="AK5" s="258"/>
      <c r="AL5" s="203"/>
    </row>
    <row r="6" spans="2:63" s="194" customFormat="1" ht="18" hidden="1" customHeight="1" thickBot="1" x14ac:dyDescent="0.3">
      <c r="B6" s="281" t="s">
        <v>8</v>
      </c>
      <c r="C6" s="282"/>
      <c r="D6" s="282"/>
      <c r="E6" s="248"/>
      <c r="F6" s="248"/>
      <c r="G6" s="248"/>
      <c r="H6" s="248"/>
      <c r="I6" s="248"/>
      <c r="J6" s="248"/>
      <c r="K6" s="248"/>
      <c r="L6" s="248"/>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8"/>
      <c r="AL6" s="203"/>
    </row>
    <row r="7" spans="2:63" x14ac:dyDescent="0.25">
      <c r="B7" s="259" t="s">
        <v>9</v>
      </c>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1"/>
      <c r="AL7" s="204"/>
    </row>
    <row r="8" spans="2:63" x14ac:dyDescent="0.25">
      <c r="B8" s="292" t="s">
        <v>10</v>
      </c>
      <c r="C8" s="293"/>
      <c r="D8" s="293"/>
      <c r="E8" s="293"/>
      <c r="F8" s="293"/>
      <c r="G8" s="293"/>
      <c r="H8" s="293"/>
      <c r="I8" s="293"/>
      <c r="J8" s="293"/>
      <c r="K8" s="293"/>
      <c r="L8" s="293"/>
      <c r="M8" s="293"/>
      <c r="N8" s="293"/>
      <c r="O8" s="293"/>
      <c r="P8" s="293"/>
      <c r="Q8" s="293"/>
      <c r="R8" s="293"/>
      <c r="S8" s="294"/>
      <c r="T8" s="295" t="s">
        <v>11</v>
      </c>
      <c r="U8" s="295"/>
      <c r="V8" s="295"/>
      <c r="W8" s="295"/>
      <c r="X8" s="295"/>
      <c r="Y8" s="295"/>
      <c r="Z8" s="295"/>
      <c r="AA8" s="295"/>
      <c r="AB8" s="295"/>
      <c r="AC8" s="295"/>
      <c r="AD8" s="295"/>
      <c r="AE8" s="295"/>
      <c r="AF8" s="295"/>
      <c r="AG8" s="295"/>
      <c r="AH8" s="295"/>
      <c r="AI8" s="295"/>
      <c r="AJ8" s="295"/>
      <c r="AK8" s="296"/>
      <c r="AL8" s="205"/>
    </row>
    <row r="9" spans="2:63" ht="22.15" customHeight="1" x14ac:dyDescent="0.25">
      <c r="B9" s="280" t="s">
        <v>12</v>
      </c>
      <c r="C9" s="277"/>
      <c r="D9" s="299"/>
      <c r="E9" s="299"/>
      <c r="F9" s="299"/>
      <c r="G9" s="299"/>
      <c r="H9" s="299"/>
      <c r="I9" s="299"/>
      <c r="J9" s="299"/>
      <c r="K9" s="300"/>
      <c r="L9" s="313" t="s">
        <v>13</v>
      </c>
      <c r="M9" s="277"/>
      <c r="N9" s="277"/>
      <c r="O9" s="277"/>
      <c r="P9" s="277"/>
      <c r="Q9" s="262"/>
      <c r="R9" s="262"/>
      <c r="S9" s="263"/>
      <c r="T9" s="297" t="s">
        <v>12</v>
      </c>
      <c r="U9" s="298"/>
      <c r="V9" s="299"/>
      <c r="W9" s="299"/>
      <c r="X9" s="299"/>
      <c r="Y9" s="299"/>
      <c r="Z9" s="299"/>
      <c r="AA9" s="299"/>
      <c r="AB9" s="299"/>
      <c r="AC9" s="300"/>
      <c r="AD9" s="277" t="s">
        <v>14</v>
      </c>
      <c r="AE9" s="277"/>
      <c r="AF9" s="277"/>
      <c r="AG9" s="277"/>
      <c r="AH9" s="277"/>
      <c r="AI9" s="262"/>
      <c r="AJ9" s="262"/>
      <c r="AK9" s="278"/>
      <c r="AL9" s="206"/>
    </row>
    <row r="10" spans="2:63" ht="22.15" customHeight="1" x14ac:dyDescent="0.25">
      <c r="B10" s="242" t="s">
        <v>15</v>
      </c>
      <c r="C10" s="243"/>
      <c r="D10" s="243"/>
      <c r="E10" s="243"/>
      <c r="F10" s="243"/>
      <c r="G10" s="244"/>
      <c r="H10" s="244"/>
      <c r="I10" s="244"/>
      <c r="J10" s="318"/>
      <c r="K10" s="319"/>
      <c r="L10" s="313" t="s">
        <v>16</v>
      </c>
      <c r="M10" s="277"/>
      <c r="N10" s="277"/>
      <c r="O10" s="277"/>
      <c r="P10" s="277"/>
      <c r="Q10" s="311"/>
      <c r="R10" s="311"/>
      <c r="S10" s="314"/>
      <c r="T10" s="240" t="s">
        <v>17</v>
      </c>
      <c r="U10" s="241"/>
      <c r="V10" s="241"/>
      <c r="W10" s="241"/>
      <c r="X10" s="241"/>
      <c r="Y10" s="244"/>
      <c r="Z10" s="244"/>
      <c r="AA10" s="244"/>
      <c r="AB10" s="318"/>
      <c r="AC10" s="319"/>
      <c r="AD10" s="277" t="s">
        <v>16</v>
      </c>
      <c r="AE10" s="277"/>
      <c r="AF10" s="277"/>
      <c r="AG10" s="277"/>
      <c r="AH10" s="277"/>
      <c r="AI10" s="311"/>
      <c r="AJ10" s="311"/>
      <c r="AK10" s="312"/>
      <c r="AL10" s="207"/>
    </row>
    <row r="11" spans="2:63" ht="13.9" customHeight="1" thickBot="1" x14ac:dyDescent="0.3">
      <c r="B11" s="315" t="s">
        <v>18</v>
      </c>
      <c r="C11" s="316"/>
      <c r="D11" s="316"/>
      <c r="E11" s="316"/>
      <c r="F11" s="316"/>
      <c r="G11" s="316"/>
      <c r="H11" s="316"/>
      <c r="I11" s="316"/>
      <c r="J11" s="316"/>
      <c r="K11" s="316"/>
      <c r="L11" s="316"/>
      <c r="M11" s="316"/>
      <c r="N11" s="316"/>
      <c r="O11" s="316"/>
      <c r="P11" s="317"/>
      <c r="Q11" s="317"/>
      <c r="R11" s="254"/>
      <c r="S11" s="254"/>
      <c r="T11" s="254"/>
      <c r="U11" s="254"/>
      <c r="V11" s="254"/>
      <c r="W11" s="254"/>
      <c r="X11" s="254"/>
      <c r="Y11" s="254"/>
      <c r="Z11" s="254"/>
      <c r="AA11" s="254"/>
      <c r="AB11" s="254"/>
      <c r="AC11" s="254"/>
      <c r="AD11" s="254"/>
      <c r="AE11" s="254"/>
      <c r="AF11" s="254"/>
      <c r="AG11" s="254"/>
      <c r="AH11" s="254"/>
      <c r="AI11" s="254"/>
      <c r="AJ11" s="254"/>
      <c r="AK11" s="255"/>
      <c r="AL11" s="207"/>
    </row>
    <row r="12" spans="2:63" ht="14.45" customHeight="1" x14ac:dyDescent="0.25">
      <c r="B12" s="259" t="s">
        <v>19</v>
      </c>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1"/>
      <c r="AL12" s="204"/>
    </row>
    <row r="13" spans="2:63" s="194" customFormat="1" ht="22.15" customHeight="1" thickBot="1" x14ac:dyDescent="0.3">
      <c r="B13" s="327" t="s">
        <v>12</v>
      </c>
      <c r="C13" s="283"/>
      <c r="D13" s="328"/>
      <c r="E13" s="328"/>
      <c r="F13" s="328"/>
      <c r="G13" s="308" t="s">
        <v>20</v>
      </c>
      <c r="H13" s="308"/>
      <c r="I13" s="309"/>
      <c r="J13" s="309"/>
      <c r="K13" s="308" t="s">
        <v>21</v>
      </c>
      <c r="L13" s="308"/>
      <c r="M13" s="310"/>
      <c r="N13" s="310"/>
      <c r="O13" s="308" t="s">
        <v>22</v>
      </c>
      <c r="P13" s="308"/>
      <c r="Q13" s="310"/>
      <c r="R13" s="310"/>
      <c r="S13" s="283" t="s">
        <v>23</v>
      </c>
      <c r="T13" s="283"/>
      <c r="U13" s="283"/>
      <c r="V13" s="283"/>
      <c r="W13" s="283"/>
      <c r="X13" s="283"/>
      <c r="Y13" s="283"/>
      <c r="Z13" s="245"/>
      <c r="AA13" s="245"/>
      <c r="AB13" s="245"/>
      <c r="AC13" s="283" t="s">
        <v>24</v>
      </c>
      <c r="AD13" s="283"/>
      <c r="AE13" s="283"/>
      <c r="AF13" s="283"/>
      <c r="AG13" s="283"/>
      <c r="AH13" s="283"/>
      <c r="AI13" s="245"/>
      <c r="AJ13" s="245"/>
      <c r="AK13" s="284"/>
      <c r="AL13" s="208"/>
      <c r="AN13" s="196"/>
      <c r="AO13" s="196"/>
      <c r="AP13" s="196"/>
      <c r="AQ13" s="196"/>
      <c r="AR13" s="196"/>
      <c r="AS13" s="206"/>
      <c r="AT13" s="206"/>
      <c r="AU13" s="206"/>
      <c r="AV13" s="209"/>
      <c r="AW13" s="209"/>
      <c r="AX13" s="209"/>
      <c r="AY13" s="209"/>
      <c r="AZ13" s="209"/>
      <c r="BA13" s="206"/>
      <c r="BB13" s="206"/>
      <c r="BC13" s="206"/>
      <c r="BD13" s="209"/>
      <c r="BE13" s="209"/>
      <c r="BF13" s="209"/>
      <c r="BG13" s="209"/>
      <c r="BH13" s="209"/>
      <c r="BI13" s="206"/>
      <c r="BJ13" s="206"/>
      <c r="BK13" s="206"/>
    </row>
    <row r="14" spans="2:63" s="194" customFormat="1" ht="15" customHeight="1" x14ac:dyDescent="0.25">
      <c r="B14" s="259" t="s">
        <v>25</v>
      </c>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1"/>
      <c r="AL14" s="204"/>
      <c r="AN14" s="196"/>
      <c r="AO14" s="196"/>
      <c r="AP14" s="196"/>
      <c r="AQ14" s="196"/>
      <c r="AR14" s="196"/>
      <c r="AS14" s="206"/>
      <c r="AT14" s="206"/>
      <c r="AU14" s="206"/>
      <c r="AV14" s="209"/>
      <c r="AW14" s="209"/>
      <c r="AX14" s="209"/>
      <c r="AY14" s="209"/>
      <c r="AZ14" s="209"/>
      <c r="BA14" s="206"/>
      <c r="BB14" s="206"/>
      <c r="BC14" s="206"/>
      <c r="BD14" s="209"/>
      <c r="BE14" s="209"/>
      <c r="BF14" s="209"/>
      <c r="BG14" s="209"/>
      <c r="BH14" s="209"/>
      <c r="BI14" s="206"/>
      <c r="BJ14" s="206"/>
      <c r="BK14" s="206"/>
    </row>
    <row r="15" spans="2:63" s="194" customFormat="1" ht="22.15" customHeight="1" thickBot="1" x14ac:dyDescent="0.3">
      <c r="B15" s="327" t="s">
        <v>12</v>
      </c>
      <c r="C15" s="283"/>
      <c r="D15" s="328"/>
      <c r="E15" s="328"/>
      <c r="F15" s="328"/>
      <c r="G15" s="328"/>
      <c r="H15" s="328"/>
      <c r="I15" s="328"/>
      <c r="J15" s="328"/>
      <c r="K15" s="328"/>
      <c r="L15" s="308" t="s">
        <v>26</v>
      </c>
      <c r="M15" s="308"/>
      <c r="N15" s="308"/>
      <c r="O15" s="329"/>
      <c r="P15" s="329"/>
      <c r="Q15" s="332" t="s">
        <v>27</v>
      </c>
      <c r="R15" s="332"/>
      <c r="S15" s="332"/>
      <c r="T15" s="332"/>
      <c r="U15" s="332"/>
      <c r="V15" s="245"/>
      <c r="W15" s="245"/>
      <c r="X15" s="245"/>
      <c r="Y15" s="320"/>
      <c r="Z15" s="320"/>
      <c r="AA15" s="320"/>
      <c r="AB15" s="320"/>
      <c r="AC15" s="320"/>
      <c r="AD15" s="320"/>
      <c r="AE15" s="320"/>
      <c r="AF15" s="320"/>
      <c r="AG15" s="320"/>
      <c r="AH15" s="320"/>
      <c r="AI15" s="320"/>
      <c r="AJ15" s="320"/>
      <c r="AK15" s="321"/>
      <c r="AL15" s="210"/>
      <c r="AN15" s="196"/>
      <c r="AO15" s="196"/>
      <c r="AP15" s="196"/>
      <c r="AQ15" s="196"/>
      <c r="AR15" s="196"/>
      <c r="AS15" s="206"/>
      <c r="AT15" s="206"/>
      <c r="AU15" s="206"/>
      <c r="AV15" s="209"/>
      <c r="AW15" s="209"/>
      <c r="AX15" s="209"/>
      <c r="AY15" s="209"/>
      <c r="AZ15" s="209"/>
      <c r="BA15" s="206"/>
      <c r="BB15" s="206"/>
      <c r="BC15" s="206"/>
      <c r="BD15" s="209"/>
      <c r="BE15" s="209"/>
      <c r="BF15" s="209"/>
      <c r="BG15" s="209"/>
      <c r="BH15" s="209"/>
      <c r="BI15" s="206"/>
      <c r="BJ15" s="206"/>
      <c r="BK15" s="206"/>
    </row>
    <row r="16" spans="2:63" ht="4.5" customHeight="1" thickBot="1" x14ac:dyDescent="0.3">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row>
    <row r="17" spans="2:41" s="194" customFormat="1" ht="15.75" customHeight="1" x14ac:dyDescent="0.25">
      <c r="B17" s="285" t="s">
        <v>28</v>
      </c>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7"/>
      <c r="AL17" s="202"/>
    </row>
    <row r="18" spans="2:41" s="194" customFormat="1" ht="15" customHeight="1" x14ac:dyDescent="0.25">
      <c r="B18" s="288" t="s">
        <v>29</v>
      </c>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90"/>
      <c r="AL18" s="211"/>
    </row>
    <row r="19" spans="2:41" s="194" customFormat="1" x14ac:dyDescent="0.25">
      <c r="B19" s="304" t="s">
        <v>30</v>
      </c>
      <c r="C19" s="305"/>
      <c r="D19" s="305"/>
      <c r="E19" s="305"/>
      <c r="F19" s="305"/>
      <c r="G19" s="305"/>
      <c r="H19" s="305"/>
      <c r="I19" s="305"/>
      <c r="J19" s="305"/>
      <c r="K19" s="291" t="s">
        <v>31</v>
      </c>
      <c r="L19" s="291"/>
      <c r="M19" s="291"/>
      <c r="N19" s="252">
        <f>Y19-AI19</f>
        <v>0</v>
      </c>
      <c r="O19" s="252"/>
      <c r="P19" s="252"/>
      <c r="Q19" s="252"/>
      <c r="R19" s="253" t="s">
        <v>32</v>
      </c>
      <c r="S19" s="253"/>
      <c r="T19" s="253"/>
      <c r="U19" s="253"/>
      <c r="V19" s="253"/>
      <c r="W19" s="253"/>
      <c r="X19" s="253"/>
      <c r="Y19" s="239"/>
      <c r="Z19" s="239"/>
      <c r="AA19" s="239"/>
      <c r="AB19" s="253" t="s">
        <v>33</v>
      </c>
      <c r="AC19" s="253"/>
      <c r="AD19" s="253"/>
      <c r="AE19" s="253"/>
      <c r="AF19" s="253"/>
      <c r="AG19" s="253"/>
      <c r="AH19" s="253"/>
      <c r="AI19" s="239"/>
      <c r="AJ19" s="239"/>
      <c r="AK19" s="249"/>
      <c r="AL19" s="206"/>
    </row>
    <row r="20" spans="2:41" s="194" customFormat="1" x14ac:dyDescent="0.25">
      <c r="B20" s="304" t="s">
        <v>34</v>
      </c>
      <c r="C20" s="305"/>
      <c r="D20" s="305"/>
      <c r="E20" s="305"/>
      <c r="F20" s="305"/>
      <c r="G20" s="305"/>
      <c r="H20" s="305"/>
      <c r="I20" s="305"/>
      <c r="J20" s="305"/>
      <c r="K20" s="291" t="s">
        <v>35</v>
      </c>
      <c r="L20" s="291"/>
      <c r="M20" s="291"/>
      <c r="N20" s="239"/>
      <c r="O20" s="239"/>
      <c r="P20" s="239"/>
      <c r="Q20" s="239"/>
      <c r="R20" s="253" t="s">
        <v>36</v>
      </c>
      <c r="S20" s="253"/>
      <c r="T20" s="253"/>
      <c r="U20" s="253"/>
      <c r="V20" s="253"/>
      <c r="W20" s="253"/>
      <c r="X20" s="253"/>
      <c r="Y20" s="239"/>
      <c r="Z20" s="239"/>
      <c r="AA20" s="239"/>
      <c r="AB20" s="253" t="s">
        <v>37</v>
      </c>
      <c r="AC20" s="253"/>
      <c r="AD20" s="253"/>
      <c r="AE20" s="253"/>
      <c r="AF20" s="253"/>
      <c r="AG20" s="253"/>
      <c r="AH20" s="253"/>
      <c r="AI20" s="239"/>
      <c r="AJ20" s="239"/>
      <c r="AK20" s="249"/>
      <c r="AL20" s="206"/>
    </row>
    <row r="21" spans="2:41" s="194" customFormat="1" x14ac:dyDescent="0.25">
      <c r="B21" s="304" t="s">
        <v>38</v>
      </c>
      <c r="C21" s="305"/>
      <c r="D21" s="305"/>
      <c r="E21" s="305"/>
      <c r="F21" s="305"/>
      <c r="G21" s="305"/>
      <c r="H21" s="305"/>
      <c r="I21" s="305"/>
      <c r="J21" s="305"/>
      <c r="K21" s="291" t="s">
        <v>35</v>
      </c>
      <c r="L21" s="291"/>
      <c r="M21" s="291"/>
      <c r="N21" s="239"/>
      <c r="O21" s="239"/>
      <c r="P21" s="239"/>
      <c r="Q21" s="239"/>
      <c r="R21" s="253" t="s">
        <v>36</v>
      </c>
      <c r="S21" s="253"/>
      <c r="T21" s="253"/>
      <c r="U21" s="253"/>
      <c r="V21" s="253"/>
      <c r="W21" s="253"/>
      <c r="X21" s="253"/>
      <c r="Y21" s="239"/>
      <c r="Z21" s="239"/>
      <c r="AA21" s="239"/>
      <c r="AB21" s="253" t="s">
        <v>37</v>
      </c>
      <c r="AC21" s="253"/>
      <c r="AD21" s="253"/>
      <c r="AE21" s="253"/>
      <c r="AF21" s="253"/>
      <c r="AG21" s="253"/>
      <c r="AH21" s="253"/>
      <c r="AI21" s="239"/>
      <c r="AJ21" s="239"/>
      <c r="AK21" s="249"/>
      <c r="AL21" s="206"/>
    </row>
    <row r="22" spans="2:41" s="194" customFormat="1" x14ac:dyDescent="0.25">
      <c r="B22" s="304" t="s">
        <v>39</v>
      </c>
      <c r="C22" s="305"/>
      <c r="D22" s="305"/>
      <c r="E22" s="305"/>
      <c r="F22" s="305"/>
      <c r="G22" s="305"/>
      <c r="H22" s="305"/>
      <c r="I22" s="305"/>
      <c r="J22" s="305"/>
      <c r="K22" s="291" t="s">
        <v>35</v>
      </c>
      <c r="L22" s="291"/>
      <c r="M22" s="291"/>
      <c r="N22" s="239"/>
      <c r="O22" s="239"/>
      <c r="P22" s="239"/>
      <c r="Q22" s="239"/>
      <c r="R22" s="253" t="s">
        <v>36</v>
      </c>
      <c r="S22" s="253"/>
      <c r="T22" s="253"/>
      <c r="U22" s="253"/>
      <c r="V22" s="253"/>
      <c r="W22" s="253"/>
      <c r="X22" s="253"/>
      <c r="Y22" s="239"/>
      <c r="Z22" s="239"/>
      <c r="AA22" s="239"/>
      <c r="AB22" s="253" t="s">
        <v>37</v>
      </c>
      <c r="AC22" s="253"/>
      <c r="AD22" s="253"/>
      <c r="AE22" s="253"/>
      <c r="AF22" s="253"/>
      <c r="AG22" s="253"/>
      <c r="AH22" s="253"/>
      <c r="AI22" s="239"/>
      <c r="AJ22" s="239"/>
      <c r="AK22" s="249"/>
      <c r="AL22" s="206"/>
    </row>
    <row r="23" spans="2:41" s="194" customFormat="1" x14ac:dyDescent="0.25">
      <c r="B23" s="304" t="s">
        <v>40</v>
      </c>
      <c r="C23" s="305"/>
      <c r="D23" s="305"/>
      <c r="E23" s="305"/>
      <c r="F23" s="305"/>
      <c r="G23" s="305"/>
      <c r="H23" s="305"/>
      <c r="I23" s="305"/>
      <c r="J23" s="305"/>
      <c r="K23" s="291" t="s">
        <v>35</v>
      </c>
      <c r="L23" s="291"/>
      <c r="M23" s="291"/>
      <c r="N23" s="239"/>
      <c r="O23" s="239"/>
      <c r="P23" s="239"/>
      <c r="Q23" s="239"/>
      <c r="R23" s="253" t="s">
        <v>36</v>
      </c>
      <c r="S23" s="253"/>
      <c r="T23" s="253"/>
      <c r="U23" s="253"/>
      <c r="V23" s="253"/>
      <c r="W23" s="253"/>
      <c r="X23" s="253"/>
      <c r="Y23" s="239"/>
      <c r="Z23" s="239"/>
      <c r="AA23" s="239"/>
      <c r="AB23" s="253" t="s">
        <v>37</v>
      </c>
      <c r="AC23" s="253"/>
      <c r="AD23" s="253"/>
      <c r="AE23" s="253"/>
      <c r="AF23" s="253"/>
      <c r="AG23" s="253"/>
      <c r="AH23" s="253"/>
      <c r="AI23" s="239"/>
      <c r="AJ23" s="239"/>
      <c r="AK23" s="249"/>
      <c r="AL23" s="206"/>
    </row>
    <row r="24" spans="2:41" s="194" customFormat="1" x14ac:dyDescent="0.25">
      <c r="B24" s="304" t="s">
        <v>41</v>
      </c>
      <c r="C24" s="305"/>
      <c r="D24" s="305"/>
      <c r="E24" s="305"/>
      <c r="F24" s="305"/>
      <c r="G24" s="305"/>
      <c r="H24" s="305"/>
      <c r="I24" s="305"/>
      <c r="J24" s="305"/>
      <c r="K24" s="291" t="s">
        <v>42</v>
      </c>
      <c r="L24" s="291"/>
      <c r="M24" s="291"/>
      <c r="N24" s="239"/>
      <c r="O24" s="239"/>
      <c r="P24" s="239"/>
      <c r="Q24" s="239"/>
      <c r="R24" s="253" t="s">
        <v>36</v>
      </c>
      <c r="S24" s="253"/>
      <c r="T24" s="253"/>
      <c r="U24" s="253"/>
      <c r="V24" s="253"/>
      <c r="W24" s="253"/>
      <c r="X24" s="253"/>
      <c r="Y24" s="239"/>
      <c r="Z24" s="239"/>
      <c r="AA24" s="239"/>
      <c r="AB24" s="253" t="s">
        <v>37</v>
      </c>
      <c r="AC24" s="253"/>
      <c r="AD24" s="253"/>
      <c r="AE24" s="253"/>
      <c r="AF24" s="253"/>
      <c r="AG24" s="253"/>
      <c r="AH24" s="253"/>
      <c r="AI24" s="239"/>
      <c r="AJ24" s="239"/>
      <c r="AK24" s="249"/>
      <c r="AL24" s="206"/>
    </row>
    <row r="25" spans="2:41" s="194" customFormat="1" x14ac:dyDescent="0.25">
      <c r="B25" s="304" t="s">
        <v>43</v>
      </c>
      <c r="C25" s="305"/>
      <c r="D25" s="305"/>
      <c r="E25" s="305"/>
      <c r="F25" s="305"/>
      <c r="G25" s="305"/>
      <c r="H25" s="305"/>
      <c r="I25" s="305"/>
      <c r="J25" s="305"/>
      <c r="K25" s="291" t="s">
        <v>42</v>
      </c>
      <c r="L25" s="291"/>
      <c r="M25" s="291"/>
      <c r="N25" s="239"/>
      <c r="O25" s="239"/>
      <c r="P25" s="239"/>
      <c r="Q25" s="239"/>
      <c r="R25" s="253" t="s">
        <v>36</v>
      </c>
      <c r="S25" s="253"/>
      <c r="T25" s="253"/>
      <c r="U25" s="253"/>
      <c r="V25" s="253"/>
      <c r="W25" s="253"/>
      <c r="X25" s="253"/>
      <c r="Y25" s="239"/>
      <c r="Z25" s="239"/>
      <c r="AA25" s="239"/>
      <c r="AB25" s="253" t="s">
        <v>37</v>
      </c>
      <c r="AC25" s="253"/>
      <c r="AD25" s="253"/>
      <c r="AE25" s="253"/>
      <c r="AF25" s="253"/>
      <c r="AG25" s="253"/>
      <c r="AH25" s="253"/>
      <c r="AI25" s="239"/>
      <c r="AJ25" s="239"/>
      <c r="AK25" s="249"/>
      <c r="AL25" s="206"/>
    </row>
    <row r="26" spans="2:41" s="194" customFormat="1" hidden="1" x14ac:dyDescent="0.25">
      <c r="B26" s="330" t="s">
        <v>44</v>
      </c>
      <c r="C26" s="331"/>
      <c r="D26" s="331"/>
      <c r="E26" s="331"/>
      <c r="F26" s="331"/>
      <c r="G26" s="331"/>
      <c r="H26" s="331"/>
      <c r="I26" s="331"/>
      <c r="J26" s="196" t="s">
        <v>45</v>
      </c>
      <c r="K26" s="196"/>
      <c r="L26" s="196"/>
      <c r="M26" s="197"/>
      <c r="N26" s="326"/>
      <c r="O26" s="326"/>
      <c r="P26" s="326"/>
      <c r="Q26" s="197"/>
      <c r="R26" s="197"/>
      <c r="S26" s="197"/>
      <c r="T26" s="197"/>
      <c r="U26" s="197"/>
      <c r="V26" s="197"/>
      <c r="W26" s="197"/>
      <c r="X26" s="197"/>
      <c r="Y26" s="197"/>
      <c r="Z26" s="197"/>
      <c r="AA26" s="197"/>
      <c r="AB26" s="197"/>
      <c r="AC26" s="197"/>
      <c r="AD26" s="197"/>
      <c r="AE26" s="197"/>
      <c r="AF26" s="197"/>
      <c r="AG26" s="197"/>
      <c r="AH26" s="197"/>
      <c r="AI26" s="198"/>
      <c r="AJ26" s="198"/>
      <c r="AK26" s="199"/>
      <c r="AL26" s="198"/>
      <c r="AN26" s="194" t="s">
        <v>46</v>
      </c>
    </row>
    <row r="27" spans="2:41" s="194" customFormat="1" ht="15" customHeight="1" x14ac:dyDescent="0.25">
      <c r="B27" s="288" t="s">
        <v>47</v>
      </c>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90"/>
      <c r="AL27" s="211"/>
    </row>
    <row r="28" spans="2:41" s="194" customFormat="1" ht="15" customHeight="1" x14ac:dyDescent="0.25">
      <c r="B28" s="301" t="s">
        <v>48</v>
      </c>
      <c r="C28" s="268"/>
      <c r="D28" s="268"/>
      <c r="E28" s="268"/>
      <c r="F28" s="268"/>
      <c r="G28" s="268"/>
      <c r="H28" s="268"/>
      <c r="I28" s="268"/>
      <c r="J28" s="268"/>
      <c r="K28" s="200"/>
      <c r="L28" s="200"/>
      <c r="M28" s="200"/>
      <c r="N28" s="200"/>
      <c r="O28" s="200"/>
      <c r="P28" s="200"/>
      <c r="Q28" s="201"/>
      <c r="R28" s="200"/>
      <c r="S28" s="200"/>
      <c r="T28" s="200"/>
      <c r="U28" s="268" t="s">
        <v>49</v>
      </c>
      <c r="V28" s="268"/>
      <c r="W28" s="268"/>
      <c r="X28" s="268"/>
      <c r="Y28" s="268"/>
      <c r="Z28" s="268"/>
      <c r="AA28" s="268"/>
      <c r="AB28" s="268"/>
      <c r="AC28" s="268"/>
      <c r="AD28" s="268"/>
      <c r="AE28" s="268"/>
      <c r="AF28" s="268"/>
      <c r="AG28" s="268"/>
      <c r="AH28" s="268"/>
      <c r="AI28" s="268"/>
      <c r="AJ28" s="268"/>
      <c r="AK28" s="269"/>
      <c r="AL28" s="212"/>
    </row>
    <row r="29" spans="2:41" s="194" customFormat="1" x14ac:dyDescent="0.25">
      <c r="B29" s="324" t="s">
        <v>50</v>
      </c>
      <c r="C29" s="325"/>
      <c r="D29" s="325"/>
      <c r="E29" s="325"/>
      <c r="F29" s="325"/>
      <c r="G29" s="325"/>
      <c r="H29" s="325"/>
      <c r="I29" s="325"/>
      <c r="J29" s="325"/>
      <c r="K29" s="253" t="s">
        <v>45</v>
      </c>
      <c r="L29" s="253"/>
      <c r="M29" s="253"/>
      <c r="N29" s="253"/>
      <c r="O29" s="253"/>
      <c r="P29" s="273"/>
      <c r="Q29" s="273"/>
      <c r="R29" s="273"/>
      <c r="S29" s="273"/>
      <c r="T29" s="274"/>
      <c r="U29" s="248"/>
      <c r="V29" s="248"/>
      <c r="W29" s="248"/>
      <c r="X29" s="248"/>
      <c r="Y29" s="248"/>
      <c r="Z29" s="248"/>
      <c r="AA29" s="248"/>
      <c r="AB29" s="248"/>
      <c r="AC29" s="248"/>
      <c r="AD29" s="248"/>
      <c r="AE29" s="248"/>
      <c r="AF29" s="248"/>
      <c r="AG29" s="248"/>
      <c r="AH29" s="248"/>
      <c r="AI29" s="248"/>
      <c r="AJ29" s="248"/>
      <c r="AK29" s="270"/>
      <c r="AL29" s="213"/>
    </row>
    <row r="30" spans="2:41" s="194" customFormat="1" x14ac:dyDescent="0.25">
      <c r="B30" s="324" t="s">
        <v>51</v>
      </c>
      <c r="C30" s="325"/>
      <c r="D30" s="325"/>
      <c r="E30" s="325"/>
      <c r="F30" s="325"/>
      <c r="G30" s="325"/>
      <c r="H30" s="325"/>
      <c r="I30" s="325"/>
      <c r="J30" s="325"/>
      <c r="K30" s="253" t="s">
        <v>45</v>
      </c>
      <c r="L30" s="253"/>
      <c r="M30" s="253"/>
      <c r="N30" s="253"/>
      <c r="O30" s="253"/>
      <c r="P30" s="273"/>
      <c r="Q30" s="273"/>
      <c r="R30" s="273"/>
      <c r="S30" s="273"/>
      <c r="T30" s="274"/>
      <c r="U30" s="248"/>
      <c r="V30" s="248"/>
      <c r="W30" s="248"/>
      <c r="X30" s="248"/>
      <c r="Y30" s="248"/>
      <c r="Z30" s="248"/>
      <c r="AA30" s="248"/>
      <c r="AB30" s="248"/>
      <c r="AC30" s="248"/>
      <c r="AD30" s="248"/>
      <c r="AE30" s="248"/>
      <c r="AF30" s="248"/>
      <c r="AG30" s="248"/>
      <c r="AH30" s="248"/>
      <c r="AI30" s="248"/>
      <c r="AJ30" s="248"/>
      <c r="AK30" s="270"/>
      <c r="AL30" s="213"/>
      <c r="AO30"/>
    </row>
    <row r="31" spans="2:41" s="194" customFormat="1" x14ac:dyDescent="0.25">
      <c r="B31" s="324" t="s">
        <v>52</v>
      </c>
      <c r="C31" s="325"/>
      <c r="D31" s="325"/>
      <c r="E31" s="325"/>
      <c r="F31" s="325"/>
      <c r="G31" s="325"/>
      <c r="H31" s="325"/>
      <c r="I31" s="325"/>
      <c r="J31" s="325"/>
      <c r="K31" s="253" t="s">
        <v>45</v>
      </c>
      <c r="L31" s="253"/>
      <c r="M31" s="253"/>
      <c r="N31" s="253"/>
      <c r="O31" s="253"/>
      <c r="P31" s="273"/>
      <c r="Q31" s="273"/>
      <c r="R31" s="273"/>
      <c r="S31" s="273"/>
      <c r="T31" s="274"/>
      <c r="U31" s="307"/>
      <c r="V31" s="248"/>
      <c r="W31" s="248"/>
      <c r="X31" s="248"/>
      <c r="Y31" s="248"/>
      <c r="Z31" s="248"/>
      <c r="AA31" s="248"/>
      <c r="AB31" s="248"/>
      <c r="AC31" s="248"/>
      <c r="AD31" s="248"/>
      <c r="AE31" s="248"/>
      <c r="AF31" s="248"/>
      <c r="AG31" s="306" t="s">
        <v>53</v>
      </c>
      <c r="AH31" s="306"/>
      <c r="AI31" s="248"/>
      <c r="AJ31" s="248"/>
      <c r="AK31" s="231"/>
      <c r="AL31" s="213"/>
    </row>
    <row r="32" spans="2:41" s="194" customFormat="1" ht="15.75" thickBot="1" x14ac:dyDescent="0.3">
      <c r="B32" s="322" t="s">
        <v>54</v>
      </c>
      <c r="C32" s="323"/>
      <c r="D32" s="323"/>
      <c r="E32" s="323"/>
      <c r="F32" s="323"/>
      <c r="G32" s="323"/>
      <c r="H32" s="323"/>
      <c r="I32" s="323"/>
      <c r="J32" s="323"/>
      <c r="K32" s="253" t="s">
        <v>45</v>
      </c>
      <c r="L32" s="253"/>
      <c r="M32" s="253"/>
      <c r="N32" s="253"/>
      <c r="O32" s="253"/>
      <c r="P32" s="275"/>
      <c r="Q32" s="275"/>
      <c r="R32" s="275"/>
      <c r="S32" s="275"/>
      <c r="T32" s="276"/>
      <c r="U32" s="271"/>
      <c r="V32" s="271"/>
      <c r="W32" s="271"/>
      <c r="X32" s="271"/>
      <c r="Y32" s="271"/>
      <c r="Z32" s="271"/>
      <c r="AA32" s="271"/>
      <c r="AB32" s="271"/>
      <c r="AC32" s="271"/>
      <c r="AD32" s="271"/>
      <c r="AE32" s="271"/>
      <c r="AF32" s="271"/>
      <c r="AG32" s="271"/>
      <c r="AH32" s="271"/>
      <c r="AI32" s="271"/>
      <c r="AJ32" s="271"/>
      <c r="AK32" s="272"/>
      <c r="AL32" s="213"/>
    </row>
    <row r="33" spans="2:78" ht="5.25" customHeight="1" thickBot="1" x14ac:dyDescent="0.3">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row>
    <row r="34" spans="2:78" ht="15.75" customHeight="1" x14ac:dyDescent="0.25">
      <c r="B34" s="285" t="s">
        <v>55</v>
      </c>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7"/>
      <c r="AL34" s="202"/>
    </row>
    <row r="35" spans="2:78" ht="27.75" customHeight="1" x14ac:dyDescent="0.25">
      <c r="B35" s="246" t="s">
        <v>56</v>
      </c>
      <c r="C35" s="246"/>
      <c r="D35" s="246"/>
      <c r="E35" s="246"/>
      <c r="F35" s="246"/>
      <c r="G35" s="246"/>
      <c r="H35" s="246"/>
      <c r="I35" s="246"/>
      <c r="J35" s="246"/>
      <c r="K35" s="246"/>
      <c r="L35" s="246"/>
      <c r="M35" s="246"/>
      <c r="N35" s="246" t="s">
        <v>57</v>
      </c>
      <c r="O35" s="246"/>
      <c r="P35" s="246"/>
      <c r="Q35" s="246"/>
      <c r="R35" s="246"/>
      <c r="S35" s="246"/>
      <c r="T35" s="246"/>
      <c r="U35" s="246"/>
      <c r="V35" s="246"/>
      <c r="W35" s="246"/>
      <c r="X35" s="246"/>
      <c r="Y35" s="246"/>
      <c r="Z35" s="302" t="s">
        <v>58</v>
      </c>
      <c r="AA35" s="302"/>
      <c r="AB35" s="302"/>
      <c r="AC35" s="302"/>
      <c r="AD35" s="302"/>
      <c r="AE35" s="302"/>
      <c r="AF35" s="302"/>
      <c r="AG35" s="302"/>
      <c r="AH35" s="302"/>
      <c r="AI35" s="302"/>
      <c r="AJ35" s="302"/>
      <c r="AK35" s="303"/>
      <c r="AL35" s="211"/>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5"/>
      <c r="BR35" s="215"/>
      <c r="BS35" s="215"/>
      <c r="BT35" s="215"/>
      <c r="BU35" s="215"/>
      <c r="BV35" s="215"/>
      <c r="BW35" s="215"/>
      <c r="BX35" s="215"/>
      <c r="BY35" s="215"/>
      <c r="BZ35" s="215"/>
    </row>
    <row r="36" spans="2:78" s="193" customFormat="1" ht="12.75" x14ac:dyDescent="0.2">
      <c r="B36" s="359" t="s">
        <v>59</v>
      </c>
      <c r="C36" s="359"/>
      <c r="D36" s="359"/>
      <c r="E36" s="359"/>
      <c r="F36" s="359"/>
      <c r="G36" s="359"/>
      <c r="H36" s="355"/>
      <c r="I36" s="360">
        <f>-SUM(Dashboard_FS!U25:U38)+IF(Dashboard_FS!E25="Propane",0,IF(Dashboard_FS!G10="Total",'Gas Rates'!D5*12,0))</f>
        <v>0</v>
      </c>
      <c r="J36" s="361"/>
      <c r="K36" s="361"/>
      <c r="L36" s="361"/>
      <c r="M36" s="361"/>
      <c r="N36" s="359" t="s">
        <v>59</v>
      </c>
      <c r="O36" s="359"/>
      <c r="P36" s="359"/>
      <c r="Q36" s="359"/>
      <c r="R36" s="359"/>
      <c r="S36" s="359"/>
      <c r="T36" s="355"/>
      <c r="U36" s="360">
        <f>-SUM(Dashboard_EE!M30:M37)+IF(Dashboard_EE!G10="Total",'Gas Rates'!D5*12,0)</f>
        <v>0</v>
      </c>
      <c r="V36" s="361"/>
      <c r="W36" s="361"/>
      <c r="X36" s="361"/>
      <c r="Y36" s="372"/>
      <c r="Z36" s="355" t="s">
        <v>59</v>
      </c>
      <c r="AA36" s="356"/>
      <c r="AB36" s="356"/>
      <c r="AC36" s="356"/>
      <c r="AD36" s="356"/>
      <c r="AE36" s="356"/>
      <c r="AF36" s="357"/>
      <c r="AG36" s="365">
        <f>-SUM(Dashboard_EE!M25:M37)+IF(Dashboard_EE!G10="Total",'Gas Rates'!D5*12,0)</f>
        <v>0</v>
      </c>
      <c r="AH36" s="365"/>
      <c r="AI36" s="365"/>
      <c r="AJ36" s="365"/>
      <c r="AK36" s="366"/>
    </row>
    <row r="37" spans="2:78" s="193" customFormat="1" ht="13.5" thickBot="1" x14ac:dyDescent="0.25">
      <c r="B37" s="359" t="s">
        <v>60</v>
      </c>
      <c r="C37" s="359"/>
      <c r="D37" s="359"/>
      <c r="E37" s="359"/>
      <c r="F37" s="359"/>
      <c r="G37" s="359"/>
      <c r="H37" s="355"/>
      <c r="I37" s="370">
        <f ca="1">-SUM(Dashboard_FS!X25:X38)</f>
        <v>0</v>
      </c>
      <c r="J37" s="371"/>
      <c r="K37" s="371"/>
      <c r="L37" s="371"/>
      <c r="M37" s="371"/>
      <c r="N37" s="359" t="s">
        <v>60</v>
      </c>
      <c r="O37" s="359"/>
      <c r="P37" s="359"/>
      <c r="Q37" s="359"/>
      <c r="R37" s="359"/>
      <c r="S37" s="359"/>
      <c r="T37" s="355"/>
      <c r="U37" s="370">
        <f ca="1">-SUM(Dashboard_EE!P30:P37)</f>
        <v>0</v>
      </c>
      <c r="V37" s="371"/>
      <c r="W37" s="371"/>
      <c r="X37" s="371"/>
      <c r="Y37" s="371"/>
      <c r="Z37" s="355" t="s">
        <v>60</v>
      </c>
      <c r="AA37" s="356"/>
      <c r="AB37" s="356"/>
      <c r="AC37" s="356"/>
      <c r="AD37" s="356"/>
      <c r="AE37" s="356"/>
      <c r="AF37" s="357"/>
      <c r="AG37" s="362">
        <f ca="1">-SUM(Dashboard_EE!P25:P37)</f>
        <v>0</v>
      </c>
      <c r="AH37" s="363"/>
      <c r="AI37" s="363"/>
      <c r="AJ37" s="363"/>
      <c r="AK37" s="364"/>
      <c r="AN37" s="216"/>
    </row>
    <row r="38" spans="2:78" s="193" customFormat="1" ht="14.25" thickTop="1" thickBot="1" x14ac:dyDescent="0.25">
      <c r="B38" s="358" t="s">
        <v>61</v>
      </c>
      <c r="C38" s="358"/>
      <c r="D38" s="358"/>
      <c r="E38" s="358"/>
      <c r="F38" s="358"/>
      <c r="G38" s="358"/>
      <c r="H38" s="352"/>
      <c r="I38" s="367">
        <f ca="1">I36+I37</f>
        <v>0</v>
      </c>
      <c r="J38" s="368"/>
      <c r="K38" s="368"/>
      <c r="L38" s="368"/>
      <c r="M38" s="368"/>
      <c r="N38" s="358" t="s">
        <v>61</v>
      </c>
      <c r="O38" s="358"/>
      <c r="P38" s="358"/>
      <c r="Q38" s="358"/>
      <c r="R38" s="358"/>
      <c r="S38" s="358"/>
      <c r="T38" s="352"/>
      <c r="U38" s="367">
        <f ca="1">SUM(U36:Y37)</f>
        <v>0</v>
      </c>
      <c r="V38" s="368"/>
      <c r="W38" s="368"/>
      <c r="X38" s="368"/>
      <c r="Y38" s="369"/>
      <c r="Z38" s="352" t="s">
        <v>61</v>
      </c>
      <c r="AA38" s="353"/>
      <c r="AB38" s="353"/>
      <c r="AC38" s="353"/>
      <c r="AD38" s="353"/>
      <c r="AE38" s="353"/>
      <c r="AF38" s="354"/>
      <c r="AG38" s="350">
        <f ca="1">SUM(AG36:AK37)</f>
        <v>0</v>
      </c>
      <c r="AH38" s="350"/>
      <c r="AI38" s="350"/>
      <c r="AJ38" s="350"/>
      <c r="AK38" s="351"/>
    </row>
    <row r="39" spans="2:78" s="193" customFormat="1" ht="10.5" customHeight="1" x14ac:dyDescent="0.2">
      <c r="B39" s="247" t="s">
        <v>62</v>
      </c>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row>
    <row r="40" spans="2:78" s="193" customFormat="1" ht="2.65" customHeight="1" thickBot="1" x14ac:dyDescent="0.25">
      <c r="B40" s="264"/>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row>
    <row r="41" spans="2:78" s="193" customFormat="1" ht="15.75" customHeight="1" x14ac:dyDescent="0.2">
      <c r="B41" s="285" t="s">
        <v>63</v>
      </c>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7"/>
    </row>
    <row r="42" spans="2:78" ht="39.75" customHeight="1" x14ac:dyDescent="0.25">
      <c r="B42" s="347" t="s">
        <v>64</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9"/>
      <c r="AL42" s="214"/>
    </row>
    <row r="43" spans="2:78" ht="19.899999999999999" customHeight="1" x14ac:dyDescent="0.25">
      <c r="B43" s="333" t="s">
        <v>65</v>
      </c>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5"/>
    </row>
    <row r="44" spans="2:78" ht="40.5" customHeight="1" x14ac:dyDescent="0.25">
      <c r="B44" s="339" t="s">
        <v>66</v>
      </c>
      <c r="C44" s="340"/>
      <c r="D44" s="340"/>
      <c r="E44" s="340"/>
      <c r="F44" s="340"/>
      <c r="G44" s="336"/>
      <c r="H44" s="336"/>
      <c r="I44" s="336"/>
      <c r="J44" s="336"/>
      <c r="K44" s="336"/>
      <c r="L44" s="336"/>
      <c r="M44" s="336"/>
      <c r="N44" s="336"/>
      <c r="O44" s="336"/>
      <c r="P44" s="336"/>
      <c r="Q44" s="341" t="s">
        <v>67</v>
      </c>
      <c r="R44" s="341"/>
      <c r="S44" s="341"/>
      <c r="T44" s="341"/>
      <c r="U44" s="336"/>
      <c r="V44" s="336"/>
      <c r="W44" s="336"/>
      <c r="X44" s="336"/>
      <c r="Y44" s="336"/>
      <c r="Z44" s="336"/>
      <c r="AA44" s="336"/>
      <c r="AB44" s="336"/>
      <c r="AC44" s="336"/>
      <c r="AD44" s="336"/>
      <c r="AE44" s="338" t="s">
        <v>68</v>
      </c>
      <c r="AF44" s="338"/>
      <c r="AG44" s="338"/>
      <c r="AH44" s="336"/>
      <c r="AI44" s="336"/>
      <c r="AJ44" s="336"/>
      <c r="AK44" s="337"/>
    </row>
    <row r="45" spans="2:78" ht="40.5" customHeight="1" thickBot="1" x14ac:dyDescent="0.3">
      <c r="B45" s="345" t="s">
        <v>69</v>
      </c>
      <c r="C45" s="346"/>
      <c r="D45" s="346"/>
      <c r="E45" s="346"/>
      <c r="F45" s="346"/>
      <c r="G45" s="346"/>
      <c r="H45" s="346"/>
      <c r="I45" s="346"/>
      <c r="J45" s="342"/>
      <c r="K45" s="342"/>
      <c r="L45" s="342"/>
      <c r="M45" s="342"/>
      <c r="N45" s="342"/>
      <c r="O45" s="342"/>
      <c r="P45" s="342"/>
      <c r="Q45" s="342"/>
      <c r="R45" s="342"/>
      <c r="S45" s="342"/>
      <c r="T45" s="342"/>
      <c r="U45" s="342"/>
      <c r="V45" s="342"/>
      <c r="W45" s="342"/>
      <c r="X45" s="342"/>
      <c r="Y45" s="342"/>
      <c r="Z45" s="342"/>
      <c r="AA45" s="342"/>
      <c r="AB45" s="342"/>
      <c r="AC45" s="342"/>
      <c r="AD45" s="342"/>
      <c r="AE45" s="344" t="s">
        <v>68</v>
      </c>
      <c r="AF45" s="344"/>
      <c r="AG45" s="344"/>
      <c r="AH45" s="342"/>
      <c r="AI45" s="342"/>
      <c r="AJ45" s="342"/>
      <c r="AK45" s="343"/>
    </row>
    <row r="46" spans="2:78" ht="4.7" customHeight="1" thickBot="1" x14ac:dyDescent="0.3">
      <c r="B46" s="267"/>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row>
    <row r="47" spans="2:78" ht="15.75" x14ac:dyDescent="0.25">
      <c r="B47" s="285" t="s">
        <v>70</v>
      </c>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7"/>
    </row>
    <row r="48" spans="2:78" ht="14.45" customHeight="1" x14ac:dyDescent="0.25">
      <c r="B48" s="288" t="s">
        <v>71</v>
      </c>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90"/>
    </row>
    <row r="49" spans="2:37" x14ac:dyDescent="0.25">
      <c r="B49" s="389" t="s">
        <v>72</v>
      </c>
      <c r="C49" s="378"/>
      <c r="D49" s="378"/>
      <c r="E49" s="378"/>
      <c r="F49" s="378"/>
      <c r="G49" s="378"/>
      <c r="H49" s="378"/>
      <c r="I49" s="378"/>
      <c r="J49" s="378"/>
      <c r="K49" s="378"/>
      <c r="L49" s="377" t="s">
        <v>73</v>
      </c>
      <c r="M49" s="378"/>
      <c r="N49" s="378"/>
      <c r="O49" s="378"/>
      <c r="P49" s="378"/>
      <c r="Q49" s="378"/>
      <c r="R49" s="378"/>
      <c r="S49" s="378"/>
      <c r="T49" s="378"/>
      <c r="U49" s="378"/>
      <c r="V49" s="378"/>
      <c r="W49" s="378"/>
      <c r="X49" s="378"/>
      <c r="Y49" s="377" t="s">
        <v>74</v>
      </c>
      <c r="Z49" s="378"/>
      <c r="AA49" s="378"/>
      <c r="AB49" s="378"/>
      <c r="AC49" s="378"/>
      <c r="AD49" s="378"/>
      <c r="AE49" s="378"/>
      <c r="AF49" s="378"/>
      <c r="AG49" s="378"/>
      <c r="AH49" s="378"/>
      <c r="AI49" s="378"/>
      <c r="AJ49" s="378"/>
      <c r="AK49" s="382"/>
    </row>
    <row r="50" spans="2:37" x14ac:dyDescent="0.25">
      <c r="B50" s="387" t="s">
        <v>75</v>
      </c>
      <c r="C50" s="388"/>
      <c r="D50" s="388"/>
      <c r="E50" s="388"/>
      <c r="F50" s="388"/>
      <c r="G50" s="388"/>
      <c r="H50" s="388"/>
      <c r="I50" s="388"/>
      <c r="J50" s="388"/>
      <c r="K50" s="388"/>
      <c r="L50" s="376">
        <f ca="1">Y50/12</f>
        <v>0</v>
      </c>
      <c r="M50" s="376"/>
      <c r="N50" s="376"/>
      <c r="O50" s="376"/>
      <c r="P50" s="376"/>
      <c r="Q50" s="376"/>
      <c r="R50" s="376"/>
      <c r="S50" s="376"/>
      <c r="T50" s="376"/>
      <c r="U50" s="376"/>
      <c r="V50" s="376"/>
      <c r="W50" s="376"/>
      <c r="X50" s="376"/>
      <c r="Y50" s="376">
        <f ca="1">-Dashboard_FS!Y29</f>
        <v>0</v>
      </c>
      <c r="Z50" s="376"/>
      <c r="AA50" s="376"/>
      <c r="AB50" s="376"/>
      <c r="AC50" s="376"/>
      <c r="AD50" s="376"/>
      <c r="AE50" s="376"/>
      <c r="AF50" s="376"/>
      <c r="AG50" s="376"/>
      <c r="AH50" s="376"/>
      <c r="AI50" s="376"/>
      <c r="AJ50" s="376"/>
      <c r="AK50" s="381"/>
    </row>
    <row r="51" spans="2:37" x14ac:dyDescent="0.25">
      <c r="B51" s="387" t="s">
        <v>76</v>
      </c>
      <c r="C51" s="388"/>
      <c r="D51" s="388"/>
      <c r="E51" s="388"/>
      <c r="F51" s="388"/>
      <c r="G51" s="388"/>
      <c r="H51" s="388"/>
      <c r="I51" s="388"/>
      <c r="J51" s="388"/>
      <c r="K51" s="388"/>
      <c r="L51" s="376">
        <f ca="1">Y51/12</f>
        <v>0</v>
      </c>
      <c r="M51" s="376"/>
      <c r="N51" s="376"/>
      <c r="O51" s="376"/>
      <c r="P51" s="376"/>
      <c r="Q51" s="376"/>
      <c r="R51" s="376"/>
      <c r="S51" s="376"/>
      <c r="T51" s="376"/>
      <c r="U51" s="376"/>
      <c r="V51" s="376"/>
      <c r="W51" s="376"/>
      <c r="X51" s="376"/>
      <c r="Y51" s="376">
        <f ca="1">-Dashboard_FS!Y28</f>
        <v>0</v>
      </c>
      <c r="Z51" s="376"/>
      <c r="AA51" s="376"/>
      <c r="AB51" s="376"/>
      <c r="AC51" s="376"/>
      <c r="AD51" s="376"/>
      <c r="AE51" s="376"/>
      <c r="AF51" s="376"/>
      <c r="AG51" s="376"/>
      <c r="AH51" s="376"/>
      <c r="AI51" s="376"/>
      <c r="AJ51" s="376"/>
      <c r="AK51" s="381"/>
    </row>
    <row r="52" spans="2:37" x14ac:dyDescent="0.25">
      <c r="B52" s="387" t="s">
        <v>77</v>
      </c>
      <c r="C52" s="388"/>
      <c r="D52" s="388"/>
      <c r="E52" s="388"/>
      <c r="F52" s="388"/>
      <c r="G52" s="388"/>
      <c r="H52" s="388"/>
      <c r="I52" s="388"/>
      <c r="J52" s="388"/>
      <c r="K52" s="388"/>
      <c r="L52" s="376">
        <f ca="1">Y52/12</f>
        <v>0</v>
      </c>
      <c r="M52" s="376"/>
      <c r="N52" s="376"/>
      <c r="O52" s="376"/>
      <c r="P52" s="376"/>
      <c r="Q52" s="376"/>
      <c r="R52" s="376"/>
      <c r="S52" s="376"/>
      <c r="T52" s="376"/>
      <c r="U52" s="376"/>
      <c r="V52" s="376"/>
      <c r="W52" s="376"/>
      <c r="X52" s="376"/>
      <c r="Y52" s="376">
        <f ca="1">-Dashboard_FS!Y27</f>
        <v>0</v>
      </c>
      <c r="Z52" s="376"/>
      <c r="AA52" s="376"/>
      <c r="AB52" s="376"/>
      <c r="AC52" s="376"/>
      <c r="AD52" s="376"/>
      <c r="AE52" s="376"/>
      <c r="AF52" s="376"/>
      <c r="AG52" s="376"/>
      <c r="AH52" s="376"/>
      <c r="AI52" s="376"/>
      <c r="AJ52" s="376"/>
      <c r="AK52" s="381"/>
    </row>
    <row r="53" spans="2:37" x14ac:dyDescent="0.25">
      <c r="B53" s="387" t="str">
        <f>IF(D13="ASHP","Air Source Heat Pump",IF(D13="DHP","Ductless Heat Pump","HVAC Equipment"))</f>
        <v>HVAC Equipment</v>
      </c>
      <c r="C53" s="388"/>
      <c r="D53" s="388"/>
      <c r="E53" s="388"/>
      <c r="F53" s="388"/>
      <c r="G53" s="388"/>
      <c r="H53" s="388"/>
      <c r="I53" s="388"/>
      <c r="J53" s="388"/>
      <c r="K53" s="388"/>
      <c r="L53" s="376">
        <f ca="1">Y53/12</f>
        <v>0</v>
      </c>
      <c r="M53" s="376"/>
      <c r="N53" s="376"/>
      <c r="O53" s="376"/>
      <c r="P53" s="376"/>
      <c r="Q53" s="376"/>
      <c r="R53" s="376"/>
      <c r="S53" s="376"/>
      <c r="T53" s="376"/>
      <c r="U53" s="376"/>
      <c r="V53" s="376"/>
      <c r="W53" s="376"/>
      <c r="X53" s="376"/>
      <c r="Y53" s="376">
        <f ca="1">-Dashboard_FS!Y25</f>
        <v>0</v>
      </c>
      <c r="Z53" s="376"/>
      <c r="AA53" s="376"/>
      <c r="AB53" s="376"/>
      <c r="AC53" s="376"/>
      <c r="AD53" s="376"/>
      <c r="AE53" s="376"/>
      <c r="AF53" s="376"/>
      <c r="AG53" s="376"/>
      <c r="AH53" s="376"/>
      <c r="AI53" s="376"/>
      <c r="AJ53" s="376"/>
      <c r="AK53" s="381"/>
    </row>
    <row r="54" spans="2:37" ht="15.75" thickBot="1" x14ac:dyDescent="0.3">
      <c r="B54" s="385" t="s">
        <v>78</v>
      </c>
      <c r="C54" s="386"/>
      <c r="D54" s="386"/>
      <c r="E54" s="386"/>
      <c r="F54" s="386"/>
      <c r="G54" s="386"/>
      <c r="H54" s="386"/>
      <c r="I54" s="386"/>
      <c r="J54" s="386"/>
      <c r="K54" s="386"/>
      <c r="L54" s="375">
        <f ca="1">Y54/12</f>
        <v>0</v>
      </c>
      <c r="M54" s="375"/>
      <c r="N54" s="375"/>
      <c r="O54" s="375"/>
      <c r="P54" s="375"/>
      <c r="Q54" s="375"/>
      <c r="R54" s="375"/>
      <c r="S54" s="375"/>
      <c r="T54" s="375"/>
      <c r="U54" s="375"/>
      <c r="V54" s="375"/>
      <c r="W54" s="375"/>
      <c r="X54" s="375"/>
      <c r="Y54" s="375">
        <f ca="1">-SUM(Dashboard_FS!Y31:'Dashboard_FS'!Y38)</f>
        <v>0</v>
      </c>
      <c r="Z54" s="375"/>
      <c r="AA54" s="375"/>
      <c r="AB54" s="375"/>
      <c r="AC54" s="375"/>
      <c r="AD54" s="375"/>
      <c r="AE54" s="375"/>
      <c r="AF54" s="375"/>
      <c r="AG54" s="375"/>
      <c r="AH54" s="375"/>
      <c r="AI54" s="375"/>
      <c r="AJ54" s="375"/>
      <c r="AK54" s="380"/>
    </row>
    <row r="55" spans="2:37" ht="16.5" thickTop="1" thickBot="1" x14ac:dyDescent="0.3">
      <c r="B55" s="383" t="s">
        <v>79</v>
      </c>
      <c r="C55" s="384"/>
      <c r="D55" s="384"/>
      <c r="E55" s="384"/>
      <c r="F55" s="384"/>
      <c r="G55" s="384"/>
      <c r="H55" s="384"/>
      <c r="I55" s="384"/>
      <c r="J55" s="384"/>
      <c r="K55" s="384"/>
      <c r="L55" s="373">
        <f ca="1">SUM(L50:X54)</f>
        <v>0</v>
      </c>
      <c r="M55" s="374"/>
      <c r="N55" s="374"/>
      <c r="O55" s="374"/>
      <c r="P55" s="374"/>
      <c r="Q55" s="374"/>
      <c r="R55" s="374"/>
      <c r="S55" s="374"/>
      <c r="T55" s="374"/>
      <c r="U55" s="374"/>
      <c r="V55" s="374"/>
      <c r="W55" s="374"/>
      <c r="X55" s="374"/>
      <c r="Y55" s="373">
        <f ca="1">SUM(Y50:AK54)</f>
        <v>0</v>
      </c>
      <c r="Z55" s="374"/>
      <c r="AA55" s="374"/>
      <c r="AB55" s="374"/>
      <c r="AC55" s="374"/>
      <c r="AD55" s="374"/>
      <c r="AE55" s="374"/>
      <c r="AF55" s="374"/>
      <c r="AG55" s="374"/>
      <c r="AH55" s="374"/>
      <c r="AI55" s="374"/>
      <c r="AJ55" s="374"/>
      <c r="AK55" s="379"/>
    </row>
  </sheetData>
  <sheetProtection algorithmName="SHA-512" hashValue="DewH5D4phj7dOZfPqKKdvJl+14nEnqz0RrqaLMamakIlkROS2g3JQsMSE2mQutb9dCSGUGh9s8Yh2iyz2uyTSQ==" saltValue="/H9D0u3qbtvvww5OziGEtg==" spinCount="100000" sheet="1" selectLockedCells="1"/>
  <mergeCells count="196">
    <mergeCell ref="B46:AK46"/>
    <mergeCell ref="L55:X55"/>
    <mergeCell ref="L54:X54"/>
    <mergeCell ref="L53:X53"/>
    <mergeCell ref="L52:X52"/>
    <mergeCell ref="L51:X51"/>
    <mergeCell ref="L50:X50"/>
    <mergeCell ref="L49:X49"/>
    <mergeCell ref="Y55:AK55"/>
    <mergeCell ref="Y54:AK54"/>
    <mergeCell ref="Y53:AK53"/>
    <mergeCell ref="Y52:AK52"/>
    <mergeCell ref="Y51:AK51"/>
    <mergeCell ref="Y50:AK50"/>
    <mergeCell ref="Y49:AK49"/>
    <mergeCell ref="B55:K55"/>
    <mergeCell ref="B54:K54"/>
    <mergeCell ref="B53:K53"/>
    <mergeCell ref="B52:K52"/>
    <mergeCell ref="B51:K51"/>
    <mergeCell ref="B50:K50"/>
    <mergeCell ref="B49:K49"/>
    <mergeCell ref="B48:AK48"/>
    <mergeCell ref="B47:AK47"/>
    <mergeCell ref="AG38:AK38"/>
    <mergeCell ref="Z38:AF38"/>
    <mergeCell ref="Z37:AF37"/>
    <mergeCell ref="Z36:AF36"/>
    <mergeCell ref="N38:T38"/>
    <mergeCell ref="N37:T37"/>
    <mergeCell ref="N36:T36"/>
    <mergeCell ref="B38:H38"/>
    <mergeCell ref="B37:H37"/>
    <mergeCell ref="B36:H36"/>
    <mergeCell ref="I36:M36"/>
    <mergeCell ref="AG37:AK37"/>
    <mergeCell ref="AG36:AK36"/>
    <mergeCell ref="U38:Y38"/>
    <mergeCell ref="U37:Y37"/>
    <mergeCell ref="U36:Y36"/>
    <mergeCell ref="I38:M38"/>
    <mergeCell ref="I37:M37"/>
    <mergeCell ref="B43:AK43"/>
    <mergeCell ref="B41:AK41"/>
    <mergeCell ref="AH44:AK44"/>
    <mergeCell ref="AE44:AG44"/>
    <mergeCell ref="B44:F44"/>
    <mergeCell ref="G44:P44"/>
    <mergeCell ref="Q44:T44"/>
    <mergeCell ref="U44:AD44"/>
    <mergeCell ref="AH45:AK45"/>
    <mergeCell ref="AE45:AG45"/>
    <mergeCell ref="B45:I45"/>
    <mergeCell ref="J45:AD45"/>
    <mergeCell ref="B42:AK42"/>
    <mergeCell ref="B4:AK4"/>
    <mergeCell ref="B22:J22"/>
    <mergeCell ref="B20:J20"/>
    <mergeCell ref="B19:J19"/>
    <mergeCell ref="B32:J32"/>
    <mergeCell ref="B31:J31"/>
    <mergeCell ref="B30:J30"/>
    <mergeCell ref="B29:J29"/>
    <mergeCell ref="B21:J21"/>
    <mergeCell ref="N26:P26"/>
    <mergeCell ref="B15:C15"/>
    <mergeCell ref="D15:K15"/>
    <mergeCell ref="Q13:R13"/>
    <mergeCell ref="L15:N15"/>
    <mergeCell ref="O15:P15"/>
    <mergeCell ref="R20:X20"/>
    <mergeCell ref="L9:P9"/>
    <mergeCell ref="D9:K9"/>
    <mergeCell ref="B26:I26"/>
    <mergeCell ref="K20:M20"/>
    <mergeCell ref="N20:Q20"/>
    <mergeCell ref="Q15:U15"/>
    <mergeCell ref="B13:C13"/>
    <mergeCell ref="D13:F13"/>
    <mergeCell ref="Y10:AA10"/>
    <mergeCell ref="R24:X24"/>
    <mergeCell ref="Y24:AA24"/>
    <mergeCell ref="AB24:AH24"/>
    <mergeCell ref="N25:Q25"/>
    <mergeCell ref="Y20:AA20"/>
    <mergeCell ref="Y25:AA25"/>
    <mergeCell ref="B12:AK12"/>
    <mergeCell ref="G13:H13"/>
    <mergeCell ref="I13:J13"/>
    <mergeCell ref="K13:L13"/>
    <mergeCell ref="M13:N13"/>
    <mergeCell ref="O13:P13"/>
    <mergeCell ref="R25:X25"/>
    <mergeCell ref="AD10:AH10"/>
    <mergeCell ref="AI10:AK10"/>
    <mergeCell ref="L10:P10"/>
    <mergeCell ref="Q10:S10"/>
    <mergeCell ref="B11:O11"/>
    <mergeCell ref="P11:Q11"/>
    <mergeCell ref="J10:K10"/>
    <mergeCell ref="Y15:AK15"/>
    <mergeCell ref="AB10:AC10"/>
    <mergeCell ref="N24:Q24"/>
    <mergeCell ref="B8:S8"/>
    <mergeCell ref="T8:AK8"/>
    <mergeCell ref="T9:U9"/>
    <mergeCell ref="V9:AC9"/>
    <mergeCell ref="B28:J28"/>
    <mergeCell ref="Z35:AK35"/>
    <mergeCell ref="AI24:AK24"/>
    <mergeCell ref="B25:J25"/>
    <mergeCell ref="B24:J24"/>
    <mergeCell ref="B23:J23"/>
    <mergeCell ref="AI22:AK22"/>
    <mergeCell ref="N23:Q23"/>
    <mergeCell ref="R23:X23"/>
    <mergeCell ref="K24:M24"/>
    <mergeCell ref="K25:M25"/>
    <mergeCell ref="K22:M22"/>
    <mergeCell ref="K23:M23"/>
    <mergeCell ref="N35:Y35"/>
    <mergeCell ref="AB25:AH25"/>
    <mergeCell ref="AI23:AK23"/>
    <mergeCell ref="AG31:AH31"/>
    <mergeCell ref="U31:AF31"/>
    <mergeCell ref="K21:M21"/>
    <mergeCell ref="Z13:AB13"/>
    <mergeCell ref="B14:AK14"/>
    <mergeCell ref="AC13:AH13"/>
    <mergeCell ref="AI13:AK13"/>
    <mergeCell ref="B17:AK17"/>
    <mergeCell ref="B18:AK18"/>
    <mergeCell ref="B27:AK27"/>
    <mergeCell ref="B34:AK34"/>
    <mergeCell ref="K19:M19"/>
    <mergeCell ref="N22:Q22"/>
    <mergeCell ref="R22:X22"/>
    <mergeCell ref="Y22:AA22"/>
    <mergeCell ref="AB22:AH22"/>
    <mergeCell ref="AI31:AJ31"/>
    <mergeCell ref="Y19:AA19"/>
    <mergeCell ref="AB19:AH19"/>
    <mergeCell ref="AI19:AK19"/>
    <mergeCell ref="AB20:AH20"/>
    <mergeCell ref="Y23:AA23"/>
    <mergeCell ref="AB23:AH23"/>
    <mergeCell ref="N21:Q21"/>
    <mergeCell ref="S13:Y13"/>
    <mergeCell ref="B40:AK40"/>
    <mergeCell ref="AB21:AH21"/>
    <mergeCell ref="R21:X21"/>
    <mergeCell ref="B1:AK1"/>
    <mergeCell ref="B2:AK2"/>
    <mergeCell ref="B16:AK16"/>
    <mergeCell ref="B33:AK33"/>
    <mergeCell ref="K29:O29"/>
    <mergeCell ref="U28:AK28"/>
    <mergeCell ref="U29:AK29"/>
    <mergeCell ref="U30:AK30"/>
    <mergeCell ref="U32:AK32"/>
    <mergeCell ref="P29:T29"/>
    <mergeCell ref="K30:O30"/>
    <mergeCell ref="P30:T30"/>
    <mergeCell ref="K31:O31"/>
    <mergeCell ref="P31:T31"/>
    <mergeCell ref="K32:O32"/>
    <mergeCell ref="P32:T32"/>
    <mergeCell ref="AD9:AH9"/>
    <mergeCell ref="AI9:AK9"/>
    <mergeCell ref="B5:D5"/>
    <mergeCell ref="B9:C9"/>
    <mergeCell ref="B6:D6"/>
    <mergeCell ref="B3:AK3"/>
    <mergeCell ref="Y21:AA21"/>
    <mergeCell ref="T10:X10"/>
    <mergeCell ref="B10:F10"/>
    <mergeCell ref="G10:I10"/>
    <mergeCell ref="V15:X15"/>
    <mergeCell ref="B35:M35"/>
    <mergeCell ref="B39:AK39"/>
    <mergeCell ref="E6:L6"/>
    <mergeCell ref="AI21:AK21"/>
    <mergeCell ref="E5:L5"/>
    <mergeCell ref="M5:O5"/>
    <mergeCell ref="P5:X5"/>
    <mergeCell ref="N19:Q19"/>
    <mergeCell ref="R19:X19"/>
    <mergeCell ref="AI20:AK20"/>
    <mergeCell ref="R11:AK11"/>
    <mergeCell ref="Y5:Z5"/>
    <mergeCell ref="AA5:AE5"/>
    <mergeCell ref="AG5:AH5"/>
    <mergeCell ref="AI5:AK5"/>
    <mergeCell ref="B7:AK7"/>
    <mergeCell ref="Q9:S9"/>
    <mergeCell ref="AI25:AK25"/>
  </mergeCells>
  <conditionalFormatting sqref="I38 U38 AG38">
    <cfRule type="cellIs" dxfId="139" priority="15" operator="lessThan">
      <formula>0</formula>
    </cfRule>
    <cfRule type="cellIs" dxfId="138" priority="19" operator="greaterThanOrEqual">
      <formula>0</formula>
    </cfRule>
  </conditionalFormatting>
  <conditionalFormatting sqref="I13:J13">
    <cfRule type="cellIs" dxfId="137" priority="8" operator="lessThan">
      <formula>15.2</formula>
    </cfRule>
  </conditionalFormatting>
  <conditionalFormatting sqref="L55:AK55">
    <cfRule type="cellIs" dxfId="136" priority="1" operator="lessThan">
      <formula>0</formula>
    </cfRule>
  </conditionalFormatting>
  <conditionalFormatting sqref="M13:N13">
    <cfRule type="cellIs" dxfId="135" priority="20" operator="lessThan">
      <formula>8.1</formula>
    </cfRule>
  </conditionalFormatting>
  <conditionalFormatting sqref="P11:Q11">
    <cfRule type="containsBlanks" dxfId="134" priority="5">
      <formula>LEN(TRIM(P11))=0</formula>
    </cfRule>
  </conditionalFormatting>
  <conditionalFormatting sqref="P5:X5 AA5:AE5 AI5:AK5 E5:L6 D9:K9 V9:AC9 Q9:S10 AI9:AK10 G10:I10 Y10:AA10 D13:F13 I13:J13 M13:N13 Q13:R13 Z13:AB13 AI13:AK13 D15:K15 O15:P15 V15:X15 P29:AK30 P31:U31 P32:AK32">
    <cfRule type="containsBlanks" dxfId="133" priority="7">
      <formula>LEN(TRIM(D5))=0</formula>
    </cfRule>
  </conditionalFormatting>
  <conditionalFormatting sqref="AI31:AJ31">
    <cfRule type="containsBlanks" dxfId="132" priority="2">
      <formula>LEN(TRIM(AI31))=0</formula>
    </cfRule>
  </conditionalFormatting>
  <dataValidations count="1">
    <dataValidation type="list" allowBlank="1" showInputMessage="1" showErrorMessage="1" sqref="M26" xr:uid="{78BEDC4F-8A8B-4E86-BDD9-8A644EF7F27A}">
      <formula1>"Y,N"</formula1>
    </dataValidation>
  </dataValidations>
  <pageMargins left="0.25" right="0.25" top="0.75" bottom="0.75" header="0" footer="0"/>
  <pageSetup scale="93" fitToHeight="0" orientation="portrait" horizontalDpi="1200" verticalDpi="1200" r:id="rId1"/>
  <rowBreaks count="1" manualBreakCount="1">
    <brk id="4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A32C321-6326-40BD-8EB4-E822D213A70B}">
          <x14:formula1>
            <xm:f>'Form Lookups'!$A$1:$A$4</xm:f>
          </x14:formula1>
          <xm:sqref>D13:F13</xm:sqref>
        </x14:dataValidation>
        <x14:dataValidation type="list" allowBlank="1" showInputMessage="1" showErrorMessage="1" xr:uid="{466F0BB2-1FD6-4416-B581-1F47B7A0C2AD}">
          <x14:formula1>
            <xm:f>'Form Lookups'!$D$1:$D$3</xm:f>
          </x14:formula1>
          <xm:sqref>D9:K9</xm:sqref>
        </x14:dataValidation>
        <x14:dataValidation type="list" allowBlank="1" showInputMessage="1" showErrorMessage="1" xr:uid="{009A6738-D231-4BB5-B149-C87F838BE249}">
          <x14:formula1>
            <xm:f>'Form Lookups'!$G$1:$G$6</xm:f>
          </x14:formula1>
          <xm:sqref>V9</xm:sqref>
        </x14:dataValidation>
        <x14:dataValidation type="list" allowBlank="1" showInputMessage="1" showErrorMessage="1" xr:uid="{DFE1DE04-54EE-447F-84B0-DE359B20F132}">
          <x14:formula1>
            <xm:f>'Form Lookups'!$J$1:$J$3</xm:f>
          </x14:formula1>
          <xm:sqref>P29:T32</xm:sqref>
        </x14:dataValidation>
        <x14:dataValidation type="list" allowBlank="1" showInputMessage="1" showErrorMessage="1" xr:uid="{FC0DAC37-338D-4816-86B3-D426DEC18DED}">
          <x14:formula1>
            <xm:f>'Form Lookups'!$A$14:$A$16</xm:f>
          </x14:formula1>
          <xm:sqref>D15:K15</xm:sqref>
        </x14:dataValidation>
        <x14:dataValidation type="list" allowBlank="1" showInputMessage="1" showErrorMessage="1" xr:uid="{2AE2855B-9A92-4658-A3E1-D37A3FFB9AA8}">
          <x14:formula1>
            <xm:f>'Form Lookups'!$A$5:$A$7</xm:f>
          </x14:formula1>
          <xm:sqref>U29:AK29</xm:sqref>
        </x14:dataValidation>
        <x14:dataValidation type="list" allowBlank="1" showInputMessage="1" showErrorMessage="1" xr:uid="{8F8B6296-9A9C-4F39-BA36-65852937DE3C}">
          <x14:formula1>
            <xm:f>'Form Lookups'!$A$8:$A$10</xm:f>
          </x14:formula1>
          <xm:sqref>U30:AK30</xm:sqref>
        </x14:dataValidation>
        <x14:dataValidation type="list" allowBlank="1" showInputMessage="1" showErrorMessage="1" xr:uid="{32A8D41F-FB98-41B6-9EC1-986BDA7FCB93}">
          <x14:formula1>
            <xm:f>'Form Lookups'!$A$11:$A$13</xm:f>
          </x14:formula1>
          <xm:sqref>U31</xm:sqref>
        </x14:dataValidation>
        <x14:dataValidation type="list" allowBlank="1" showInputMessage="1" showErrorMessage="1" xr:uid="{1896D7BD-34D1-4647-8E65-6F58993966DF}">
          <x14:formula1>
            <xm:f>'Form Lookups'!$A$17:$A$20</xm:f>
          </x14:formula1>
          <xm:sqref>U32:AK32</xm:sqref>
        </x14:dataValidation>
        <x14:dataValidation type="list" allowBlank="1" showInputMessage="1" showErrorMessage="1" xr:uid="{1B29CFDD-F2E5-4FD4-846D-D5ED0B3DA535}">
          <x14:formula1>
            <xm:f>'Form Lookups'!$L$2:$L$7</xm:f>
          </x14:formula1>
          <xm:sqref>E6:L6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FC08-B6A8-479F-BDE8-5F50308A0FBD}">
  <sheetPr>
    <tabColor rgb="FFFFFFCC"/>
  </sheetPr>
  <dimension ref="A1:G403"/>
  <sheetViews>
    <sheetView zoomScaleNormal="100" workbookViewId="0">
      <pane ySplit="1" topLeftCell="A17" activePane="bottomLeft" state="frozen"/>
      <selection pane="bottomLeft" activeCell="E44" sqref="E44"/>
    </sheetView>
  </sheetViews>
  <sheetFormatPr defaultRowHeight="15" x14ac:dyDescent="0.25"/>
  <cols>
    <col min="1" max="1" width="2.85546875" style="12" customWidth="1"/>
    <col min="2" max="2" width="16.140625" customWidth="1"/>
    <col min="3" max="3" width="25.42578125" customWidth="1"/>
    <col min="4" max="4" width="54" customWidth="1"/>
    <col min="5" max="5" width="44.5703125" customWidth="1"/>
    <col min="6" max="6" width="17.5703125" bestFit="1" customWidth="1"/>
    <col min="7" max="7" width="16.42578125" customWidth="1"/>
  </cols>
  <sheetData>
    <row r="1" spans="1:7" x14ac:dyDescent="0.25">
      <c r="A1" s="22" t="s">
        <v>115</v>
      </c>
      <c r="B1" s="1" t="s">
        <v>145</v>
      </c>
      <c r="C1" s="1" t="s">
        <v>146</v>
      </c>
      <c r="D1" s="1" t="s">
        <v>227</v>
      </c>
      <c r="E1" s="1" t="s">
        <v>228</v>
      </c>
      <c r="F1" s="1" t="s">
        <v>86</v>
      </c>
      <c r="G1" s="1" t="s">
        <v>229</v>
      </c>
    </row>
    <row r="2" spans="1:7" x14ac:dyDescent="0.25">
      <c r="A2" s="12" t="str">
        <f>B2&amp;"_"&amp;C2&amp;"_"&amp;D2&amp;"_"&amp;E2&amp;"_"&amp;F2</f>
        <v>Residential_HVAC_Air-Source Heat Pump_FLH_ASHPheat_1 (Rockford)</v>
      </c>
      <c r="B2" t="s">
        <v>162</v>
      </c>
      <c r="C2" t="s">
        <v>163</v>
      </c>
      <c r="D2" t="s">
        <v>238</v>
      </c>
      <c r="E2" s="102" t="s">
        <v>254</v>
      </c>
      <c r="F2" s="102" t="s">
        <v>531</v>
      </c>
      <c r="G2" s="103">
        <v>1924</v>
      </c>
    </row>
    <row r="3" spans="1:7" x14ac:dyDescent="0.25">
      <c r="A3" s="12" t="str">
        <f t="shared" ref="A3:A67" si="0">B3&amp;"_"&amp;C3&amp;"_"&amp;D3&amp;"_"&amp;E3&amp;"_"&amp;F3</f>
        <v>Residential_HVAC_Air-Source Heat Pump_FLH_ASHPheat_2 (Chicago)</v>
      </c>
      <c r="B3" t="s">
        <v>162</v>
      </c>
      <c r="C3" t="s">
        <v>163</v>
      </c>
      <c r="D3" t="s">
        <v>238</v>
      </c>
      <c r="E3" s="102" t="s">
        <v>254</v>
      </c>
      <c r="F3" s="102" t="s">
        <v>223</v>
      </c>
      <c r="G3" s="103">
        <v>1726</v>
      </c>
    </row>
    <row r="4" spans="1:7" x14ac:dyDescent="0.25">
      <c r="A4" s="12" t="str">
        <f t="shared" si="0"/>
        <v>Residential_HVAC_Air-Source Heat Pump_FLH_ASHPheat_3 (Springfield)</v>
      </c>
      <c r="B4" t="s">
        <v>162</v>
      </c>
      <c r="C4" t="s">
        <v>163</v>
      </c>
      <c r="D4" t="s">
        <v>238</v>
      </c>
      <c r="E4" s="102" t="s">
        <v>254</v>
      </c>
      <c r="F4" s="102" t="s">
        <v>224</v>
      </c>
      <c r="G4" s="103">
        <v>1708</v>
      </c>
    </row>
    <row r="5" spans="1:7" x14ac:dyDescent="0.25">
      <c r="A5" s="12" t="str">
        <f t="shared" si="0"/>
        <v>Residential_HVAC_Air-Source Heat Pump_FLH_ASHPheat_4 (Belleville)</v>
      </c>
      <c r="B5" t="s">
        <v>162</v>
      </c>
      <c r="C5" t="s">
        <v>163</v>
      </c>
      <c r="D5" t="s">
        <v>238</v>
      </c>
      <c r="E5" s="102" t="s">
        <v>254</v>
      </c>
      <c r="F5" s="102" t="s">
        <v>225</v>
      </c>
      <c r="G5" s="103">
        <v>1195</v>
      </c>
    </row>
    <row r="6" spans="1:7" x14ac:dyDescent="0.25">
      <c r="A6" s="12" t="str">
        <f t="shared" si="0"/>
        <v>Residential_HVAC_Air-Source Heat Pump_FLH_ASHPheat_5 (Marion)</v>
      </c>
      <c r="B6" t="s">
        <v>162</v>
      </c>
      <c r="C6" t="s">
        <v>163</v>
      </c>
      <c r="D6" t="s">
        <v>238</v>
      </c>
      <c r="E6" s="102" t="s">
        <v>254</v>
      </c>
      <c r="F6" s="102" t="s">
        <v>226</v>
      </c>
      <c r="G6" s="103">
        <v>1270</v>
      </c>
    </row>
    <row r="7" spans="1:7" x14ac:dyDescent="0.25">
      <c r="A7" s="12" t="str">
        <f t="shared" si="0"/>
        <v>Residential_HVAC_Air-Source Heat Pump_FLH_ASHPheat_Weighted Average</v>
      </c>
      <c r="B7" t="s">
        <v>162</v>
      </c>
      <c r="C7" t="s">
        <v>163</v>
      </c>
      <c r="D7" t="s">
        <v>238</v>
      </c>
      <c r="E7" s="102" t="s">
        <v>254</v>
      </c>
      <c r="F7" s="102" t="s">
        <v>532</v>
      </c>
      <c r="G7" s="103">
        <v>1547</v>
      </c>
    </row>
    <row r="8" spans="1:7" x14ac:dyDescent="0.25">
      <c r="A8" s="12" t="str">
        <f t="shared" si="0"/>
        <v>Residential_HVAC_Air-Source Heat Pump_FLHcool_1 (Rockford)</v>
      </c>
      <c r="B8" t="s">
        <v>162</v>
      </c>
      <c r="C8" t="s">
        <v>163</v>
      </c>
      <c r="D8" t="s">
        <v>238</v>
      </c>
      <c r="E8" s="102" t="s">
        <v>262</v>
      </c>
      <c r="F8" s="102" t="s">
        <v>531</v>
      </c>
      <c r="G8" s="103">
        <v>547</v>
      </c>
    </row>
    <row r="9" spans="1:7" x14ac:dyDescent="0.25">
      <c r="A9" s="12" t="str">
        <f t="shared" si="0"/>
        <v>Residential_HVAC_Air-Source Heat Pump_FLHcool_2 (Chicago)</v>
      </c>
      <c r="B9" t="s">
        <v>162</v>
      </c>
      <c r="C9" t="s">
        <v>163</v>
      </c>
      <c r="D9" t="s">
        <v>238</v>
      </c>
      <c r="E9" s="102" t="s">
        <v>262</v>
      </c>
      <c r="F9" s="102" t="s">
        <v>223</v>
      </c>
      <c r="G9" s="103">
        <v>709</v>
      </c>
    </row>
    <row r="10" spans="1:7" x14ac:dyDescent="0.25">
      <c r="A10" s="12" t="str">
        <f t="shared" si="0"/>
        <v>Residential_HVAC_Air-Source Heat Pump_FLHcool_3 (Springfield)</v>
      </c>
      <c r="B10" t="s">
        <v>162</v>
      </c>
      <c r="C10" t="s">
        <v>163</v>
      </c>
      <c r="D10" t="s">
        <v>238</v>
      </c>
      <c r="E10" s="102" t="s">
        <v>262</v>
      </c>
      <c r="F10" s="102" t="s">
        <v>224</v>
      </c>
      <c r="G10" s="103">
        <v>779</v>
      </c>
    </row>
    <row r="11" spans="1:7" x14ac:dyDescent="0.25">
      <c r="A11" s="12" t="str">
        <f t="shared" si="0"/>
        <v>Residential_HVAC_Air-Source Heat Pump_FLHcool_4 (Belleville)</v>
      </c>
      <c r="B11" t="s">
        <v>162</v>
      </c>
      <c r="C11" t="s">
        <v>163</v>
      </c>
      <c r="D11" t="s">
        <v>238</v>
      </c>
      <c r="E11" s="102" t="s">
        <v>262</v>
      </c>
      <c r="F11" s="102" t="s">
        <v>225</v>
      </c>
      <c r="G11" s="103">
        <v>1082</v>
      </c>
    </row>
    <row r="12" spans="1:7" x14ac:dyDescent="0.25">
      <c r="A12" s="12" t="str">
        <f t="shared" si="0"/>
        <v>Residential_HVAC_Air-Source Heat Pump_FLHcool_5 (Marion)</v>
      </c>
      <c r="B12" t="s">
        <v>162</v>
      </c>
      <c r="C12" t="s">
        <v>163</v>
      </c>
      <c r="D12" t="s">
        <v>238</v>
      </c>
      <c r="E12" s="102" t="s">
        <v>262</v>
      </c>
      <c r="F12" s="102" t="s">
        <v>226</v>
      </c>
      <c r="G12" s="103">
        <v>956</v>
      </c>
    </row>
    <row r="13" spans="1:7" x14ac:dyDescent="0.25">
      <c r="A13" s="12" t="str">
        <f t="shared" si="0"/>
        <v>Residential_HVAC_Air-Source Heat Pump_FLHcool_Weighted Average</v>
      </c>
      <c r="B13" t="s">
        <v>162</v>
      </c>
      <c r="C13" t="s">
        <v>163</v>
      </c>
      <c r="D13" t="s">
        <v>238</v>
      </c>
      <c r="E13" s="102" t="s">
        <v>262</v>
      </c>
      <c r="F13" s="102" t="s">
        <v>532</v>
      </c>
      <c r="G13" s="103">
        <v>875</v>
      </c>
    </row>
    <row r="14" spans="1:7" x14ac:dyDescent="0.25">
      <c r="A14" s="12" t="str">
        <f t="shared" ref="A14:A19" si="1">B14&amp;"_"&amp;C14&amp;"_"&amp;D14&amp;"_"&amp;E14&amp;"_"&amp;F14</f>
        <v>Residential_HVAC_Air-Source Heat Pump_Heat Load Factor_1 (Rockford)</v>
      </c>
      <c r="B14" t="s">
        <v>162</v>
      </c>
      <c r="C14" t="s">
        <v>163</v>
      </c>
      <c r="D14" t="s">
        <v>238</v>
      </c>
      <c r="E14" s="102" t="s">
        <v>241</v>
      </c>
      <c r="F14" s="102" t="s">
        <v>531</v>
      </c>
      <c r="G14" s="103">
        <f>INDEX(Backup_FS!$B$27:$B$37,MATCH(Dashboard_FS!$K$11,Backup_FS!$A$27:$A$37,0))</f>
        <v>0.42</v>
      </c>
    </row>
    <row r="15" spans="1:7" x14ac:dyDescent="0.25">
      <c r="A15" s="12" t="str">
        <f t="shared" si="1"/>
        <v>Residential_HVAC_Air-Source Heat Pump_Heat Load Factor_2 (Chicago)</v>
      </c>
      <c r="B15" t="s">
        <v>162</v>
      </c>
      <c r="C15" t="s">
        <v>163</v>
      </c>
      <c r="D15" t="s">
        <v>238</v>
      </c>
      <c r="E15" s="102" t="s">
        <v>241</v>
      </c>
      <c r="F15" s="102" t="s">
        <v>223</v>
      </c>
      <c r="G15" s="103">
        <f>INDEX(Backup_FS!$C$27:$C$37,MATCH(Dashboard_FS!$K$11,Backup_FS!$A$27:$A$37,0))</f>
        <v>0.48</v>
      </c>
    </row>
    <row r="16" spans="1:7" x14ac:dyDescent="0.25">
      <c r="A16" s="12" t="str">
        <f t="shared" si="1"/>
        <v>Residential_HVAC_Air-Source Heat Pump_Heat Load Factor_3 (Springfield)</v>
      </c>
      <c r="B16" t="s">
        <v>162</v>
      </c>
      <c r="C16" t="s">
        <v>163</v>
      </c>
      <c r="D16" t="s">
        <v>238</v>
      </c>
      <c r="E16" s="102" t="s">
        <v>241</v>
      </c>
      <c r="F16" s="102" t="s">
        <v>224</v>
      </c>
      <c r="G16" s="103">
        <f>INDEX(Backup_FS!$D$27:$D$37,MATCH(Dashboard_FS!$K$11,Backup_FS!$A$27:$A$37,0))</f>
        <v>0.56999999999999995</v>
      </c>
    </row>
    <row r="17" spans="1:7" x14ac:dyDescent="0.25">
      <c r="A17" s="12" t="str">
        <f t="shared" si="1"/>
        <v>Residential_HVAC_Air-Source Heat Pump_Heat Load Factor_4 (Belleville)</v>
      </c>
      <c r="B17" t="s">
        <v>162</v>
      </c>
      <c r="C17" t="s">
        <v>163</v>
      </c>
      <c r="D17" t="s">
        <v>238</v>
      </c>
      <c r="E17" s="102" t="s">
        <v>241</v>
      </c>
      <c r="F17" s="102" t="s">
        <v>225</v>
      </c>
      <c r="G17" s="103">
        <f>INDEX(Backup_FS!$E$27:$E$37,MATCH(Dashboard_FS!$K$11,Backup_FS!$A$27:$A$37,0))</f>
        <v>0.61</v>
      </c>
    </row>
    <row r="18" spans="1:7" x14ac:dyDescent="0.25">
      <c r="A18" s="12" t="str">
        <f t="shared" si="1"/>
        <v>Residential_HVAC_Air-Source Heat Pump_Heat Load Factor_5 (Marion)</v>
      </c>
      <c r="B18" t="s">
        <v>162</v>
      </c>
      <c r="C18" t="s">
        <v>163</v>
      </c>
      <c r="D18" t="s">
        <v>238</v>
      </c>
      <c r="E18" s="102" t="s">
        <v>241</v>
      </c>
      <c r="F18" s="102" t="s">
        <v>226</v>
      </c>
      <c r="G18" s="103">
        <f>INDEX(Backup_FS!$F$27:$F$37,MATCH(Dashboard_FS!$K$11,Backup_FS!$A$27:$A$37,0))</f>
        <v>0.72</v>
      </c>
    </row>
    <row r="19" spans="1:7" x14ac:dyDescent="0.25">
      <c r="A19" s="12" t="str">
        <f t="shared" si="1"/>
        <v>Residential_HVAC_Air-Source Heat Pump_Heat Load Factor_Weighted Average</v>
      </c>
      <c r="B19" t="s">
        <v>162</v>
      </c>
      <c r="C19" t="s">
        <v>163</v>
      </c>
      <c r="D19" t="s">
        <v>238</v>
      </c>
      <c r="E19" s="102" t="s">
        <v>241</v>
      </c>
      <c r="F19" s="102" t="s">
        <v>532</v>
      </c>
      <c r="G19" s="103">
        <f>INDEX(Backup_FS!$G$27:$G$37,MATCH(Dashboard_FS!$K$11,Backup_FS!$A$27:$A$37,0))</f>
        <v>0.56999999999999995</v>
      </c>
    </row>
    <row r="20" spans="1:7" x14ac:dyDescent="0.25">
      <c r="A20" s="12" t="str">
        <f t="shared" ref="A20:A25" si="2">B20&amp;"_"&amp;C20&amp;"_"&amp;D20&amp;"_"&amp;E20&amp;"_"&amp;F20</f>
        <v>Residential_HVAC_Ductless Heat Pump_Heat Load Factor_1 (Rockford)</v>
      </c>
      <c r="B20" t="s">
        <v>162</v>
      </c>
      <c r="C20" t="s">
        <v>163</v>
      </c>
      <c r="D20" t="s">
        <v>295</v>
      </c>
      <c r="E20" s="102" t="s">
        <v>241</v>
      </c>
      <c r="F20" s="102" t="s">
        <v>531</v>
      </c>
      <c r="G20" s="103">
        <f>INDEX(Backup_FS!$B$27:$B$37,MATCH(Dashboard_FS!$K$11,Backup_FS!$A$27:$A$37,0))</f>
        <v>0.42</v>
      </c>
    </row>
    <row r="21" spans="1:7" x14ac:dyDescent="0.25">
      <c r="A21" s="12" t="str">
        <f t="shared" si="2"/>
        <v>Residential_HVAC_Ductless Heat Pump_Heat Load Factor_2 (Chicago)</v>
      </c>
      <c r="B21" t="s">
        <v>162</v>
      </c>
      <c r="C21" t="s">
        <v>163</v>
      </c>
      <c r="D21" t="s">
        <v>295</v>
      </c>
      <c r="E21" s="102" t="s">
        <v>241</v>
      </c>
      <c r="F21" s="102" t="s">
        <v>223</v>
      </c>
      <c r="G21" s="103">
        <f>INDEX(Backup_FS!$C$27:$C$37,MATCH(Dashboard_FS!$K$11,Backup_FS!$A$27:$A$37,0))</f>
        <v>0.48</v>
      </c>
    </row>
    <row r="22" spans="1:7" x14ac:dyDescent="0.25">
      <c r="A22" s="12" t="str">
        <f t="shared" si="2"/>
        <v>Residential_HVAC_Ductless Heat Pump_Heat Load Factor_3 (Springfield)</v>
      </c>
      <c r="B22" t="s">
        <v>162</v>
      </c>
      <c r="C22" t="s">
        <v>163</v>
      </c>
      <c r="D22" t="s">
        <v>295</v>
      </c>
      <c r="E22" s="102" t="s">
        <v>241</v>
      </c>
      <c r="F22" s="102" t="s">
        <v>224</v>
      </c>
      <c r="G22" s="103">
        <f>INDEX(Backup_FS!$D$27:$D$37,MATCH(Dashboard_FS!$K$11,Backup_FS!$A$27:$A$37,0))</f>
        <v>0.56999999999999995</v>
      </c>
    </row>
    <row r="23" spans="1:7" x14ac:dyDescent="0.25">
      <c r="A23" s="12" t="str">
        <f t="shared" si="2"/>
        <v>Residential_HVAC_Ductless Heat Pump_Heat Load Factor_4 (Belleville)</v>
      </c>
      <c r="B23" t="s">
        <v>162</v>
      </c>
      <c r="C23" t="s">
        <v>163</v>
      </c>
      <c r="D23" t="s">
        <v>295</v>
      </c>
      <c r="E23" s="102" t="s">
        <v>241</v>
      </c>
      <c r="F23" s="102" t="s">
        <v>225</v>
      </c>
      <c r="G23" s="103">
        <f>INDEX(Backup_FS!$E$27:$E$37,MATCH(Dashboard_FS!$K$11,Backup_FS!$A$27:$A$37,0))</f>
        <v>0.61</v>
      </c>
    </row>
    <row r="24" spans="1:7" x14ac:dyDescent="0.25">
      <c r="A24" s="12" t="str">
        <f t="shared" si="2"/>
        <v>Residential_HVAC_Ductless Heat Pump_Heat Load Factor_5 (Marion)</v>
      </c>
      <c r="B24" t="s">
        <v>162</v>
      </c>
      <c r="C24" t="s">
        <v>163</v>
      </c>
      <c r="D24" t="s">
        <v>295</v>
      </c>
      <c r="E24" s="102" t="s">
        <v>241</v>
      </c>
      <c r="F24" s="102" t="s">
        <v>226</v>
      </c>
      <c r="G24" s="103">
        <f>INDEX(Backup_FS!$F$27:$F$37,MATCH(Dashboard_FS!$K$11,Backup_FS!$A$27:$A$37,0))</f>
        <v>0.72</v>
      </c>
    </row>
    <row r="25" spans="1:7" x14ac:dyDescent="0.25">
      <c r="A25" s="12" t="str">
        <f t="shared" si="2"/>
        <v>Residential_HVAC_Ductless Heat Pump_Heat Load Factor_Weighted Average</v>
      </c>
      <c r="B25" t="s">
        <v>162</v>
      </c>
      <c r="C25" t="s">
        <v>163</v>
      </c>
      <c r="D25" t="s">
        <v>295</v>
      </c>
      <c r="E25" s="102" t="s">
        <v>241</v>
      </c>
      <c r="F25" s="102" t="s">
        <v>532</v>
      </c>
      <c r="G25" s="103">
        <f>INDEX(Backup_FS!$G$27:$G$37,MATCH(Dashboard_FS!$K$11,Backup_FS!$A$27:$A$37,0))</f>
        <v>0.56999999999999995</v>
      </c>
    </row>
    <row r="26" spans="1:7" x14ac:dyDescent="0.25">
      <c r="A26" s="12" t="str">
        <f t="shared" si="0"/>
        <v>Residential_HVAC_Ductless Heat Pump_EFLHheat_DMSHP_1 (Rockford)</v>
      </c>
      <c r="B26" t="s">
        <v>162</v>
      </c>
      <c r="C26" t="s">
        <v>163</v>
      </c>
      <c r="D26" t="s">
        <v>295</v>
      </c>
      <c r="E26" s="102" t="s">
        <v>300</v>
      </c>
      <c r="F26" s="102" t="s">
        <v>531</v>
      </c>
      <c r="G26" s="103">
        <v>1924</v>
      </c>
    </row>
    <row r="27" spans="1:7" x14ac:dyDescent="0.25">
      <c r="A27" s="12" t="str">
        <f t="shared" si="0"/>
        <v>Residential_HVAC_Ductless Heat Pump_EFLHheat_DMSHP_2 (Chicago)</v>
      </c>
      <c r="B27" t="s">
        <v>162</v>
      </c>
      <c r="C27" t="s">
        <v>163</v>
      </c>
      <c r="D27" t="s">
        <v>295</v>
      </c>
      <c r="E27" s="102" t="s">
        <v>300</v>
      </c>
      <c r="F27" s="102" t="s">
        <v>223</v>
      </c>
      <c r="G27" s="103">
        <v>1726</v>
      </c>
    </row>
    <row r="28" spans="1:7" x14ac:dyDescent="0.25">
      <c r="A28" s="12" t="str">
        <f t="shared" si="0"/>
        <v>Residential_HVAC_Ductless Heat Pump_EFLHheat_DMSHP_3 (Springfield)</v>
      </c>
      <c r="B28" t="s">
        <v>162</v>
      </c>
      <c r="C28" t="s">
        <v>163</v>
      </c>
      <c r="D28" t="s">
        <v>295</v>
      </c>
      <c r="E28" s="102" t="s">
        <v>300</v>
      </c>
      <c r="F28" s="102" t="s">
        <v>224</v>
      </c>
      <c r="G28" s="103">
        <v>1708</v>
      </c>
    </row>
    <row r="29" spans="1:7" x14ac:dyDescent="0.25">
      <c r="A29" s="12" t="str">
        <f t="shared" si="0"/>
        <v>Residential_HVAC_Ductless Heat Pump_EFLHheat_DMSHP_4 (Belleville)</v>
      </c>
      <c r="B29" t="s">
        <v>162</v>
      </c>
      <c r="C29" t="s">
        <v>163</v>
      </c>
      <c r="D29" t="s">
        <v>295</v>
      </c>
      <c r="E29" s="102" t="s">
        <v>300</v>
      </c>
      <c r="F29" s="102" t="s">
        <v>225</v>
      </c>
      <c r="G29" s="103">
        <v>1195</v>
      </c>
    </row>
    <row r="30" spans="1:7" x14ac:dyDescent="0.25">
      <c r="A30" s="12" t="str">
        <f t="shared" si="0"/>
        <v>Residential_HVAC_Ductless Heat Pump_EFLHheat_DMSHP_5 (Marion)</v>
      </c>
      <c r="B30" t="s">
        <v>162</v>
      </c>
      <c r="C30" t="s">
        <v>163</v>
      </c>
      <c r="D30" t="s">
        <v>295</v>
      </c>
      <c r="E30" s="102" t="s">
        <v>300</v>
      </c>
      <c r="F30" s="102" t="s">
        <v>226</v>
      </c>
      <c r="G30" s="103">
        <v>1270</v>
      </c>
    </row>
    <row r="31" spans="1:7" x14ac:dyDescent="0.25">
      <c r="A31" s="12" t="str">
        <f t="shared" si="0"/>
        <v>Residential_HVAC_Ductless Heat Pump_EFLHheat_DMSHP_Weighted Average</v>
      </c>
      <c r="B31" t="s">
        <v>162</v>
      </c>
      <c r="C31" t="s">
        <v>163</v>
      </c>
      <c r="D31" t="s">
        <v>295</v>
      </c>
      <c r="E31" s="102" t="s">
        <v>300</v>
      </c>
      <c r="F31" s="102" t="s">
        <v>532</v>
      </c>
      <c r="G31" s="103">
        <v>1547</v>
      </c>
    </row>
    <row r="32" spans="1:7" x14ac:dyDescent="0.25">
      <c r="A32" s="12" t="str">
        <f t="shared" ref="A32:A37" si="3">B32&amp;"_"&amp;C32&amp;"_"&amp;D32&amp;"_"&amp;E32&amp;"_"&amp;F32</f>
        <v>Residential_HVAC_Ductless Heat Pump_EFLHheat_DMSHP_suppl_1 (Rockford)</v>
      </c>
      <c r="B32" t="s">
        <v>162</v>
      </c>
      <c r="C32" t="s">
        <v>163</v>
      </c>
      <c r="D32" t="s">
        <v>295</v>
      </c>
      <c r="E32" s="102" t="s">
        <v>547</v>
      </c>
      <c r="F32" s="102" t="s">
        <v>531</v>
      </c>
      <c r="G32" s="103">
        <v>716</v>
      </c>
    </row>
    <row r="33" spans="1:7" x14ac:dyDescent="0.25">
      <c r="A33" s="12" t="str">
        <f t="shared" si="3"/>
        <v>Residential_HVAC_Ductless Heat Pump_EFLHheat_DMSHP_suppl_2 (Chicago)</v>
      </c>
      <c r="B33" t="s">
        <v>162</v>
      </c>
      <c r="C33" t="s">
        <v>163</v>
      </c>
      <c r="D33" t="s">
        <v>295</v>
      </c>
      <c r="E33" s="102" t="s">
        <v>547</v>
      </c>
      <c r="F33" s="102" t="s">
        <v>223</v>
      </c>
      <c r="G33" s="103">
        <v>642</v>
      </c>
    </row>
    <row r="34" spans="1:7" x14ac:dyDescent="0.25">
      <c r="A34" s="12" t="str">
        <f t="shared" si="3"/>
        <v>Residential_HVAC_Ductless Heat Pump_EFLHheat_DMSHP_suppl_3 (Springfield)</v>
      </c>
      <c r="B34" t="s">
        <v>162</v>
      </c>
      <c r="C34" t="s">
        <v>163</v>
      </c>
      <c r="D34" t="s">
        <v>295</v>
      </c>
      <c r="E34" s="102" t="s">
        <v>547</v>
      </c>
      <c r="F34" s="102" t="s">
        <v>224</v>
      </c>
      <c r="G34" s="103">
        <v>636</v>
      </c>
    </row>
    <row r="35" spans="1:7" x14ac:dyDescent="0.25">
      <c r="A35" s="12" t="str">
        <f t="shared" si="3"/>
        <v>Residential_HVAC_Ductless Heat Pump_EFLHheat_DMSHP_suppl_4 (Belleville)</v>
      </c>
      <c r="B35" t="s">
        <v>162</v>
      </c>
      <c r="C35" t="s">
        <v>163</v>
      </c>
      <c r="D35" t="s">
        <v>295</v>
      </c>
      <c r="E35" s="102" t="s">
        <v>547</v>
      </c>
      <c r="F35" s="102" t="s">
        <v>225</v>
      </c>
      <c r="G35" s="103">
        <v>445</v>
      </c>
    </row>
    <row r="36" spans="1:7" x14ac:dyDescent="0.25">
      <c r="A36" s="12" t="str">
        <f t="shared" si="3"/>
        <v>Residential_HVAC_Ductless Heat Pump_EFLHheat_DMSHP_suppl_5 (Marion)</v>
      </c>
      <c r="B36" t="s">
        <v>162</v>
      </c>
      <c r="C36" t="s">
        <v>163</v>
      </c>
      <c r="D36" t="s">
        <v>295</v>
      </c>
      <c r="E36" s="102" t="s">
        <v>547</v>
      </c>
      <c r="F36" s="102" t="s">
        <v>226</v>
      </c>
      <c r="G36" s="103">
        <v>473</v>
      </c>
    </row>
    <row r="37" spans="1:7" x14ac:dyDescent="0.25">
      <c r="A37" s="12" t="str">
        <f t="shared" si="3"/>
        <v>Residential_HVAC_Ductless Heat Pump_EFLHheat_DMSHP_suppl_Weighted Average</v>
      </c>
      <c r="B37" t="s">
        <v>162</v>
      </c>
      <c r="C37" t="s">
        <v>163</v>
      </c>
      <c r="D37" t="s">
        <v>295</v>
      </c>
      <c r="E37" s="102" t="s">
        <v>547</v>
      </c>
      <c r="F37" s="102" t="s">
        <v>532</v>
      </c>
      <c r="G37" s="103">
        <v>576</v>
      </c>
    </row>
    <row r="38" spans="1:7" x14ac:dyDescent="0.25">
      <c r="A38" s="12" t="str">
        <f t="shared" si="0"/>
        <v>Residential_HVAC_Ductless Heat Pump_EFLHcool_1 (Rockford)</v>
      </c>
      <c r="B38" t="s">
        <v>162</v>
      </c>
      <c r="C38" t="s">
        <v>163</v>
      </c>
      <c r="D38" t="s">
        <v>295</v>
      </c>
      <c r="E38" s="102" t="s">
        <v>303</v>
      </c>
      <c r="F38" s="102" t="s">
        <v>531</v>
      </c>
      <c r="G38" s="103">
        <v>547</v>
      </c>
    </row>
    <row r="39" spans="1:7" x14ac:dyDescent="0.25">
      <c r="A39" s="12" t="str">
        <f t="shared" si="0"/>
        <v>Residential_HVAC_Ductless Heat Pump_EFLHcool_2 (Chicago)</v>
      </c>
      <c r="B39" t="s">
        <v>162</v>
      </c>
      <c r="C39" t="s">
        <v>163</v>
      </c>
      <c r="D39" t="s">
        <v>295</v>
      </c>
      <c r="E39" s="102" t="s">
        <v>303</v>
      </c>
      <c r="F39" s="102" t="s">
        <v>223</v>
      </c>
      <c r="G39" s="103">
        <v>709</v>
      </c>
    </row>
    <row r="40" spans="1:7" x14ac:dyDescent="0.25">
      <c r="A40" s="12" t="str">
        <f t="shared" si="0"/>
        <v>Residential_HVAC_Ductless Heat Pump_EFLHcool_3 (Springfield)</v>
      </c>
      <c r="B40" t="s">
        <v>162</v>
      </c>
      <c r="C40" t="s">
        <v>163</v>
      </c>
      <c r="D40" t="s">
        <v>295</v>
      </c>
      <c r="E40" s="102" t="s">
        <v>303</v>
      </c>
      <c r="F40" s="102" t="s">
        <v>224</v>
      </c>
      <c r="G40" s="103">
        <v>779</v>
      </c>
    </row>
    <row r="41" spans="1:7" x14ac:dyDescent="0.25">
      <c r="A41" s="12" t="str">
        <f t="shared" si="0"/>
        <v>Residential_HVAC_Ductless Heat Pump_EFLHcool_4 (Belleville)</v>
      </c>
      <c r="B41" t="s">
        <v>162</v>
      </c>
      <c r="C41" t="s">
        <v>163</v>
      </c>
      <c r="D41" t="s">
        <v>295</v>
      </c>
      <c r="E41" s="102" t="s">
        <v>303</v>
      </c>
      <c r="F41" s="102" t="s">
        <v>225</v>
      </c>
      <c r="G41" s="103">
        <v>1082</v>
      </c>
    </row>
    <row r="42" spans="1:7" x14ac:dyDescent="0.25">
      <c r="A42" s="12" t="str">
        <f t="shared" si="0"/>
        <v>Residential_HVAC_Ductless Heat Pump_EFLHcool_5 (Marion)</v>
      </c>
      <c r="B42" t="s">
        <v>162</v>
      </c>
      <c r="C42" t="s">
        <v>163</v>
      </c>
      <c r="D42" t="s">
        <v>295</v>
      </c>
      <c r="E42" s="102" t="s">
        <v>303</v>
      </c>
      <c r="F42" s="102" t="s">
        <v>226</v>
      </c>
      <c r="G42" s="103">
        <v>956</v>
      </c>
    </row>
    <row r="43" spans="1:7" x14ac:dyDescent="0.25">
      <c r="A43" s="12" t="str">
        <f t="shared" si="0"/>
        <v>Residential_HVAC_Ductless Heat Pump_EFLHcool_Weighted Average</v>
      </c>
      <c r="B43" t="s">
        <v>162</v>
      </c>
      <c r="C43" t="s">
        <v>163</v>
      </c>
      <c r="D43" t="s">
        <v>295</v>
      </c>
      <c r="E43" s="102" t="s">
        <v>303</v>
      </c>
      <c r="F43" s="102" t="s">
        <v>532</v>
      </c>
      <c r="G43" s="103">
        <v>875</v>
      </c>
    </row>
    <row r="44" spans="1:7" x14ac:dyDescent="0.25">
      <c r="A44" s="12" t="str">
        <f t="shared" ref="A44:A49" si="4">B44&amp;"_"&amp;C44&amp;"_"&amp;D44&amp;"_"&amp;E44&amp;"_"&amp;F44</f>
        <v>Residential_HVAC_Ductless Heat Pump_EFLHcool_suppl_non-IQ_1 (Rockford)</v>
      </c>
      <c r="B44" t="s">
        <v>162</v>
      </c>
      <c r="C44" t="s">
        <v>163</v>
      </c>
      <c r="D44" t="s">
        <v>295</v>
      </c>
      <c r="E44" s="102" t="s">
        <v>548</v>
      </c>
      <c r="F44" s="102" t="s">
        <v>531</v>
      </c>
      <c r="G44" s="103">
        <v>331</v>
      </c>
    </row>
    <row r="45" spans="1:7" x14ac:dyDescent="0.25">
      <c r="A45" s="12" t="str">
        <f t="shared" si="4"/>
        <v>Residential_HVAC_Ductless Heat Pump_EFLHcool_suppl_non-IQ_2 (Chicago)</v>
      </c>
      <c r="B45" t="s">
        <v>162</v>
      </c>
      <c r="C45" t="s">
        <v>163</v>
      </c>
      <c r="D45" t="s">
        <v>295</v>
      </c>
      <c r="E45" s="102" t="s">
        <v>548</v>
      </c>
      <c r="F45" s="102" t="s">
        <v>223</v>
      </c>
      <c r="G45" s="103">
        <v>429</v>
      </c>
    </row>
    <row r="46" spans="1:7" x14ac:dyDescent="0.25">
      <c r="A46" s="12" t="str">
        <f t="shared" si="4"/>
        <v>Residential_HVAC_Ductless Heat Pump_EFLHcool_suppl_non-IQ_3 (Springfield)</v>
      </c>
      <c r="B46" t="s">
        <v>162</v>
      </c>
      <c r="C46" t="s">
        <v>163</v>
      </c>
      <c r="D46" t="s">
        <v>295</v>
      </c>
      <c r="E46" s="102" t="s">
        <v>548</v>
      </c>
      <c r="F46" s="102" t="s">
        <v>224</v>
      </c>
      <c r="G46" s="103">
        <v>472</v>
      </c>
    </row>
    <row r="47" spans="1:7" x14ac:dyDescent="0.25">
      <c r="A47" s="12" t="str">
        <f t="shared" si="4"/>
        <v>Residential_HVAC_Ductless Heat Pump_EFLHcool_suppl_non-IQ_4 (Belleville)</v>
      </c>
      <c r="B47" t="s">
        <v>162</v>
      </c>
      <c r="C47" t="s">
        <v>163</v>
      </c>
      <c r="D47" t="s">
        <v>295</v>
      </c>
      <c r="E47" s="102" t="s">
        <v>548</v>
      </c>
      <c r="F47" s="102" t="s">
        <v>225</v>
      </c>
      <c r="G47" s="103">
        <v>655</v>
      </c>
    </row>
    <row r="48" spans="1:7" x14ac:dyDescent="0.25">
      <c r="A48" s="12" t="str">
        <f t="shared" si="4"/>
        <v>Residential_HVAC_Ductless Heat Pump_EFLHcool_suppl_non-IQ_5 (Marion)</v>
      </c>
      <c r="B48" t="s">
        <v>162</v>
      </c>
      <c r="C48" t="s">
        <v>163</v>
      </c>
      <c r="D48" t="s">
        <v>295</v>
      </c>
      <c r="E48" s="102" t="s">
        <v>548</v>
      </c>
      <c r="F48" s="102" t="s">
        <v>226</v>
      </c>
      <c r="G48" s="103">
        <v>579</v>
      </c>
    </row>
    <row r="49" spans="1:7" x14ac:dyDescent="0.25">
      <c r="A49" s="12" t="str">
        <f t="shared" si="4"/>
        <v>Residential_HVAC_Ductless Heat Pump_EFLHcool_suppl_non-IQ_Weighted Average</v>
      </c>
      <c r="B49" t="s">
        <v>162</v>
      </c>
      <c r="C49" t="s">
        <v>163</v>
      </c>
      <c r="D49" t="s">
        <v>295</v>
      </c>
      <c r="E49" s="102" t="s">
        <v>548</v>
      </c>
      <c r="F49" s="102" t="s">
        <v>532</v>
      </c>
      <c r="G49" s="103">
        <v>530</v>
      </c>
    </row>
    <row r="50" spans="1:7" x14ac:dyDescent="0.25">
      <c r="A50" s="12" t="str">
        <f t="shared" ref="A50:A55" si="5">B50&amp;"_"&amp;C50&amp;"_"&amp;D50&amp;"_"&amp;E50&amp;"_"&amp;F50</f>
        <v>Residential_HVAC_Ductless Heat Pump_EFLHcool_suppl_IQ_1 (Rockford)</v>
      </c>
      <c r="B50" t="s">
        <v>162</v>
      </c>
      <c r="C50" t="s">
        <v>163</v>
      </c>
      <c r="D50" t="s">
        <v>295</v>
      </c>
      <c r="E50" s="102" t="s">
        <v>549</v>
      </c>
      <c r="F50" s="102" t="s">
        <v>531</v>
      </c>
      <c r="G50" s="103">
        <v>235</v>
      </c>
    </row>
    <row r="51" spans="1:7" x14ac:dyDescent="0.25">
      <c r="A51" s="12" t="str">
        <f t="shared" si="5"/>
        <v>Residential_HVAC_Ductless Heat Pump_EFLHcool_suppl_IQ_2 (Chicago)</v>
      </c>
      <c r="B51" t="s">
        <v>162</v>
      </c>
      <c r="C51" t="s">
        <v>163</v>
      </c>
      <c r="D51" t="s">
        <v>295</v>
      </c>
      <c r="E51" s="102" t="s">
        <v>549</v>
      </c>
      <c r="F51" s="102" t="s">
        <v>223</v>
      </c>
      <c r="G51" s="103">
        <v>261</v>
      </c>
    </row>
    <row r="52" spans="1:7" x14ac:dyDescent="0.25">
      <c r="A52" s="12" t="str">
        <f t="shared" si="5"/>
        <v>Residential_HVAC_Ductless Heat Pump_EFLHcool_suppl_IQ_3 (Springfield)</v>
      </c>
      <c r="B52" t="s">
        <v>162</v>
      </c>
      <c r="C52" t="s">
        <v>163</v>
      </c>
      <c r="D52" t="s">
        <v>295</v>
      </c>
      <c r="E52" s="102" t="s">
        <v>549</v>
      </c>
      <c r="F52" s="102" t="s">
        <v>224</v>
      </c>
      <c r="G52" s="103">
        <v>340</v>
      </c>
    </row>
    <row r="53" spans="1:7" x14ac:dyDescent="0.25">
      <c r="A53" s="12" t="str">
        <f t="shared" si="5"/>
        <v>Residential_HVAC_Ductless Heat Pump_EFLHcool_suppl_IQ_4 (Belleville)</v>
      </c>
      <c r="B53" t="s">
        <v>162</v>
      </c>
      <c r="C53" t="s">
        <v>163</v>
      </c>
      <c r="D53" t="s">
        <v>295</v>
      </c>
      <c r="E53" s="102" t="s">
        <v>549</v>
      </c>
      <c r="F53" s="102" t="s">
        <v>225</v>
      </c>
      <c r="G53" s="103">
        <v>447</v>
      </c>
    </row>
    <row r="54" spans="1:7" x14ac:dyDescent="0.25">
      <c r="A54" s="12" t="str">
        <f t="shared" si="5"/>
        <v>Residential_HVAC_Ductless Heat Pump_EFLHcool_suppl_IQ_5 (Marion)</v>
      </c>
      <c r="B54" t="s">
        <v>162</v>
      </c>
      <c r="C54" t="s">
        <v>163</v>
      </c>
      <c r="D54" t="s">
        <v>295</v>
      </c>
      <c r="E54" s="102" t="s">
        <v>549</v>
      </c>
      <c r="F54" s="102" t="s">
        <v>226</v>
      </c>
      <c r="G54" s="103">
        <v>396</v>
      </c>
    </row>
    <row r="55" spans="1:7" x14ac:dyDescent="0.25">
      <c r="A55" s="12" t="str">
        <f t="shared" si="5"/>
        <v>Residential_HVAC_Ductless Heat Pump_EFLHcool_suppl_IQ_Weighted Average</v>
      </c>
      <c r="B55" t="s">
        <v>162</v>
      </c>
      <c r="C55" t="s">
        <v>163</v>
      </c>
      <c r="D55" t="s">
        <v>295</v>
      </c>
      <c r="E55" s="102" t="s">
        <v>549</v>
      </c>
      <c r="F55" s="102" t="s">
        <v>532</v>
      </c>
      <c r="G55" s="103">
        <v>364</v>
      </c>
    </row>
    <row r="56" spans="1:7" x14ac:dyDescent="0.25">
      <c r="A56" s="12" t="str">
        <f t="shared" si="0"/>
        <v>Commercial_HVAC_Air-Source Heat Pump_FLH_ASHPheat_1 (Rockford)</v>
      </c>
      <c r="B56" t="s">
        <v>550</v>
      </c>
      <c r="C56" t="s">
        <v>163</v>
      </c>
      <c r="D56" t="s">
        <v>238</v>
      </c>
      <c r="E56" s="102" t="s">
        <v>254</v>
      </c>
      <c r="F56" s="102" t="s">
        <v>531</v>
      </c>
      <c r="G56" s="103">
        <v>1709</v>
      </c>
    </row>
    <row r="57" spans="1:7" x14ac:dyDescent="0.25">
      <c r="A57" s="12" t="str">
        <f t="shared" si="0"/>
        <v>Commercial_HVAC_Air-Source Heat Pump_FLH_ASHPheat_2 (Chicago)</v>
      </c>
      <c r="B57" t="s">
        <v>550</v>
      </c>
      <c r="C57" t="s">
        <v>163</v>
      </c>
      <c r="D57" t="s">
        <v>238</v>
      </c>
      <c r="E57" s="102" t="s">
        <v>254</v>
      </c>
      <c r="F57" s="102" t="s">
        <v>223</v>
      </c>
      <c r="G57" s="103">
        <v>1678</v>
      </c>
    </row>
    <row r="58" spans="1:7" x14ac:dyDescent="0.25">
      <c r="A58" s="12" t="str">
        <f t="shared" si="0"/>
        <v>Commercial_HVAC_Air-Source Heat Pump_FLH_ASHPheat_3 (Springfield)</v>
      </c>
      <c r="B58" t="s">
        <v>550</v>
      </c>
      <c r="C58" t="s">
        <v>163</v>
      </c>
      <c r="D58" t="s">
        <v>238</v>
      </c>
      <c r="E58" s="102" t="s">
        <v>254</v>
      </c>
      <c r="F58" s="102" t="s">
        <v>224</v>
      </c>
      <c r="G58" s="103">
        <v>1508</v>
      </c>
    </row>
    <row r="59" spans="1:7" x14ac:dyDescent="0.25">
      <c r="A59" s="12" t="str">
        <f t="shared" si="0"/>
        <v>Commercial_HVAC_Air-Source Heat Pump_FLH_ASHPheat_4 (Belleville)</v>
      </c>
      <c r="B59" t="s">
        <v>550</v>
      </c>
      <c r="C59" t="s">
        <v>163</v>
      </c>
      <c r="D59" t="s">
        <v>238</v>
      </c>
      <c r="E59" s="102" t="s">
        <v>254</v>
      </c>
      <c r="F59" s="102" t="s">
        <v>225</v>
      </c>
      <c r="G59" s="103">
        <v>1287</v>
      </c>
    </row>
    <row r="60" spans="1:7" x14ac:dyDescent="0.25">
      <c r="A60" s="12" t="str">
        <f t="shared" si="0"/>
        <v>Commercial_HVAC_Air-Source Heat Pump_FLH_ASHPheat_5 (Marion)</v>
      </c>
      <c r="B60" t="s">
        <v>550</v>
      </c>
      <c r="C60" t="s">
        <v>163</v>
      </c>
      <c r="D60" t="s">
        <v>238</v>
      </c>
      <c r="E60" s="102" t="s">
        <v>254</v>
      </c>
      <c r="F60" s="102" t="s">
        <v>226</v>
      </c>
      <c r="G60" s="103">
        <v>1411</v>
      </c>
    </row>
    <row r="61" spans="1:7" x14ac:dyDescent="0.25">
      <c r="A61" s="12" t="str">
        <f t="shared" si="0"/>
        <v>Commercial_HVAC_Air-Source Heat Pump_FLH_ASHPheat_Weighted Average</v>
      </c>
      <c r="B61" t="s">
        <v>550</v>
      </c>
      <c r="C61" t="s">
        <v>163</v>
      </c>
      <c r="D61" t="s">
        <v>238</v>
      </c>
      <c r="E61" s="102" t="s">
        <v>254</v>
      </c>
      <c r="F61" s="102" t="s">
        <v>532</v>
      </c>
      <c r="G61" s="103">
        <v>1508</v>
      </c>
    </row>
    <row r="62" spans="1:7" x14ac:dyDescent="0.25">
      <c r="A62" s="12" t="str">
        <f t="shared" si="0"/>
        <v>Commercial_HVAC_Air-Source Heat Pump_FLHcool_1 (Rockford)</v>
      </c>
      <c r="B62" t="s">
        <v>550</v>
      </c>
      <c r="C62" t="s">
        <v>163</v>
      </c>
      <c r="D62" t="s">
        <v>238</v>
      </c>
      <c r="E62" s="102" t="s">
        <v>262</v>
      </c>
      <c r="F62" s="102" t="s">
        <v>531</v>
      </c>
      <c r="G62" s="103">
        <v>1003</v>
      </c>
    </row>
    <row r="63" spans="1:7" x14ac:dyDescent="0.25">
      <c r="A63" s="12" t="str">
        <f t="shared" si="0"/>
        <v>Commercial_HVAC_Air-Source Heat Pump_FLHcool_2 (Chicago)</v>
      </c>
      <c r="B63" t="s">
        <v>550</v>
      </c>
      <c r="C63" t="s">
        <v>163</v>
      </c>
      <c r="D63" t="s">
        <v>238</v>
      </c>
      <c r="E63" s="102" t="s">
        <v>262</v>
      </c>
      <c r="F63" s="102" t="s">
        <v>223</v>
      </c>
      <c r="G63" s="103">
        <v>1019</v>
      </c>
    </row>
    <row r="64" spans="1:7" x14ac:dyDescent="0.25">
      <c r="A64" s="12" t="str">
        <f t="shared" si="0"/>
        <v>Commercial_HVAC_Air-Source Heat Pump_FLHcool_3 (Springfield)</v>
      </c>
      <c r="B64" t="s">
        <v>550</v>
      </c>
      <c r="C64" t="s">
        <v>163</v>
      </c>
      <c r="D64" t="s">
        <v>238</v>
      </c>
      <c r="E64" s="102" t="s">
        <v>262</v>
      </c>
      <c r="F64" s="102" t="s">
        <v>224</v>
      </c>
      <c r="G64" s="103">
        <v>1230</v>
      </c>
    </row>
    <row r="65" spans="1:7" x14ac:dyDescent="0.25">
      <c r="A65" s="12" t="str">
        <f t="shared" si="0"/>
        <v>Commercial_HVAC_Air-Source Heat Pump_FLHcool_4 (Belleville)</v>
      </c>
      <c r="B65" t="s">
        <v>550</v>
      </c>
      <c r="C65" t="s">
        <v>163</v>
      </c>
      <c r="D65" t="s">
        <v>238</v>
      </c>
      <c r="E65" s="102" t="s">
        <v>262</v>
      </c>
      <c r="F65" s="102" t="s">
        <v>225</v>
      </c>
      <c r="G65" s="103">
        <v>1403</v>
      </c>
    </row>
    <row r="66" spans="1:7" x14ac:dyDescent="0.25">
      <c r="A66" s="12" t="str">
        <f t="shared" si="0"/>
        <v>Commercial_HVAC_Air-Source Heat Pump_FLHcool_5 (Marion)</v>
      </c>
      <c r="B66" t="s">
        <v>550</v>
      </c>
      <c r="C66" t="s">
        <v>163</v>
      </c>
      <c r="D66" t="s">
        <v>238</v>
      </c>
      <c r="E66" s="102" t="s">
        <v>262</v>
      </c>
      <c r="F66" s="102" t="s">
        <v>226</v>
      </c>
      <c r="G66" s="103">
        <v>1236</v>
      </c>
    </row>
    <row r="67" spans="1:7" x14ac:dyDescent="0.25">
      <c r="A67" s="12" t="str">
        <f t="shared" si="0"/>
        <v>Commercial_HVAC_Air-Source Heat Pump_FLHcool_Weighted Average</v>
      </c>
      <c r="B67" t="s">
        <v>550</v>
      </c>
      <c r="C67" t="s">
        <v>163</v>
      </c>
      <c r="D67" t="s">
        <v>238</v>
      </c>
      <c r="E67" s="102" t="s">
        <v>262</v>
      </c>
      <c r="F67" s="102" t="s">
        <v>532</v>
      </c>
      <c r="G67" s="103">
        <v>1230</v>
      </c>
    </row>
    <row r="68" spans="1:7" x14ac:dyDescent="0.25">
      <c r="A68" s="12" t="str">
        <f t="shared" ref="A68:A79" si="6">B68&amp;"_"&amp;C68&amp;"_"&amp;D68&amp;"_"&amp;E68&amp;"_"&amp;F68</f>
        <v>Commercial_HVAC_Ductless Heat Pump_FLH_ASHPheat_1 (Rockford)</v>
      </c>
      <c r="B68" t="s">
        <v>550</v>
      </c>
      <c r="C68" t="s">
        <v>163</v>
      </c>
      <c r="D68" t="s">
        <v>295</v>
      </c>
      <c r="E68" s="102" t="s">
        <v>254</v>
      </c>
      <c r="F68" s="102" t="s">
        <v>531</v>
      </c>
      <c r="G68" s="103">
        <v>1709</v>
      </c>
    </row>
    <row r="69" spans="1:7" x14ac:dyDescent="0.25">
      <c r="A69" s="12" t="str">
        <f t="shared" si="6"/>
        <v>Commercial_HVAC_Ductless Heat Pump_FLH_ASHPheat_2 (Chicago)</v>
      </c>
      <c r="B69" t="s">
        <v>550</v>
      </c>
      <c r="C69" t="s">
        <v>163</v>
      </c>
      <c r="D69" t="s">
        <v>295</v>
      </c>
      <c r="E69" s="102" t="s">
        <v>254</v>
      </c>
      <c r="F69" s="102" t="s">
        <v>223</v>
      </c>
      <c r="G69" s="103">
        <v>1678</v>
      </c>
    </row>
    <row r="70" spans="1:7" x14ac:dyDescent="0.25">
      <c r="A70" s="12" t="str">
        <f t="shared" si="6"/>
        <v>Commercial_HVAC_Ductless Heat Pump_FLH_ASHPheat_3 (Springfield)</v>
      </c>
      <c r="B70" t="s">
        <v>550</v>
      </c>
      <c r="C70" t="s">
        <v>163</v>
      </c>
      <c r="D70" t="s">
        <v>295</v>
      </c>
      <c r="E70" s="102" t="s">
        <v>254</v>
      </c>
      <c r="F70" s="102" t="s">
        <v>224</v>
      </c>
      <c r="G70" s="103">
        <v>1508</v>
      </c>
    </row>
    <row r="71" spans="1:7" x14ac:dyDescent="0.25">
      <c r="A71" s="12" t="str">
        <f t="shared" si="6"/>
        <v>Commercial_HVAC_Ductless Heat Pump_FLH_ASHPheat_4 (Belleville)</v>
      </c>
      <c r="B71" t="s">
        <v>550</v>
      </c>
      <c r="C71" t="s">
        <v>163</v>
      </c>
      <c r="D71" t="s">
        <v>295</v>
      </c>
      <c r="E71" s="102" t="s">
        <v>254</v>
      </c>
      <c r="F71" s="102" t="s">
        <v>225</v>
      </c>
      <c r="G71" s="103">
        <v>1287</v>
      </c>
    </row>
    <row r="72" spans="1:7" x14ac:dyDescent="0.25">
      <c r="A72" s="12" t="str">
        <f t="shared" si="6"/>
        <v>Commercial_HVAC_Ductless Heat Pump_FLH_ASHPheat_5 (Marion)</v>
      </c>
      <c r="B72" t="s">
        <v>550</v>
      </c>
      <c r="C72" t="s">
        <v>163</v>
      </c>
      <c r="D72" t="s">
        <v>295</v>
      </c>
      <c r="E72" s="102" t="s">
        <v>254</v>
      </c>
      <c r="F72" s="102" t="s">
        <v>226</v>
      </c>
      <c r="G72" s="103">
        <v>1411</v>
      </c>
    </row>
    <row r="73" spans="1:7" x14ac:dyDescent="0.25">
      <c r="A73" s="12" t="str">
        <f t="shared" si="6"/>
        <v>Commercial_HVAC_Ductless Heat Pump_FLH_ASHPheat_Weighted Average</v>
      </c>
      <c r="B73" t="s">
        <v>550</v>
      </c>
      <c r="C73" t="s">
        <v>163</v>
      </c>
      <c r="D73" t="s">
        <v>295</v>
      </c>
      <c r="E73" s="102" t="s">
        <v>254</v>
      </c>
      <c r="F73" s="102" t="s">
        <v>532</v>
      </c>
      <c r="G73" s="103">
        <v>1508</v>
      </c>
    </row>
    <row r="74" spans="1:7" x14ac:dyDescent="0.25">
      <c r="A74" s="12" t="str">
        <f t="shared" si="6"/>
        <v>Commercial_HVAC_Ductless Heat Pump_FLHcool_1 (Rockford)</v>
      </c>
      <c r="B74" t="s">
        <v>550</v>
      </c>
      <c r="C74" t="s">
        <v>163</v>
      </c>
      <c r="D74" t="s">
        <v>295</v>
      </c>
      <c r="E74" s="102" t="s">
        <v>262</v>
      </c>
      <c r="F74" s="102" t="s">
        <v>531</v>
      </c>
      <c r="G74" s="103">
        <v>1003</v>
      </c>
    </row>
    <row r="75" spans="1:7" x14ac:dyDescent="0.25">
      <c r="A75" s="12" t="str">
        <f t="shared" si="6"/>
        <v>Commercial_HVAC_Ductless Heat Pump_FLHcool_2 (Chicago)</v>
      </c>
      <c r="B75" t="s">
        <v>550</v>
      </c>
      <c r="C75" t="s">
        <v>163</v>
      </c>
      <c r="D75" t="s">
        <v>295</v>
      </c>
      <c r="E75" s="102" t="s">
        <v>262</v>
      </c>
      <c r="F75" s="102" t="s">
        <v>223</v>
      </c>
      <c r="G75" s="103">
        <v>1019</v>
      </c>
    </row>
    <row r="76" spans="1:7" x14ac:dyDescent="0.25">
      <c r="A76" s="12" t="str">
        <f t="shared" si="6"/>
        <v>Commercial_HVAC_Ductless Heat Pump_FLHcool_3 (Springfield)</v>
      </c>
      <c r="B76" t="s">
        <v>550</v>
      </c>
      <c r="C76" t="s">
        <v>163</v>
      </c>
      <c r="D76" t="s">
        <v>295</v>
      </c>
      <c r="E76" s="102" t="s">
        <v>262</v>
      </c>
      <c r="F76" s="102" t="s">
        <v>224</v>
      </c>
      <c r="G76" s="103">
        <v>1230</v>
      </c>
    </row>
    <row r="77" spans="1:7" x14ac:dyDescent="0.25">
      <c r="A77" s="12" t="str">
        <f t="shared" si="6"/>
        <v>Commercial_HVAC_Ductless Heat Pump_FLHcool_4 (Belleville)</v>
      </c>
      <c r="B77" t="s">
        <v>550</v>
      </c>
      <c r="C77" t="s">
        <v>163</v>
      </c>
      <c r="D77" t="s">
        <v>295</v>
      </c>
      <c r="E77" s="102" t="s">
        <v>262</v>
      </c>
      <c r="F77" s="102" t="s">
        <v>225</v>
      </c>
      <c r="G77" s="103">
        <v>1403</v>
      </c>
    </row>
    <row r="78" spans="1:7" x14ac:dyDescent="0.25">
      <c r="A78" s="12" t="str">
        <f t="shared" si="6"/>
        <v>Commercial_HVAC_Ductless Heat Pump_FLHcool_5 (Marion)</v>
      </c>
      <c r="B78" t="s">
        <v>550</v>
      </c>
      <c r="C78" t="s">
        <v>163</v>
      </c>
      <c r="D78" t="s">
        <v>295</v>
      </c>
      <c r="E78" s="102" t="s">
        <v>262</v>
      </c>
      <c r="F78" s="102" t="s">
        <v>226</v>
      </c>
      <c r="G78" s="103">
        <v>1236</v>
      </c>
    </row>
    <row r="79" spans="1:7" x14ac:dyDescent="0.25">
      <c r="A79" s="12" t="str">
        <f t="shared" si="6"/>
        <v>Commercial_HVAC_Ductless Heat Pump_FLHcool_Weighted Average</v>
      </c>
      <c r="B79" t="s">
        <v>550</v>
      </c>
      <c r="C79" t="s">
        <v>163</v>
      </c>
      <c r="D79" t="s">
        <v>295</v>
      </c>
      <c r="E79" s="102" t="s">
        <v>262</v>
      </c>
      <c r="F79" s="102" t="s">
        <v>532</v>
      </c>
      <c r="G79" s="103">
        <v>1230</v>
      </c>
    </row>
    <row r="80" spans="1:7" x14ac:dyDescent="0.25">
      <c r="A80" s="12" t="str">
        <f t="shared" ref="A80:A85" si="7">B80&amp;"_"&amp;C80&amp;"_"&amp;D80&amp;"_"&amp;E80&amp;"_"&amp;F80</f>
        <v>Residential_HVAC_Gas High Efficiency Furnace_EFLH_1 (Rockford)</v>
      </c>
      <c r="B80" t="s">
        <v>162</v>
      </c>
      <c r="C80" t="s">
        <v>163</v>
      </c>
      <c r="D80" t="s">
        <v>501</v>
      </c>
      <c r="E80" s="102" t="s">
        <v>234</v>
      </c>
      <c r="F80" s="102" t="s">
        <v>531</v>
      </c>
      <c r="G80" s="103">
        <v>1022</v>
      </c>
    </row>
    <row r="81" spans="1:7" x14ac:dyDescent="0.25">
      <c r="A81" s="12" t="str">
        <f t="shared" si="7"/>
        <v>Residential_HVAC_Gas High Efficiency Furnace_EFLH_2 (Chicago)</v>
      </c>
      <c r="B81" t="s">
        <v>162</v>
      </c>
      <c r="C81" t="s">
        <v>163</v>
      </c>
      <c r="D81" t="s">
        <v>501</v>
      </c>
      <c r="E81" s="102" t="s">
        <v>234</v>
      </c>
      <c r="F81" s="102" t="s">
        <v>223</v>
      </c>
      <c r="G81" s="103">
        <v>976</v>
      </c>
    </row>
    <row r="82" spans="1:7" x14ac:dyDescent="0.25">
      <c r="A82" s="12" t="str">
        <f t="shared" si="7"/>
        <v>Residential_HVAC_Gas High Efficiency Furnace_EFLH_3 (Springfield)</v>
      </c>
      <c r="B82" t="s">
        <v>162</v>
      </c>
      <c r="C82" t="s">
        <v>163</v>
      </c>
      <c r="D82" t="s">
        <v>501</v>
      </c>
      <c r="E82" s="102" t="s">
        <v>234</v>
      </c>
      <c r="F82" s="102" t="s">
        <v>224</v>
      </c>
      <c r="G82" s="103">
        <v>836</v>
      </c>
    </row>
    <row r="83" spans="1:7" x14ac:dyDescent="0.25">
      <c r="A83" s="12" t="str">
        <f t="shared" si="7"/>
        <v>Residential_HVAC_Gas High Efficiency Furnace_EFLH_4 (Belleville)</v>
      </c>
      <c r="B83" t="s">
        <v>162</v>
      </c>
      <c r="C83" t="s">
        <v>163</v>
      </c>
      <c r="D83" t="s">
        <v>501</v>
      </c>
      <c r="E83" s="102" t="s">
        <v>234</v>
      </c>
      <c r="F83" s="102" t="s">
        <v>225</v>
      </c>
      <c r="G83" s="103">
        <v>645</v>
      </c>
    </row>
    <row r="84" spans="1:7" x14ac:dyDescent="0.25">
      <c r="A84" s="12" t="str">
        <f t="shared" si="7"/>
        <v>Residential_HVAC_Gas High Efficiency Furnace_EFLH_5 (Marion)</v>
      </c>
      <c r="B84" t="s">
        <v>162</v>
      </c>
      <c r="C84" t="s">
        <v>163</v>
      </c>
      <c r="D84" t="s">
        <v>501</v>
      </c>
      <c r="E84" s="102" t="s">
        <v>234</v>
      </c>
      <c r="F84" s="102" t="s">
        <v>226</v>
      </c>
      <c r="G84" s="103">
        <v>656</v>
      </c>
    </row>
    <row r="85" spans="1:7" x14ac:dyDescent="0.25">
      <c r="A85" s="12" t="str">
        <f t="shared" si="7"/>
        <v>Residential_HVAC_Gas High Efficiency Furnace_EFLH_Weighted Average</v>
      </c>
      <c r="B85" t="s">
        <v>162</v>
      </c>
      <c r="C85" t="s">
        <v>163</v>
      </c>
      <c r="D85" t="s">
        <v>501</v>
      </c>
      <c r="E85" s="102" t="s">
        <v>234</v>
      </c>
      <c r="F85" s="102" t="s">
        <v>532</v>
      </c>
      <c r="G85" s="103">
        <v>928</v>
      </c>
    </row>
    <row r="86" spans="1:7" x14ac:dyDescent="0.25">
      <c r="A86" s="12" t="str">
        <f t="shared" ref="A86:A97" si="8">B86&amp;"_"&amp;C86&amp;"_"&amp;D86&amp;"_"&amp;E86&amp;"_"&amp;F86</f>
        <v>Residential_HVAC_Gas High Efficiency Boiler_EFLH_1 (Rockford)</v>
      </c>
      <c r="B86" t="s">
        <v>162</v>
      </c>
      <c r="C86" t="s">
        <v>163</v>
      </c>
      <c r="D86" t="s">
        <v>512</v>
      </c>
      <c r="E86" s="102" t="s">
        <v>234</v>
      </c>
      <c r="F86" s="102" t="s">
        <v>531</v>
      </c>
      <c r="G86" s="103">
        <v>1022</v>
      </c>
    </row>
    <row r="87" spans="1:7" x14ac:dyDescent="0.25">
      <c r="A87" s="12" t="str">
        <f t="shared" si="8"/>
        <v>Residential_HVAC_Gas High Efficiency Boiler_EFLH_2 (Chicago)</v>
      </c>
      <c r="B87" t="s">
        <v>162</v>
      </c>
      <c r="C87" t="s">
        <v>163</v>
      </c>
      <c r="D87" t="s">
        <v>512</v>
      </c>
      <c r="E87" s="102" t="s">
        <v>234</v>
      </c>
      <c r="F87" s="102" t="s">
        <v>223</v>
      </c>
      <c r="G87" s="103">
        <v>976</v>
      </c>
    </row>
    <row r="88" spans="1:7" x14ac:dyDescent="0.25">
      <c r="A88" s="12" t="str">
        <f t="shared" si="8"/>
        <v>Residential_HVAC_Gas High Efficiency Boiler_EFLH_3 (Springfield)</v>
      </c>
      <c r="B88" t="s">
        <v>162</v>
      </c>
      <c r="C88" t="s">
        <v>163</v>
      </c>
      <c r="D88" t="s">
        <v>512</v>
      </c>
      <c r="E88" s="102" t="s">
        <v>234</v>
      </c>
      <c r="F88" s="102" t="s">
        <v>224</v>
      </c>
      <c r="G88" s="103">
        <v>836</v>
      </c>
    </row>
    <row r="89" spans="1:7" x14ac:dyDescent="0.25">
      <c r="A89" s="12" t="str">
        <f t="shared" si="8"/>
        <v>Residential_HVAC_Gas High Efficiency Boiler_EFLH_4 (Belleville)</v>
      </c>
      <c r="B89" t="s">
        <v>162</v>
      </c>
      <c r="C89" t="s">
        <v>163</v>
      </c>
      <c r="D89" t="s">
        <v>512</v>
      </c>
      <c r="E89" s="102" t="s">
        <v>234</v>
      </c>
      <c r="F89" s="102" t="s">
        <v>225</v>
      </c>
      <c r="G89" s="103">
        <v>645</v>
      </c>
    </row>
    <row r="90" spans="1:7" x14ac:dyDescent="0.25">
      <c r="A90" s="12" t="str">
        <f t="shared" si="8"/>
        <v>Residential_HVAC_Gas High Efficiency Boiler_EFLH_5 (Marion)</v>
      </c>
      <c r="B90" t="s">
        <v>162</v>
      </c>
      <c r="C90" t="s">
        <v>163</v>
      </c>
      <c r="D90" t="s">
        <v>512</v>
      </c>
      <c r="E90" s="102" t="s">
        <v>234</v>
      </c>
      <c r="F90" s="102" t="s">
        <v>226</v>
      </c>
      <c r="G90" s="103">
        <v>656</v>
      </c>
    </row>
    <row r="91" spans="1:7" x14ac:dyDescent="0.25">
      <c r="A91" s="12" t="str">
        <f t="shared" si="8"/>
        <v>Residential_HVAC_Gas High Efficiency Boiler_EFLH_Weighted Average</v>
      </c>
      <c r="B91" t="s">
        <v>162</v>
      </c>
      <c r="C91" t="s">
        <v>163</v>
      </c>
      <c r="D91" t="s">
        <v>512</v>
      </c>
      <c r="E91" s="102" t="s">
        <v>234</v>
      </c>
      <c r="F91" s="102" t="s">
        <v>532</v>
      </c>
      <c r="G91" s="103">
        <v>928</v>
      </c>
    </row>
    <row r="92" spans="1:7" x14ac:dyDescent="0.25">
      <c r="A92" s="12" t="str">
        <f t="shared" si="8"/>
        <v>Residential_HVAC_Furnace_EFLH_1 (Rockford)</v>
      </c>
      <c r="B92" t="s">
        <v>162</v>
      </c>
      <c r="C92" t="s">
        <v>163</v>
      </c>
      <c r="D92" t="s">
        <v>54</v>
      </c>
      <c r="E92" s="102" t="s">
        <v>234</v>
      </c>
      <c r="F92" s="102" t="s">
        <v>531</v>
      </c>
      <c r="G92" s="103">
        <v>1022</v>
      </c>
    </row>
    <row r="93" spans="1:7" x14ac:dyDescent="0.25">
      <c r="A93" s="12" t="str">
        <f t="shared" si="8"/>
        <v>Residential_HVAC_Furnace_EFLH_2 (Chicago)</v>
      </c>
      <c r="B93" t="s">
        <v>162</v>
      </c>
      <c r="C93" t="s">
        <v>163</v>
      </c>
      <c r="D93" t="s">
        <v>54</v>
      </c>
      <c r="E93" s="102" t="s">
        <v>234</v>
      </c>
      <c r="F93" s="102" t="s">
        <v>223</v>
      </c>
      <c r="G93" s="103">
        <v>976</v>
      </c>
    </row>
    <row r="94" spans="1:7" x14ac:dyDescent="0.25">
      <c r="A94" s="12" t="str">
        <f t="shared" si="8"/>
        <v>Residential_HVAC_Furnace_EFLH_3 (Springfield)</v>
      </c>
      <c r="B94" t="s">
        <v>162</v>
      </c>
      <c r="C94" t="s">
        <v>163</v>
      </c>
      <c r="D94" t="s">
        <v>54</v>
      </c>
      <c r="E94" s="102" t="s">
        <v>234</v>
      </c>
      <c r="F94" s="102" t="s">
        <v>224</v>
      </c>
      <c r="G94" s="103">
        <v>836</v>
      </c>
    </row>
    <row r="95" spans="1:7" x14ac:dyDescent="0.25">
      <c r="A95" s="12" t="str">
        <f t="shared" si="8"/>
        <v>Residential_HVAC_Furnace_EFLH_4 (Belleville)</v>
      </c>
      <c r="B95" t="s">
        <v>162</v>
      </c>
      <c r="C95" t="s">
        <v>163</v>
      </c>
      <c r="D95" t="s">
        <v>54</v>
      </c>
      <c r="E95" s="102" t="s">
        <v>234</v>
      </c>
      <c r="F95" s="102" t="s">
        <v>225</v>
      </c>
      <c r="G95" s="103">
        <v>645</v>
      </c>
    </row>
    <row r="96" spans="1:7" x14ac:dyDescent="0.25">
      <c r="A96" s="12" t="str">
        <f t="shared" si="8"/>
        <v>Residential_HVAC_Furnace_EFLH_5 (Marion)</v>
      </c>
      <c r="B96" t="s">
        <v>162</v>
      </c>
      <c r="C96" t="s">
        <v>163</v>
      </c>
      <c r="D96" t="s">
        <v>54</v>
      </c>
      <c r="E96" s="102" t="s">
        <v>234</v>
      </c>
      <c r="F96" s="102" t="s">
        <v>226</v>
      </c>
      <c r="G96" s="103">
        <v>656</v>
      </c>
    </row>
    <row r="97" spans="1:7" x14ac:dyDescent="0.25">
      <c r="A97" s="12" t="str">
        <f t="shared" si="8"/>
        <v>Residential_HVAC_Furnace_EFLH_Weighted Average</v>
      </c>
      <c r="B97" t="s">
        <v>162</v>
      </c>
      <c r="C97" t="s">
        <v>163</v>
      </c>
      <c r="D97" t="s">
        <v>54</v>
      </c>
      <c r="E97" s="102" t="s">
        <v>234</v>
      </c>
      <c r="F97" s="102" t="s">
        <v>532</v>
      </c>
      <c r="G97" s="103">
        <v>928</v>
      </c>
    </row>
    <row r="98" spans="1:7" x14ac:dyDescent="0.25">
      <c r="A98" s="12" t="str">
        <f t="shared" ref="A98:A104" si="9">B98&amp;"_"&amp;C98&amp;"_"&amp;D98&amp;"_"&amp;E98&amp;"_"&amp;F98</f>
        <v>Residential_HVAC_Boiler_EFLH_1 (Rockford)</v>
      </c>
      <c r="B98" t="s">
        <v>162</v>
      </c>
      <c r="C98" t="s">
        <v>163</v>
      </c>
      <c r="D98" t="s">
        <v>293</v>
      </c>
      <c r="E98" s="102" t="s">
        <v>234</v>
      </c>
      <c r="F98" s="102" t="s">
        <v>531</v>
      </c>
      <c r="G98" s="103">
        <v>1022</v>
      </c>
    </row>
    <row r="99" spans="1:7" x14ac:dyDescent="0.25">
      <c r="A99" s="12" t="str">
        <f t="shared" si="9"/>
        <v>Residential_HVAC_Boiler_EFLH_2 (Chicago)</v>
      </c>
      <c r="B99" t="s">
        <v>162</v>
      </c>
      <c r="C99" t="s">
        <v>163</v>
      </c>
      <c r="D99" t="s">
        <v>293</v>
      </c>
      <c r="E99" s="102" t="s">
        <v>234</v>
      </c>
      <c r="F99" s="102" t="s">
        <v>223</v>
      </c>
      <c r="G99" s="103">
        <v>976</v>
      </c>
    </row>
    <row r="100" spans="1:7" x14ac:dyDescent="0.25">
      <c r="A100" s="12" t="str">
        <f t="shared" si="9"/>
        <v>Residential_HVAC_Boiler_EFLH_3 (Springfield)</v>
      </c>
      <c r="B100" t="s">
        <v>162</v>
      </c>
      <c r="C100" t="s">
        <v>163</v>
      </c>
      <c r="D100" t="s">
        <v>293</v>
      </c>
      <c r="E100" s="102" t="s">
        <v>234</v>
      </c>
      <c r="F100" s="102" t="s">
        <v>224</v>
      </c>
      <c r="G100" s="103">
        <v>836</v>
      </c>
    </row>
    <row r="101" spans="1:7" x14ac:dyDescent="0.25">
      <c r="A101" s="12" t="str">
        <f t="shared" si="9"/>
        <v>Residential_HVAC_Boiler_EFLH_4 (Belleville)</v>
      </c>
      <c r="B101" t="s">
        <v>162</v>
      </c>
      <c r="C101" t="s">
        <v>163</v>
      </c>
      <c r="D101" t="s">
        <v>293</v>
      </c>
      <c r="E101" s="102" t="s">
        <v>234</v>
      </c>
      <c r="F101" s="102" t="s">
        <v>225</v>
      </c>
      <c r="G101" s="103">
        <v>645</v>
      </c>
    </row>
    <row r="102" spans="1:7" x14ac:dyDescent="0.25">
      <c r="A102" s="12" t="str">
        <f t="shared" si="9"/>
        <v>Residential_HVAC_Boiler_EFLH_5 (Marion)</v>
      </c>
      <c r="B102" t="s">
        <v>162</v>
      </c>
      <c r="C102" t="s">
        <v>163</v>
      </c>
      <c r="D102" t="s">
        <v>293</v>
      </c>
      <c r="E102" s="102" t="s">
        <v>234</v>
      </c>
      <c r="F102" s="102" t="s">
        <v>226</v>
      </c>
      <c r="G102" s="103">
        <v>656</v>
      </c>
    </row>
    <row r="103" spans="1:7" x14ac:dyDescent="0.25">
      <c r="A103" s="12" t="str">
        <f t="shared" si="9"/>
        <v>Residential_HVAC_Boiler_EFLH_Weighted Average</v>
      </c>
      <c r="B103" t="s">
        <v>162</v>
      </c>
      <c r="C103" t="s">
        <v>163</v>
      </c>
      <c r="D103" t="s">
        <v>293</v>
      </c>
      <c r="E103" s="102" t="s">
        <v>234</v>
      </c>
      <c r="F103" s="102" t="s">
        <v>532</v>
      </c>
      <c r="G103" s="103">
        <v>928</v>
      </c>
    </row>
    <row r="104" spans="1:7" x14ac:dyDescent="0.25">
      <c r="A104" s="12" t="str">
        <f t="shared" si="9"/>
        <v>Residential_HVAC_Air-Source Heat Pump_HSPF2_ClimateAdj_1 (Rockford)</v>
      </c>
      <c r="B104" t="s">
        <v>162</v>
      </c>
      <c r="C104" t="s">
        <v>163</v>
      </c>
      <c r="D104" t="s">
        <v>238</v>
      </c>
      <c r="E104" s="102" t="s">
        <v>256</v>
      </c>
      <c r="F104" s="102" t="s">
        <v>531</v>
      </c>
      <c r="G104" s="103">
        <v>0.77</v>
      </c>
    </row>
    <row r="105" spans="1:7" x14ac:dyDescent="0.25">
      <c r="A105" s="12" t="str">
        <f t="shared" ref="A105:A110" si="10">B105&amp;"_"&amp;C105&amp;"_"&amp;D105&amp;"_"&amp;E105&amp;"_"&amp;F105</f>
        <v>Residential_HVAC_Air-Source Heat Pump_HSPF2_ClimateAdj_2 (Chicago)</v>
      </c>
      <c r="B105" t="s">
        <v>162</v>
      </c>
      <c r="C105" t="s">
        <v>163</v>
      </c>
      <c r="D105" t="s">
        <v>238</v>
      </c>
      <c r="E105" s="102" t="s">
        <v>256</v>
      </c>
      <c r="F105" s="102" t="s">
        <v>223</v>
      </c>
      <c r="G105" s="103">
        <v>0.77</v>
      </c>
    </row>
    <row r="106" spans="1:7" x14ac:dyDescent="0.25">
      <c r="A106" s="12" t="str">
        <f t="shared" si="10"/>
        <v>Residential_HVAC_Air-Source Heat Pump_HSPF2_ClimateAdj_3 (Springfield)</v>
      </c>
      <c r="B106" t="s">
        <v>162</v>
      </c>
      <c r="C106" t="s">
        <v>163</v>
      </c>
      <c r="D106" t="s">
        <v>238</v>
      </c>
      <c r="E106" s="102" t="s">
        <v>256</v>
      </c>
      <c r="F106" s="102" t="s">
        <v>224</v>
      </c>
      <c r="G106" s="103">
        <v>0.91</v>
      </c>
    </row>
    <row r="107" spans="1:7" x14ac:dyDescent="0.25">
      <c r="A107" s="12" t="str">
        <f t="shared" si="10"/>
        <v>Residential_HVAC_Air-Source Heat Pump_HSPF2_ClimateAdj_4 (Belleville)</v>
      </c>
      <c r="B107" t="s">
        <v>162</v>
      </c>
      <c r="C107" t="s">
        <v>163</v>
      </c>
      <c r="D107" t="s">
        <v>238</v>
      </c>
      <c r="E107" s="102" t="s">
        <v>256</v>
      </c>
      <c r="F107" s="102" t="s">
        <v>225</v>
      </c>
      <c r="G107" s="103">
        <v>0.91</v>
      </c>
    </row>
    <row r="108" spans="1:7" x14ac:dyDescent="0.25">
      <c r="A108" s="12" t="str">
        <f t="shared" si="10"/>
        <v>Residential_HVAC_Air-Source Heat Pump_HSPF2_ClimateAdj_5 (Marion)</v>
      </c>
      <c r="B108" t="s">
        <v>162</v>
      </c>
      <c r="C108" t="s">
        <v>163</v>
      </c>
      <c r="D108" t="s">
        <v>238</v>
      </c>
      <c r="E108" s="102" t="s">
        <v>256</v>
      </c>
      <c r="F108" s="102" t="s">
        <v>226</v>
      </c>
      <c r="G108" s="103">
        <v>0.91</v>
      </c>
    </row>
    <row r="109" spans="1:7" x14ac:dyDescent="0.25">
      <c r="A109" s="12" t="str">
        <f t="shared" si="10"/>
        <v>Residential_HVAC_Air-Source Heat Pump_HSPF2_ClimateAdj_Weighted Average</v>
      </c>
      <c r="B109" t="s">
        <v>162</v>
      </c>
      <c r="C109" t="s">
        <v>163</v>
      </c>
      <c r="D109" t="s">
        <v>238</v>
      </c>
      <c r="E109" s="102" t="s">
        <v>256</v>
      </c>
      <c r="F109" s="102" t="s">
        <v>532</v>
      </c>
      <c r="G109" s="103">
        <v>0.89</v>
      </c>
    </row>
    <row r="110" spans="1:7" x14ac:dyDescent="0.25">
      <c r="A110" s="12" t="str">
        <f t="shared" si="10"/>
        <v>Residential_HVAC_Ductless Heat Pump_HSPF2_ClimateAdj_1 (Rockford)</v>
      </c>
      <c r="B110" t="s">
        <v>162</v>
      </c>
      <c r="C110" t="s">
        <v>163</v>
      </c>
      <c r="D110" t="s">
        <v>295</v>
      </c>
      <c r="E110" s="102" t="s">
        <v>256</v>
      </c>
      <c r="F110" s="102" t="s">
        <v>531</v>
      </c>
      <c r="G110" s="103">
        <v>0.77</v>
      </c>
    </row>
    <row r="111" spans="1:7" x14ac:dyDescent="0.25">
      <c r="A111" s="12" t="str">
        <f t="shared" ref="A111:A115" si="11">B111&amp;"_"&amp;C111&amp;"_"&amp;D111&amp;"_"&amp;E111&amp;"_"&amp;F111</f>
        <v>Residential_HVAC_Ductless Heat Pump_HSPF2_ClimateAdj_2 (Chicago)</v>
      </c>
      <c r="B111" t="s">
        <v>162</v>
      </c>
      <c r="C111" t="s">
        <v>163</v>
      </c>
      <c r="D111" t="s">
        <v>295</v>
      </c>
      <c r="E111" s="102" t="s">
        <v>256</v>
      </c>
      <c r="F111" s="102" t="s">
        <v>223</v>
      </c>
      <c r="G111" s="103">
        <v>0.77</v>
      </c>
    </row>
    <row r="112" spans="1:7" x14ac:dyDescent="0.25">
      <c r="A112" s="12" t="str">
        <f t="shared" si="11"/>
        <v>Residential_HVAC_Ductless Heat Pump_HSPF2_ClimateAdj_3 (Springfield)</v>
      </c>
      <c r="B112" t="s">
        <v>162</v>
      </c>
      <c r="C112" t="s">
        <v>163</v>
      </c>
      <c r="D112" t="s">
        <v>295</v>
      </c>
      <c r="E112" s="102" t="s">
        <v>256</v>
      </c>
      <c r="F112" s="102" t="s">
        <v>224</v>
      </c>
      <c r="G112" s="103">
        <v>0.91</v>
      </c>
    </row>
    <row r="113" spans="1:7" x14ac:dyDescent="0.25">
      <c r="A113" s="12" t="str">
        <f t="shared" si="11"/>
        <v>Residential_HVAC_Ductless Heat Pump_HSPF2_ClimateAdj_4 (Belleville)</v>
      </c>
      <c r="B113" t="s">
        <v>162</v>
      </c>
      <c r="C113" t="s">
        <v>163</v>
      </c>
      <c r="D113" t="s">
        <v>295</v>
      </c>
      <c r="E113" s="102" t="s">
        <v>256</v>
      </c>
      <c r="F113" s="102" t="s">
        <v>225</v>
      </c>
      <c r="G113" s="103">
        <v>0.91</v>
      </c>
    </row>
    <row r="114" spans="1:7" x14ac:dyDescent="0.25">
      <c r="A114" s="12" t="str">
        <f t="shared" si="11"/>
        <v>Residential_HVAC_Ductless Heat Pump_HSPF2_ClimateAdj_5 (Marion)</v>
      </c>
      <c r="B114" t="s">
        <v>162</v>
      </c>
      <c r="C114" t="s">
        <v>163</v>
      </c>
      <c r="D114" t="s">
        <v>295</v>
      </c>
      <c r="E114" s="102" t="s">
        <v>256</v>
      </c>
      <c r="F114" s="102" t="s">
        <v>226</v>
      </c>
      <c r="G114" s="103">
        <v>0.91</v>
      </c>
    </row>
    <row r="115" spans="1:7" x14ac:dyDescent="0.25">
      <c r="A115" s="12" t="str">
        <f t="shared" si="11"/>
        <v>Residential_HVAC_Ductless Heat Pump_HSPF2_ClimateAdj_Weighted Average</v>
      </c>
      <c r="B115" t="s">
        <v>162</v>
      </c>
      <c r="C115" t="s">
        <v>163</v>
      </c>
      <c r="D115" t="s">
        <v>295</v>
      </c>
      <c r="E115" s="102" t="s">
        <v>256</v>
      </c>
      <c r="F115" s="102" t="s">
        <v>532</v>
      </c>
      <c r="G115" s="103">
        <v>0.89</v>
      </c>
    </row>
    <row r="116" spans="1:7" x14ac:dyDescent="0.25">
      <c r="A116" s="12" t="str">
        <f>B116&amp;"_"&amp;C116&amp;"_"&amp;D116&amp;"_"&amp;E116&amp;"_"&amp;F116</f>
        <v>Residential_Building Shell_Ceiling/Attic Insulation #1 (Fossil Fuel Heat)_CDD_1 (Rockford)</v>
      </c>
      <c r="B116" t="s">
        <v>162</v>
      </c>
      <c r="C116" t="s">
        <v>167</v>
      </c>
      <c r="D116" t="s">
        <v>180</v>
      </c>
      <c r="E116" s="102" t="s">
        <v>421</v>
      </c>
      <c r="F116" s="102" t="s">
        <v>531</v>
      </c>
      <c r="G116" s="220">
        <v>877</v>
      </c>
    </row>
    <row r="117" spans="1:7" x14ac:dyDescent="0.25">
      <c r="A117" s="12" t="str">
        <f t="shared" ref="A117:A121" si="12">B117&amp;"_"&amp;C117&amp;"_"&amp;D117&amp;"_"&amp;E117&amp;"_"&amp;F117</f>
        <v>Residential_Building Shell_Ceiling/Attic Insulation #1 (Fossil Fuel Heat)_CDD_2 (Chicago)</v>
      </c>
      <c r="B117" t="s">
        <v>162</v>
      </c>
      <c r="C117" t="s">
        <v>167</v>
      </c>
      <c r="D117" t="s">
        <v>180</v>
      </c>
      <c r="E117" s="102" t="s">
        <v>421</v>
      </c>
      <c r="F117" s="102" t="s">
        <v>223</v>
      </c>
      <c r="G117" s="220">
        <v>1047</v>
      </c>
    </row>
    <row r="118" spans="1:7" x14ac:dyDescent="0.25">
      <c r="A118" s="12" t="str">
        <f t="shared" si="12"/>
        <v>Residential_Building Shell_Ceiling/Attic Insulation #1 (Fossil Fuel Heat)_CDD_3 (Springfield)</v>
      </c>
      <c r="B118" t="s">
        <v>162</v>
      </c>
      <c r="C118" t="s">
        <v>167</v>
      </c>
      <c r="D118" t="s">
        <v>180</v>
      </c>
      <c r="E118" s="102" t="s">
        <v>421</v>
      </c>
      <c r="F118" s="102" t="s">
        <v>224</v>
      </c>
      <c r="G118" s="220">
        <v>1183</v>
      </c>
    </row>
    <row r="119" spans="1:7" x14ac:dyDescent="0.25">
      <c r="A119" s="12" t="str">
        <f t="shared" si="12"/>
        <v>Residential_Building Shell_Ceiling/Attic Insulation #1 (Fossil Fuel Heat)_CDD_4 (Belleville)</v>
      </c>
      <c r="B119" t="s">
        <v>162</v>
      </c>
      <c r="C119" t="s">
        <v>167</v>
      </c>
      <c r="D119" t="s">
        <v>180</v>
      </c>
      <c r="E119" s="102" t="s">
        <v>421</v>
      </c>
      <c r="F119" s="102" t="s">
        <v>225</v>
      </c>
      <c r="G119" s="220">
        <v>1641</v>
      </c>
    </row>
    <row r="120" spans="1:7" x14ac:dyDescent="0.25">
      <c r="A120" s="12" t="str">
        <f t="shared" si="12"/>
        <v>Residential_Building Shell_Ceiling/Attic Insulation #1 (Fossil Fuel Heat)_CDD_5 (Marion)</v>
      </c>
      <c r="B120" t="s">
        <v>162</v>
      </c>
      <c r="C120" t="s">
        <v>167</v>
      </c>
      <c r="D120" t="s">
        <v>180</v>
      </c>
      <c r="E120" s="102" t="s">
        <v>421</v>
      </c>
      <c r="F120" s="102" t="s">
        <v>226</v>
      </c>
      <c r="G120" s="220">
        <v>1450</v>
      </c>
    </row>
    <row r="121" spans="1:7" x14ac:dyDescent="0.25">
      <c r="A121" s="12" t="str">
        <f t="shared" si="12"/>
        <v>Residential_Building Shell_Ceiling/Attic Insulation #1 (Fossil Fuel Heat)_CDD_Weighted Average</v>
      </c>
      <c r="B121" t="s">
        <v>162</v>
      </c>
      <c r="C121" t="s">
        <v>167</v>
      </c>
      <c r="D121" t="s">
        <v>180</v>
      </c>
      <c r="E121" s="102" t="s">
        <v>421</v>
      </c>
      <c r="F121" s="102" t="s">
        <v>532</v>
      </c>
      <c r="G121" s="220">
        <v>1098</v>
      </c>
    </row>
    <row r="122" spans="1:7" x14ac:dyDescent="0.25">
      <c r="A122" s="12" t="str">
        <f>B122&amp;"_"&amp;C122&amp;"_"&amp;D122&amp;"_"&amp;E122&amp;"_"&amp;F122</f>
        <v>Residential_Building Shell_Ceiling/Attic Insulation #1 (Fossil Fuel Heat)_HDD_1 (Rockford)</v>
      </c>
      <c r="B122" t="s">
        <v>162</v>
      </c>
      <c r="C122" t="s">
        <v>167</v>
      </c>
      <c r="D122" t="s">
        <v>180</v>
      </c>
      <c r="E122" s="102" t="s">
        <v>433</v>
      </c>
      <c r="F122" s="102" t="s">
        <v>531</v>
      </c>
      <c r="G122" s="220">
        <v>5230</v>
      </c>
    </row>
    <row r="123" spans="1:7" x14ac:dyDescent="0.25">
      <c r="A123" s="12" t="str">
        <f t="shared" ref="A123:A127" si="13">B123&amp;"_"&amp;C123&amp;"_"&amp;D123&amp;"_"&amp;E123&amp;"_"&amp;F123</f>
        <v>Residential_Building Shell_Ceiling/Attic Insulation #1 (Fossil Fuel Heat)_HDD_2 (Chicago)</v>
      </c>
      <c r="B123" t="s">
        <v>162</v>
      </c>
      <c r="C123" t="s">
        <v>167</v>
      </c>
      <c r="D123" t="s">
        <v>180</v>
      </c>
      <c r="E123" s="102" t="s">
        <v>433</v>
      </c>
      <c r="F123" s="102" t="s">
        <v>223</v>
      </c>
      <c r="G123" s="220">
        <v>4798</v>
      </c>
    </row>
    <row r="124" spans="1:7" x14ac:dyDescent="0.25">
      <c r="A124" s="12" t="str">
        <f t="shared" si="13"/>
        <v>Residential_Building Shell_Ceiling/Attic Insulation #1 (Fossil Fuel Heat)_HDD_3 (Springfield)</v>
      </c>
      <c r="B124" t="s">
        <v>162</v>
      </c>
      <c r="C124" t="s">
        <v>167</v>
      </c>
      <c r="D124" t="s">
        <v>180</v>
      </c>
      <c r="E124" s="102" t="s">
        <v>433</v>
      </c>
      <c r="F124" s="102" t="s">
        <v>224</v>
      </c>
      <c r="G124" s="220">
        <v>4266</v>
      </c>
    </row>
    <row r="125" spans="1:7" x14ac:dyDescent="0.25">
      <c r="A125" s="12" t="str">
        <f t="shared" si="13"/>
        <v>Residential_Building Shell_Ceiling/Attic Insulation #1 (Fossil Fuel Heat)_HDD_4 (Belleville)</v>
      </c>
      <c r="B125" t="s">
        <v>162</v>
      </c>
      <c r="C125" t="s">
        <v>167</v>
      </c>
      <c r="D125" t="s">
        <v>180</v>
      </c>
      <c r="E125" s="102" t="s">
        <v>433</v>
      </c>
      <c r="F125" s="102" t="s">
        <v>225</v>
      </c>
      <c r="G125" s="220">
        <v>3188</v>
      </c>
    </row>
    <row r="126" spans="1:7" x14ac:dyDescent="0.25">
      <c r="A126" s="12" t="str">
        <f t="shared" si="13"/>
        <v>Residential_Building Shell_Ceiling/Attic Insulation #1 (Fossil Fuel Heat)_HDD_5 (Marion)</v>
      </c>
      <c r="B126" t="s">
        <v>162</v>
      </c>
      <c r="C126" t="s">
        <v>167</v>
      </c>
      <c r="D126" t="s">
        <v>180</v>
      </c>
      <c r="E126" s="102" t="s">
        <v>433</v>
      </c>
      <c r="F126" s="102" t="s">
        <v>226</v>
      </c>
      <c r="G126" s="220">
        <v>3390</v>
      </c>
    </row>
    <row r="127" spans="1:7" x14ac:dyDescent="0.25">
      <c r="A127" s="12" t="str">
        <f t="shared" si="13"/>
        <v>Residential_Building Shell_Ceiling/Attic Insulation #1 (Fossil Fuel Heat)_HDD_Weighted Average</v>
      </c>
      <c r="B127" t="s">
        <v>162</v>
      </c>
      <c r="C127" t="s">
        <v>167</v>
      </c>
      <c r="D127" t="s">
        <v>180</v>
      </c>
      <c r="E127" s="102" t="s">
        <v>433</v>
      </c>
      <c r="F127" s="102" t="s">
        <v>532</v>
      </c>
      <c r="G127" s="220">
        <v>4631</v>
      </c>
    </row>
    <row r="128" spans="1:7" x14ac:dyDescent="0.25">
      <c r="A128" s="12" t="str">
        <f>B128&amp;"_"&amp;C128&amp;"_"&amp;D128&amp;"_"&amp;E128&amp;"_"&amp;F128</f>
        <v>Residential_Building Shell_Ceiling/Attic Insulation #1 (Fossil Fuel Heat)_FLH_cooling_1 (Rockford)</v>
      </c>
      <c r="B128" t="s">
        <v>162</v>
      </c>
      <c r="C128" t="s">
        <v>167</v>
      </c>
      <c r="D128" t="s">
        <v>180</v>
      </c>
      <c r="E128" s="102" t="s">
        <v>442</v>
      </c>
      <c r="F128" s="102" t="s">
        <v>531</v>
      </c>
      <c r="G128" s="220">
        <v>547</v>
      </c>
    </row>
    <row r="129" spans="1:7" x14ac:dyDescent="0.25">
      <c r="A129" s="12" t="str">
        <f t="shared" ref="A129:A133" si="14">B129&amp;"_"&amp;C129&amp;"_"&amp;D129&amp;"_"&amp;E129&amp;"_"&amp;F129</f>
        <v>Residential_Building Shell_Ceiling/Attic Insulation #1 (Fossil Fuel Heat)_FLH_cooling_2 (Chicago)</v>
      </c>
      <c r="B129" t="s">
        <v>162</v>
      </c>
      <c r="C129" t="s">
        <v>167</v>
      </c>
      <c r="D129" t="s">
        <v>180</v>
      </c>
      <c r="E129" s="102" t="s">
        <v>442</v>
      </c>
      <c r="F129" s="102" t="s">
        <v>223</v>
      </c>
      <c r="G129" s="220">
        <v>709</v>
      </c>
    </row>
    <row r="130" spans="1:7" x14ac:dyDescent="0.25">
      <c r="A130" s="12" t="str">
        <f t="shared" si="14"/>
        <v>Residential_Building Shell_Ceiling/Attic Insulation #1 (Fossil Fuel Heat)_FLH_cooling_3 (Springfield)</v>
      </c>
      <c r="B130" t="s">
        <v>162</v>
      </c>
      <c r="C130" t="s">
        <v>167</v>
      </c>
      <c r="D130" t="s">
        <v>180</v>
      </c>
      <c r="E130" s="102" t="s">
        <v>442</v>
      </c>
      <c r="F130" s="102" t="s">
        <v>224</v>
      </c>
      <c r="G130" s="220">
        <v>779</v>
      </c>
    </row>
    <row r="131" spans="1:7" x14ac:dyDescent="0.25">
      <c r="A131" s="12" t="str">
        <f t="shared" si="14"/>
        <v>Residential_Building Shell_Ceiling/Attic Insulation #1 (Fossil Fuel Heat)_FLH_cooling_4 (Belleville)</v>
      </c>
      <c r="B131" t="s">
        <v>162</v>
      </c>
      <c r="C131" t="s">
        <v>167</v>
      </c>
      <c r="D131" t="s">
        <v>180</v>
      </c>
      <c r="E131" s="102" t="s">
        <v>442</v>
      </c>
      <c r="F131" s="102" t="s">
        <v>225</v>
      </c>
      <c r="G131" s="220">
        <v>1082</v>
      </c>
    </row>
    <row r="132" spans="1:7" x14ac:dyDescent="0.25">
      <c r="A132" s="12" t="str">
        <f t="shared" si="14"/>
        <v>Residential_Building Shell_Ceiling/Attic Insulation #1 (Fossil Fuel Heat)_FLH_cooling_5 (Marion)</v>
      </c>
      <c r="B132" t="s">
        <v>162</v>
      </c>
      <c r="C132" t="s">
        <v>167</v>
      </c>
      <c r="D132" t="s">
        <v>180</v>
      </c>
      <c r="E132" s="102" t="s">
        <v>442</v>
      </c>
      <c r="F132" s="102" t="s">
        <v>226</v>
      </c>
      <c r="G132" s="220">
        <v>956</v>
      </c>
    </row>
    <row r="133" spans="1:7" x14ac:dyDescent="0.25">
      <c r="A133" s="12" t="str">
        <f t="shared" si="14"/>
        <v>Residential_Building Shell_Ceiling/Attic Insulation #1 (Fossil Fuel Heat)_FLH_cooling_Weighted Average</v>
      </c>
      <c r="B133" t="s">
        <v>162</v>
      </c>
      <c r="C133" t="s">
        <v>167</v>
      </c>
      <c r="D133" t="s">
        <v>180</v>
      </c>
      <c r="E133" s="102" t="s">
        <v>442</v>
      </c>
      <c r="F133" s="102" t="s">
        <v>532</v>
      </c>
      <c r="G133" s="220">
        <v>875</v>
      </c>
    </row>
    <row r="134" spans="1:7" x14ac:dyDescent="0.25">
      <c r="A134" s="12" t="str">
        <f>B134&amp;"_"&amp;C134&amp;"_"&amp;D134&amp;"_"&amp;E134&amp;"_"&amp;F134</f>
        <v>Residential_Building Shell_Ceiling/Attic Insulation #2 (Fossil Fuel Heat)_CDD_1 (Rockford)</v>
      </c>
      <c r="B134" t="s">
        <v>162</v>
      </c>
      <c r="C134" t="s">
        <v>167</v>
      </c>
      <c r="D134" t="s">
        <v>181</v>
      </c>
      <c r="E134" s="102" t="s">
        <v>421</v>
      </c>
      <c r="F134" s="102" t="s">
        <v>531</v>
      </c>
      <c r="G134" s="220">
        <v>877</v>
      </c>
    </row>
    <row r="135" spans="1:7" x14ac:dyDescent="0.25">
      <c r="A135" s="12" t="str">
        <f t="shared" ref="A135:A139" si="15">B135&amp;"_"&amp;C135&amp;"_"&amp;D135&amp;"_"&amp;E135&amp;"_"&amp;F135</f>
        <v>Residential_Building Shell_Ceiling/Attic Insulation #2 (Fossil Fuel Heat)_CDD_2 (Chicago)</v>
      </c>
      <c r="B135" t="s">
        <v>162</v>
      </c>
      <c r="C135" t="s">
        <v>167</v>
      </c>
      <c r="D135" t="s">
        <v>181</v>
      </c>
      <c r="E135" s="102" t="s">
        <v>421</v>
      </c>
      <c r="F135" s="102" t="s">
        <v>223</v>
      </c>
      <c r="G135" s="220">
        <v>1047</v>
      </c>
    </row>
    <row r="136" spans="1:7" x14ac:dyDescent="0.25">
      <c r="A136" s="12" t="str">
        <f t="shared" si="15"/>
        <v>Residential_Building Shell_Ceiling/Attic Insulation #2 (Fossil Fuel Heat)_CDD_3 (Springfield)</v>
      </c>
      <c r="B136" t="s">
        <v>162</v>
      </c>
      <c r="C136" t="s">
        <v>167</v>
      </c>
      <c r="D136" t="s">
        <v>181</v>
      </c>
      <c r="E136" s="102" t="s">
        <v>421</v>
      </c>
      <c r="F136" s="102" t="s">
        <v>224</v>
      </c>
      <c r="G136" s="220">
        <v>1183</v>
      </c>
    </row>
    <row r="137" spans="1:7" x14ac:dyDescent="0.25">
      <c r="A137" s="12" t="str">
        <f t="shared" si="15"/>
        <v>Residential_Building Shell_Ceiling/Attic Insulation #2 (Fossil Fuel Heat)_CDD_4 (Belleville)</v>
      </c>
      <c r="B137" t="s">
        <v>162</v>
      </c>
      <c r="C137" t="s">
        <v>167</v>
      </c>
      <c r="D137" t="s">
        <v>181</v>
      </c>
      <c r="E137" s="102" t="s">
        <v>421</v>
      </c>
      <c r="F137" s="102" t="s">
        <v>225</v>
      </c>
      <c r="G137" s="220">
        <v>1641</v>
      </c>
    </row>
    <row r="138" spans="1:7" x14ac:dyDescent="0.25">
      <c r="A138" s="12" t="str">
        <f t="shared" si="15"/>
        <v>Residential_Building Shell_Ceiling/Attic Insulation #2 (Fossil Fuel Heat)_CDD_5 (Marion)</v>
      </c>
      <c r="B138" t="s">
        <v>162</v>
      </c>
      <c r="C138" t="s">
        <v>167</v>
      </c>
      <c r="D138" t="s">
        <v>181</v>
      </c>
      <c r="E138" s="102" t="s">
        <v>421</v>
      </c>
      <c r="F138" s="102" t="s">
        <v>226</v>
      </c>
      <c r="G138" s="220">
        <v>1450</v>
      </c>
    </row>
    <row r="139" spans="1:7" x14ac:dyDescent="0.25">
      <c r="A139" s="12" t="str">
        <f t="shared" si="15"/>
        <v>Residential_Building Shell_Ceiling/Attic Insulation #2 (Fossil Fuel Heat)_CDD_Weighted Average</v>
      </c>
      <c r="B139" t="s">
        <v>162</v>
      </c>
      <c r="C139" t="s">
        <v>167</v>
      </c>
      <c r="D139" t="s">
        <v>181</v>
      </c>
      <c r="E139" s="102" t="s">
        <v>421</v>
      </c>
      <c r="F139" s="102" t="s">
        <v>532</v>
      </c>
      <c r="G139" s="220">
        <v>1098</v>
      </c>
    </row>
    <row r="140" spans="1:7" x14ac:dyDescent="0.25">
      <c r="A140" s="12" t="str">
        <f>B140&amp;"_"&amp;C140&amp;"_"&amp;D140&amp;"_"&amp;E140&amp;"_"&amp;F140</f>
        <v>Residential_Building Shell_Ceiling/Attic Insulation #2 (Fossil Fuel Heat)_HDD_1 (Rockford)</v>
      </c>
      <c r="B140" t="s">
        <v>162</v>
      </c>
      <c r="C140" t="s">
        <v>167</v>
      </c>
      <c r="D140" t="s">
        <v>181</v>
      </c>
      <c r="E140" s="102" t="s">
        <v>433</v>
      </c>
      <c r="F140" s="102" t="s">
        <v>531</v>
      </c>
      <c r="G140" s="220">
        <v>5230</v>
      </c>
    </row>
    <row r="141" spans="1:7" x14ac:dyDescent="0.25">
      <c r="A141" s="12" t="str">
        <f t="shared" ref="A141:A145" si="16">B141&amp;"_"&amp;C141&amp;"_"&amp;D141&amp;"_"&amp;E141&amp;"_"&amp;F141</f>
        <v>Residential_Building Shell_Ceiling/Attic Insulation #2 (Fossil Fuel Heat)_HDD_2 (Chicago)</v>
      </c>
      <c r="B141" t="s">
        <v>162</v>
      </c>
      <c r="C141" t="s">
        <v>167</v>
      </c>
      <c r="D141" t="s">
        <v>181</v>
      </c>
      <c r="E141" s="102" t="s">
        <v>433</v>
      </c>
      <c r="F141" s="102" t="s">
        <v>223</v>
      </c>
      <c r="G141" s="220">
        <v>4798</v>
      </c>
    </row>
    <row r="142" spans="1:7" x14ac:dyDescent="0.25">
      <c r="A142" s="12" t="str">
        <f t="shared" si="16"/>
        <v>Residential_Building Shell_Ceiling/Attic Insulation #2 (Fossil Fuel Heat)_HDD_3 (Springfield)</v>
      </c>
      <c r="B142" t="s">
        <v>162</v>
      </c>
      <c r="C142" t="s">
        <v>167</v>
      </c>
      <c r="D142" t="s">
        <v>181</v>
      </c>
      <c r="E142" s="102" t="s">
        <v>433</v>
      </c>
      <c r="F142" s="102" t="s">
        <v>224</v>
      </c>
      <c r="G142" s="220">
        <v>4266</v>
      </c>
    </row>
    <row r="143" spans="1:7" x14ac:dyDescent="0.25">
      <c r="A143" s="12" t="str">
        <f t="shared" si="16"/>
        <v>Residential_Building Shell_Ceiling/Attic Insulation #2 (Fossil Fuel Heat)_HDD_4 (Belleville)</v>
      </c>
      <c r="B143" t="s">
        <v>162</v>
      </c>
      <c r="C143" t="s">
        <v>167</v>
      </c>
      <c r="D143" t="s">
        <v>181</v>
      </c>
      <c r="E143" s="102" t="s">
        <v>433</v>
      </c>
      <c r="F143" s="102" t="s">
        <v>225</v>
      </c>
      <c r="G143" s="220">
        <v>3188</v>
      </c>
    </row>
    <row r="144" spans="1:7" x14ac:dyDescent="0.25">
      <c r="A144" s="12" t="str">
        <f t="shared" si="16"/>
        <v>Residential_Building Shell_Ceiling/Attic Insulation #2 (Fossil Fuel Heat)_HDD_5 (Marion)</v>
      </c>
      <c r="B144" t="s">
        <v>162</v>
      </c>
      <c r="C144" t="s">
        <v>167</v>
      </c>
      <c r="D144" t="s">
        <v>181</v>
      </c>
      <c r="E144" s="102" t="s">
        <v>433</v>
      </c>
      <c r="F144" s="102" t="s">
        <v>226</v>
      </c>
      <c r="G144" s="220">
        <v>3390</v>
      </c>
    </row>
    <row r="145" spans="1:7" x14ac:dyDescent="0.25">
      <c r="A145" s="12" t="str">
        <f t="shared" si="16"/>
        <v>Residential_Building Shell_Ceiling/Attic Insulation #2 (Fossil Fuel Heat)_HDD_Weighted Average</v>
      </c>
      <c r="B145" t="s">
        <v>162</v>
      </c>
      <c r="C145" t="s">
        <v>167</v>
      </c>
      <c r="D145" t="s">
        <v>181</v>
      </c>
      <c r="E145" s="102" t="s">
        <v>433</v>
      </c>
      <c r="F145" s="102" t="s">
        <v>532</v>
      </c>
      <c r="G145" s="220">
        <v>4631</v>
      </c>
    </row>
    <row r="146" spans="1:7" x14ac:dyDescent="0.25">
      <c r="A146" s="12" t="str">
        <f>B146&amp;"_"&amp;C146&amp;"_"&amp;D146&amp;"_"&amp;E146&amp;"_"&amp;F146</f>
        <v>Residential_Building Shell_Ceiling/Attic Insulation #2 (Fossil Fuel Heat)_FLH_cooling_1 (Rockford)</v>
      </c>
      <c r="B146" t="s">
        <v>162</v>
      </c>
      <c r="C146" t="s">
        <v>167</v>
      </c>
      <c r="D146" t="s">
        <v>181</v>
      </c>
      <c r="E146" s="102" t="s">
        <v>442</v>
      </c>
      <c r="F146" s="102" t="s">
        <v>531</v>
      </c>
      <c r="G146" s="220">
        <v>547</v>
      </c>
    </row>
    <row r="147" spans="1:7" x14ac:dyDescent="0.25">
      <c r="A147" s="12" t="str">
        <f t="shared" ref="A147:A151" si="17">B147&amp;"_"&amp;C147&amp;"_"&amp;D147&amp;"_"&amp;E147&amp;"_"&amp;F147</f>
        <v>Residential_Building Shell_Ceiling/Attic Insulation #2 (Fossil Fuel Heat)_FLH_cooling_2 (Chicago)</v>
      </c>
      <c r="B147" t="s">
        <v>162</v>
      </c>
      <c r="C147" t="s">
        <v>167</v>
      </c>
      <c r="D147" t="s">
        <v>181</v>
      </c>
      <c r="E147" s="102" t="s">
        <v>442</v>
      </c>
      <c r="F147" s="102" t="s">
        <v>223</v>
      </c>
      <c r="G147" s="220">
        <v>709</v>
      </c>
    </row>
    <row r="148" spans="1:7" x14ac:dyDescent="0.25">
      <c r="A148" s="12" t="str">
        <f t="shared" si="17"/>
        <v>Residential_Building Shell_Ceiling/Attic Insulation #2 (Fossil Fuel Heat)_FLH_cooling_3 (Springfield)</v>
      </c>
      <c r="B148" t="s">
        <v>162</v>
      </c>
      <c r="C148" t="s">
        <v>167</v>
      </c>
      <c r="D148" t="s">
        <v>181</v>
      </c>
      <c r="E148" s="102" t="s">
        <v>442</v>
      </c>
      <c r="F148" s="102" t="s">
        <v>224</v>
      </c>
      <c r="G148" s="220">
        <v>779</v>
      </c>
    </row>
    <row r="149" spans="1:7" x14ac:dyDescent="0.25">
      <c r="A149" s="12" t="str">
        <f t="shared" si="17"/>
        <v>Residential_Building Shell_Ceiling/Attic Insulation #2 (Fossil Fuel Heat)_FLH_cooling_4 (Belleville)</v>
      </c>
      <c r="B149" t="s">
        <v>162</v>
      </c>
      <c r="C149" t="s">
        <v>167</v>
      </c>
      <c r="D149" t="s">
        <v>181</v>
      </c>
      <c r="E149" s="102" t="s">
        <v>442</v>
      </c>
      <c r="F149" s="102" t="s">
        <v>225</v>
      </c>
      <c r="G149" s="220">
        <v>1082</v>
      </c>
    </row>
    <row r="150" spans="1:7" x14ac:dyDescent="0.25">
      <c r="A150" s="12" t="str">
        <f t="shared" si="17"/>
        <v>Residential_Building Shell_Ceiling/Attic Insulation #2 (Fossil Fuel Heat)_FLH_cooling_5 (Marion)</v>
      </c>
      <c r="B150" t="s">
        <v>162</v>
      </c>
      <c r="C150" t="s">
        <v>167</v>
      </c>
      <c r="D150" t="s">
        <v>181</v>
      </c>
      <c r="E150" s="102" t="s">
        <v>442</v>
      </c>
      <c r="F150" s="102" t="s">
        <v>226</v>
      </c>
      <c r="G150" s="220">
        <v>956</v>
      </c>
    </row>
    <row r="151" spans="1:7" x14ac:dyDescent="0.25">
      <c r="A151" s="12" t="str">
        <f t="shared" si="17"/>
        <v>Residential_Building Shell_Ceiling/Attic Insulation #2 (Fossil Fuel Heat)_FLH_cooling_Weighted Average</v>
      </c>
      <c r="B151" t="s">
        <v>162</v>
      </c>
      <c r="C151" t="s">
        <v>167</v>
      </c>
      <c r="D151" t="s">
        <v>181</v>
      </c>
      <c r="E151" s="102" t="s">
        <v>442</v>
      </c>
      <c r="F151" s="102" t="s">
        <v>532</v>
      </c>
      <c r="G151" s="220">
        <v>875</v>
      </c>
    </row>
    <row r="152" spans="1:7" x14ac:dyDescent="0.25">
      <c r="A152" s="12" t="str">
        <f>B152&amp;"_"&amp;C152&amp;"_"&amp;D152&amp;"_"&amp;E152&amp;"_"&amp;F152</f>
        <v>Residential_Building Shell_Attic Kneewall Insulation #1 (Fossil Fuel Heat)_CDD_1 (Rockford)</v>
      </c>
      <c r="B152" t="s">
        <v>162</v>
      </c>
      <c r="C152" t="s">
        <v>167</v>
      </c>
      <c r="D152" t="s">
        <v>182</v>
      </c>
      <c r="E152" s="102" t="s">
        <v>421</v>
      </c>
      <c r="F152" s="102" t="s">
        <v>531</v>
      </c>
      <c r="G152" s="220">
        <v>877</v>
      </c>
    </row>
    <row r="153" spans="1:7" x14ac:dyDescent="0.25">
      <c r="A153" s="12" t="str">
        <f t="shared" ref="A153:A157" si="18">B153&amp;"_"&amp;C153&amp;"_"&amp;D153&amp;"_"&amp;E153&amp;"_"&amp;F153</f>
        <v>Residential_Building Shell_Attic Kneewall Insulation #1 (Fossil Fuel Heat)_CDD_2 (Chicago)</v>
      </c>
      <c r="B153" t="s">
        <v>162</v>
      </c>
      <c r="C153" t="s">
        <v>167</v>
      </c>
      <c r="D153" t="s">
        <v>182</v>
      </c>
      <c r="E153" s="102" t="s">
        <v>421</v>
      </c>
      <c r="F153" s="102" t="s">
        <v>223</v>
      </c>
      <c r="G153" s="220">
        <v>1047</v>
      </c>
    </row>
    <row r="154" spans="1:7" x14ac:dyDescent="0.25">
      <c r="A154" s="12" t="str">
        <f t="shared" si="18"/>
        <v>Residential_Building Shell_Attic Kneewall Insulation #1 (Fossil Fuel Heat)_CDD_3 (Springfield)</v>
      </c>
      <c r="B154" t="s">
        <v>162</v>
      </c>
      <c r="C154" t="s">
        <v>167</v>
      </c>
      <c r="D154" t="s">
        <v>182</v>
      </c>
      <c r="E154" s="102" t="s">
        <v>421</v>
      </c>
      <c r="F154" s="102" t="s">
        <v>224</v>
      </c>
      <c r="G154" s="220">
        <v>1183</v>
      </c>
    </row>
    <row r="155" spans="1:7" x14ac:dyDescent="0.25">
      <c r="A155" s="12" t="str">
        <f t="shared" si="18"/>
        <v>Residential_Building Shell_Attic Kneewall Insulation #1 (Fossil Fuel Heat)_CDD_4 (Belleville)</v>
      </c>
      <c r="B155" t="s">
        <v>162</v>
      </c>
      <c r="C155" t="s">
        <v>167</v>
      </c>
      <c r="D155" t="s">
        <v>182</v>
      </c>
      <c r="E155" s="102" t="s">
        <v>421</v>
      </c>
      <c r="F155" s="102" t="s">
        <v>225</v>
      </c>
      <c r="G155" s="220">
        <v>1641</v>
      </c>
    </row>
    <row r="156" spans="1:7" x14ac:dyDescent="0.25">
      <c r="A156" s="12" t="str">
        <f t="shared" si="18"/>
        <v>Residential_Building Shell_Attic Kneewall Insulation #1 (Fossil Fuel Heat)_CDD_5 (Marion)</v>
      </c>
      <c r="B156" t="s">
        <v>162</v>
      </c>
      <c r="C156" t="s">
        <v>167</v>
      </c>
      <c r="D156" t="s">
        <v>182</v>
      </c>
      <c r="E156" s="102" t="s">
        <v>421</v>
      </c>
      <c r="F156" s="102" t="s">
        <v>226</v>
      </c>
      <c r="G156" s="220">
        <v>1450</v>
      </c>
    </row>
    <row r="157" spans="1:7" x14ac:dyDescent="0.25">
      <c r="A157" s="12" t="str">
        <f t="shared" si="18"/>
        <v>Residential_Building Shell_Attic Kneewall Insulation #1 (Fossil Fuel Heat)_CDD_Weighted Average</v>
      </c>
      <c r="B157" t="s">
        <v>162</v>
      </c>
      <c r="C157" t="s">
        <v>167</v>
      </c>
      <c r="D157" t="s">
        <v>182</v>
      </c>
      <c r="E157" s="102" t="s">
        <v>421</v>
      </c>
      <c r="F157" s="102" t="s">
        <v>532</v>
      </c>
      <c r="G157" s="220">
        <v>1098</v>
      </c>
    </row>
    <row r="158" spans="1:7" x14ac:dyDescent="0.25">
      <c r="A158" s="12" t="str">
        <f>B158&amp;"_"&amp;C158&amp;"_"&amp;D158&amp;"_"&amp;E158&amp;"_"&amp;F158</f>
        <v>Residential_Building Shell_Attic Kneewall Insulation #1 (Fossil Fuel Heat)_HDD_1 (Rockford)</v>
      </c>
      <c r="B158" t="s">
        <v>162</v>
      </c>
      <c r="C158" t="s">
        <v>167</v>
      </c>
      <c r="D158" t="s">
        <v>182</v>
      </c>
      <c r="E158" s="102" t="s">
        <v>433</v>
      </c>
      <c r="F158" s="102" t="s">
        <v>531</v>
      </c>
      <c r="G158" s="220">
        <v>5230</v>
      </c>
    </row>
    <row r="159" spans="1:7" x14ac:dyDescent="0.25">
      <c r="A159" s="12" t="str">
        <f t="shared" ref="A159:A163" si="19">B159&amp;"_"&amp;C159&amp;"_"&amp;D159&amp;"_"&amp;E159&amp;"_"&amp;F159</f>
        <v>Residential_Building Shell_Attic Kneewall Insulation #1 (Fossil Fuel Heat)_HDD_2 (Chicago)</v>
      </c>
      <c r="B159" t="s">
        <v>162</v>
      </c>
      <c r="C159" t="s">
        <v>167</v>
      </c>
      <c r="D159" t="s">
        <v>182</v>
      </c>
      <c r="E159" s="102" t="s">
        <v>433</v>
      </c>
      <c r="F159" s="102" t="s">
        <v>223</v>
      </c>
      <c r="G159" s="220">
        <v>4798</v>
      </c>
    </row>
    <row r="160" spans="1:7" x14ac:dyDescent="0.25">
      <c r="A160" s="12" t="str">
        <f t="shared" si="19"/>
        <v>Residential_Building Shell_Attic Kneewall Insulation #1 (Fossil Fuel Heat)_HDD_3 (Springfield)</v>
      </c>
      <c r="B160" t="s">
        <v>162</v>
      </c>
      <c r="C160" t="s">
        <v>167</v>
      </c>
      <c r="D160" t="s">
        <v>182</v>
      </c>
      <c r="E160" s="102" t="s">
        <v>433</v>
      </c>
      <c r="F160" s="102" t="s">
        <v>224</v>
      </c>
      <c r="G160" s="220">
        <v>4266</v>
      </c>
    </row>
    <row r="161" spans="1:7" x14ac:dyDescent="0.25">
      <c r="A161" s="12" t="str">
        <f t="shared" si="19"/>
        <v>Residential_Building Shell_Attic Kneewall Insulation #1 (Fossil Fuel Heat)_HDD_4 (Belleville)</v>
      </c>
      <c r="B161" t="s">
        <v>162</v>
      </c>
      <c r="C161" t="s">
        <v>167</v>
      </c>
      <c r="D161" t="s">
        <v>182</v>
      </c>
      <c r="E161" s="102" t="s">
        <v>433</v>
      </c>
      <c r="F161" s="102" t="s">
        <v>225</v>
      </c>
      <c r="G161" s="220">
        <v>3188</v>
      </c>
    </row>
    <row r="162" spans="1:7" x14ac:dyDescent="0.25">
      <c r="A162" s="12" t="str">
        <f t="shared" si="19"/>
        <v>Residential_Building Shell_Attic Kneewall Insulation #1 (Fossil Fuel Heat)_HDD_5 (Marion)</v>
      </c>
      <c r="B162" t="s">
        <v>162</v>
      </c>
      <c r="C162" t="s">
        <v>167</v>
      </c>
      <c r="D162" t="s">
        <v>182</v>
      </c>
      <c r="E162" s="102" t="s">
        <v>433</v>
      </c>
      <c r="F162" s="102" t="s">
        <v>226</v>
      </c>
      <c r="G162" s="220">
        <v>3390</v>
      </c>
    </row>
    <row r="163" spans="1:7" x14ac:dyDescent="0.25">
      <c r="A163" s="12" t="str">
        <f t="shared" si="19"/>
        <v>Residential_Building Shell_Attic Kneewall Insulation #1 (Fossil Fuel Heat)_HDD_Weighted Average</v>
      </c>
      <c r="B163" t="s">
        <v>162</v>
      </c>
      <c r="C163" t="s">
        <v>167</v>
      </c>
      <c r="D163" t="s">
        <v>182</v>
      </c>
      <c r="E163" s="102" t="s">
        <v>433</v>
      </c>
      <c r="F163" s="102" t="s">
        <v>532</v>
      </c>
      <c r="G163" s="220">
        <v>4631</v>
      </c>
    </row>
    <row r="164" spans="1:7" x14ac:dyDescent="0.25">
      <c r="A164" s="12" t="str">
        <f>B164&amp;"_"&amp;C164&amp;"_"&amp;D164&amp;"_"&amp;E164&amp;"_"&amp;F164</f>
        <v>Residential_Building Shell_Attic Kneewall Insulation #1 (Fossil Fuel Heat)_FLH_cooling_1 (Rockford)</v>
      </c>
      <c r="B164" t="s">
        <v>162</v>
      </c>
      <c r="C164" t="s">
        <v>167</v>
      </c>
      <c r="D164" t="s">
        <v>182</v>
      </c>
      <c r="E164" s="102" t="s">
        <v>442</v>
      </c>
      <c r="F164" s="102" t="s">
        <v>531</v>
      </c>
      <c r="G164" s="220">
        <v>547</v>
      </c>
    </row>
    <row r="165" spans="1:7" x14ac:dyDescent="0.25">
      <c r="A165" s="12" t="str">
        <f t="shared" ref="A165:A169" si="20">B165&amp;"_"&amp;C165&amp;"_"&amp;D165&amp;"_"&amp;E165&amp;"_"&amp;F165</f>
        <v>Residential_Building Shell_Attic Kneewall Insulation #1 (Fossil Fuel Heat)_FLH_cooling_2 (Chicago)</v>
      </c>
      <c r="B165" t="s">
        <v>162</v>
      </c>
      <c r="C165" t="s">
        <v>167</v>
      </c>
      <c r="D165" t="s">
        <v>182</v>
      </c>
      <c r="E165" s="102" t="s">
        <v>442</v>
      </c>
      <c r="F165" s="102" t="s">
        <v>223</v>
      </c>
      <c r="G165" s="220">
        <v>709</v>
      </c>
    </row>
    <row r="166" spans="1:7" x14ac:dyDescent="0.25">
      <c r="A166" s="12" t="str">
        <f t="shared" si="20"/>
        <v>Residential_Building Shell_Attic Kneewall Insulation #1 (Fossil Fuel Heat)_FLH_cooling_3 (Springfield)</v>
      </c>
      <c r="B166" t="s">
        <v>162</v>
      </c>
      <c r="C166" t="s">
        <v>167</v>
      </c>
      <c r="D166" t="s">
        <v>182</v>
      </c>
      <c r="E166" s="102" t="s">
        <v>442</v>
      </c>
      <c r="F166" s="102" t="s">
        <v>224</v>
      </c>
      <c r="G166" s="220">
        <v>779</v>
      </c>
    </row>
    <row r="167" spans="1:7" x14ac:dyDescent="0.25">
      <c r="A167" s="12" t="str">
        <f t="shared" si="20"/>
        <v>Residential_Building Shell_Attic Kneewall Insulation #1 (Fossil Fuel Heat)_FLH_cooling_4 (Belleville)</v>
      </c>
      <c r="B167" t="s">
        <v>162</v>
      </c>
      <c r="C167" t="s">
        <v>167</v>
      </c>
      <c r="D167" t="s">
        <v>182</v>
      </c>
      <c r="E167" s="102" t="s">
        <v>442</v>
      </c>
      <c r="F167" s="102" t="s">
        <v>225</v>
      </c>
      <c r="G167" s="220">
        <v>1082</v>
      </c>
    </row>
    <row r="168" spans="1:7" x14ac:dyDescent="0.25">
      <c r="A168" s="12" t="str">
        <f t="shared" si="20"/>
        <v>Residential_Building Shell_Attic Kneewall Insulation #1 (Fossil Fuel Heat)_FLH_cooling_5 (Marion)</v>
      </c>
      <c r="B168" t="s">
        <v>162</v>
      </c>
      <c r="C168" t="s">
        <v>167</v>
      </c>
      <c r="D168" t="s">
        <v>182</v>
      </c>
      <c r="E168" s="102" t="s">
        <v>442</v>
      </c>
      <c r="F168" s="102" t="s">
        <v>226</v>
      </c>
      <c r="G168" s="220">
        <v>956</v>
      </c>
    </row>
    <row r="169" spans="1:7" x14ac:dyDescent="0.25">
      <c r="A169" s="12" t="str">
        <f t="shared" si="20"/>
        <v>Residential_Building Shell_Attic Kneewall Insulation #1 (Fossil Fuel Heat)_FLH_cooling_Weighted Average</v>
      </c>
      <c r="B169" t="s">
        <v>162</v>
      </c>
      <c r="C169" t="s">
        <v>167</v>
      </c>
      <c r="D169" t="s">
        <v>182</v>
      </c>
      <c r="E169" s="102" t="s">
        <v>442</v>
      </c>
      <c r="F169" s="102" t="s">
        <v>532</v>
      </c>
      <c r="G169" s="220">
        <v>875</v>
      </c>
    </row>
    <row r="170" spans="1:7" x14ac:dyDescent="0.25">
      <c r="A170" s="12" t="str">
        <f>B170&amp;"_"&amp;C170&amp;"_"&amp;D170&amp;"_"&amp;E170&amp;"_"&amp;F170</f>
        <v>Residential_Building Shell_Attic Kneewall Insulation #2 (Fossil Fuel Heat)_CDD_1 (Rockford)</v>
      </c>
      <c r="B170" t="s">
        <v>162</v>
      </c>
      <c r="C170" t="s">
        <v>167</v>
      </c>
      <c r="D170" t="s">
        <v>183</v>
      </c>
      <c r="E170" s="102" t="s">
        <v>421</v>
      </c>
      <c r="F170" s="102" t="s">
        <v>531</v>
      </c>
      <c r="G170" s="220">
        <v>877</v>
      </c>
    </row>
    <row r="171" spans="1:7" x14ac:dyDescent="0.25">
      <c r="A171" s="12" t="str">
        <f t="shared" ref="A171:A175" si="21">B171&amp;"_"&amp;C171&amp;"_"&amp;D171&amp;"_"&amp;E171&amp;"_"&amp;F171</f>
        <v>Residential_Building Shell_Attic Kneewall Insulation #2 (Fossil Fuel Heat)_CDD_2 (Chicago)</v>
      </c>
      <c r="B171" t="s">
        <v>162</v>
      </c>
      <c r="C171" t="s">
        <v>167</v>
      </c>
      <c r="D171" t="s">
        <v>183</v>
      </c>
      <c r="E171" s="102" t="s">
        <v>421</v>
      </c>
      <c r="F171" s="102" t="s">
        <v>223</v>
      </c>
      <c r="G171" s="220">
        <v>1047</v>
      </c>
    </row>
    <row r="172" spans="1:7" x14ac:dyDescent="0.25">
      <c r="A172" s="12" t="str">
        <f t="shared" si="21"/>
        <v>Residential_Building Shell_Attic Kneewall Insulation #2 (Fossil Fuel Heat)_CDD_3 (Springfield)</v>
      </c>
      <c r="B172" t="s">
        <v>162</v>
      </c>
      <c r="C172" t="s">
        <v>167</v>
      </c>
      <c r="D172" t="s">
        <v>183</v>
      </c>
      <c r="E172" s="102" t="s">
        <v>421</v>
      </c>
      <c r="F172" s="102" t="s">
        <v>224</v>
      </c>
      <c r="G172" s="220">
        <v>1183</v>
      </c>
    </row>
    <row r="173" spans="1:7" x14ac:dyDescent="0.25">
      <c r="A173" s="12" t="str">
        <f t="shared" si="21"/>
        <v>Residential_Building Shell_Attic Kneewall Insulation #2 (Fossil Fuel Heat)_CDD_4 (Belleville)</v>
      </c>
      <c r="B173" t="s">
        <v>162</v>
      </c>
      <c r="C173" t="s">
        <v>167</v>
      </c>
      <c r="D173" t="s">
        <v>183</v>
      </c>
      <c r="E173" s="102" t="s">
        <v>421</v>
      </c>
      <c r="F173" s="102" t="s">
        <v>225</v>
      </c>
      <c r="G173" s="220">
        <v>1641</v>
      </c>
    </row>
    <row r="174" spans="1:7" x14ac:dyDescent="0.25">
      <c r="A174" s="12" t="str">
        <f t="shared" si="21"/>
        <v>Residential_Building Shell_Attic Kneewall Insulation #2 (Fossil Fuel Heat)_CDD_5 (Marion)</v>
      </c>
      <c r="B174" t="s">
        <v>162</v>
      </c>
      <c r="C174" t="s">
        <v>167</v>
      </c>
      <c r="D174" t="s">
        <v>183</v>
      </c>
      <c r="E174" s="102" t="s">
        <v>421</v>
      </c>
      <c r="F174" s="102" t="s">
        <v>226</v>
      </c>
      <c r="G174" s="220">
        <v>1450</v>
      </c>
    </row>
    <row r="175" spans="1:7" x14ac:dyDescent="0.25">
      <c r="A175" s="12" t="str">
        <f t="shared" si="21"/>
        <v>Residential_Building Shell_Attic Kneewall Insulation #2 (Fossil Fuel Heat)_CDD_Weighted Average</v>
      </c>
      <c r="B175" t="s">
        <v>162</v>
      </c>
      <c r="C175" t="s">
        <v>167</v>
      </c>
      <c r="D175" t="s">
        <v>183</v>
      </c>
      <c r="E175" s="102" t="s">
        <v>421</v>
      </c>
      <c r="F175" s="102" t="s">
        <v>532</v>
      </c>
      <c r="G175" s="220">
        <v>1098</v>
      </c>
    </row>
    <row r="176" spans="1:7" x14ac:dyDescent="0.25">
      <c r="A176" s="12" t="str">
        <f>B176&amp;"_"&amp;C176&amp;"_"&amp;D176&amp;"_"&amp;E176&amp;"_"&amp;F176</f>
        <v>Residential_Building Shell_Attic Kneewall Insulation #2 (Fossil Fuel Heat)_HDD_1 (Rockford)</v>
      </c>
      <c r="B176" t="s">
        <v>162</v>
      </c>
      <c r="C176" t="s">
        <v>167</v>
      </c>
      <c r="D176" t="s">
        <v>183</v>
      </c>
      <c r="E176" s="102" t="s">
        <v>433</v>
      </c>
      <c r="F176" s="102" t="s">
        <v>531</v>
      </c>
      <c r="G176" s="220">
        <v>5230</v>
      </c>
    </row>
    <row r="177" spans="1:7" x14ac:dyDescent="0.25">
      <c r="A177" s="12" t="str">
        <f t="shared" ref="A177:A181" si="22">B177&amp;"_"&amp;C177&amp;"_"&amp;D177&amp;"_"&amp;E177&amp;"_"&amp;F177</f>
        <v>Residential_Building Shell_Attic Kneewall Insulation #2 (Fossil Fuel Heat)_HDD_2 (Chicago)</v>
      </c>
      <c r="B177" t="s">
        <v>162</v>
      </c>
      <c r="C177" t="s">
        <v>167</v>
      </c>
      <c r="D177" t="s">
        <v>183</v>
      </c>
      <c r="E177" s="102" t="s">
        <v>433</v>
      </c>
      <c r="F177" s="102" t="s">
        <v>223</v>
      </c>
      <c r="G177" s="220">
        <v>4798</v>
      </c>
    </row>
    <row r="178" spans="1:7" x14ac:dyDescent="0.25">
      <c r="A178" s="12" t="str">
        <f t="shared" si="22"/>
        <v>Residential_Building Shell_Attic Kneewall Insulation #2 (Fossil Fuel Heat)_HDD_3 (Springfield)</v>
      </c>
      <c r="B178" t="s">
        <v>162</v>
      </c>
      <c r="C178" t="s">
        <v>167</v>
      </c>
      <c r="D178" t="s">
        <v>183</v>
      </c>
      <c r="E178" s="102" t="s">
        <v>433</v>
      </c>
      <c r="F178" s="102" t="s">
        <v>224</v>
      </c>
      <c r="G178" s="220">
        <v>4266</v>
      </c>
    </row>
    <row r="179" spans="1:7" x14ac:dyDescent="0.25">
      <c r="A179" s="12" t="str">
        <f t="shared" si="22"/>
        <v>Residential_Building Shell_Attic Kneewall Insulation #2 (Fossil Fuel Heat)_HDD_4 (Belleville)</v>
      </c>
      <c r="B179" t="s">
        <v>162</v>
      </c>
      <c r="C179" t="s">
        <v>167</v>
      </c>
      <c r="D179" t="s">
        <v>183</v>
      </c>
      <c r="E179" s="102" t="s">
        <v>433</v>
      </c>
      <c r="F179" s="102" t="s">
        <v>225</v>
      </c>
      <c r="G179" s="220">
        <v>3188</v>
      </c>
    </row>
    <row r="180" spans="1:7" x14ac:dyDescent="0.25">
      <c r="A180" s="12" t="str">
        <f t="shared" si="22"/>
        <v>Residential_Building Shell_Attic Kneewall Insulation #2 (Fossil Fuel Heat)_HDD_5 (Marion)</v>
      </c>
      <c r="B180" t="s">
        <v>162</v>
      </c>
      <c r="C180" t="s">
        <v>167</v>
      </c>
      <c r="D180" t="s">
        <v>183</v>
      </c>
      <c r="E180" s="102" t="s">
        <v>433</v>
      </c>
      <c r="F180" s="102" t="s">
        <v>226</v>
      </c>
      <c r="G180" s="220">
        <v>3390</v>
      </c>
    </row>
    <row r="181" spans="1:7" x14ac:dyDescent="0.25">
      <c r="A181" s="12" t="str">
        <f t="shared" si="22"/>
        <v>Residential_Building Shell_Attic Kneewall Insulation #2 (Fossil Fuel Heat)_HDD_Weighted Average</v>
      </c>
      <c r="B181" t="s">
        <v>162</v>
      </c>
      <c r="C181" t="s">
        <v>167</v>
      </c>
      <c r="D181" t="s">
        <v>183</v>
      </c>
      <c r="E181" s="102" t="s">
        <v>433</v>
      </c>
      <c r="F181" s="102" t="s">
        <v>532</v>
      </c>
      <c r="G181" s="220">
        <v>4631</v>
      </c>
    </row>
    <row r="182" spans="1:7" x14ac:dyDescent="0.25">
      <c r="A182" s="12" t="str">
        <f>B182&amp;"_"&amp;C182&amp;"_"&amp;D182&amp;"_"&amp;E182&amp;"_"&amp;F182</f>
        <v>Residential_Building Shell_Attic Kneewall Insulation #2 (Fossil Fuel Heat)_FLH_cooling_1 (Rockford)</v>
      </c>
      <c r="B182" t="s">
        <v>162</v>
      </c>
      <c r="C182" t="s">
        <v>167</v>
      </c>
      <c r="D182" t="s">
        <v>183</v>
      </c>
      <c r="E182" s="102" t="s">
        <v>442</v>
      </c>
      <c r="F182" s="102" t="s">
        <v>531</v>
      </c>
      <c r="G182" s="220">
        <v>547</v>
      </c>
    </row>
    <row r="183" spans="1:7" x14ac:dyDescent="0.25">
      <c r="A183" s="12" t="str">
        <f t="shared" ref="A183:A187" si="23">B183&amp;"_"&amp;C183&amp;"_"&amp;D183&amp;"_"&amp;E183&amp;"_"&amp;F183</f>
        <v>Residential_Building Shell_Attic Kneewall Insulation #2 (Fossil Fuel Heat)_FLH_cooling_2 (Chicago)</v>
      </c>
      <c r="B183" t="s">
        <v>162</v>
      </c>
      <c r="C183" t="s">
        <v>167</v>
      </c>
      <c r="D183" t="s">
        <v>183</v>
      </c>
      <c r="E183" s="102" t="s">
        <v>442</v>
      </c>
      <c r="F183" s="102" t="s">
        <v>223</v>
      </c>
      <c r="G183" s="220">
        <v>709</v>
      </c>
    </row>
    <row r="184" spans="1:7" x14ac:dyDescent="0.25">
      <c r="A184" s="12" t="str">
        <f t="shared" si="23"/>
        <v>Residential_Building Shell_Attic Kneewall Insulation #2 (Fossil Fuel Heat)_FLH_cooling_3 (Springfield)</v>
      </c>
      <c r="B184" t="s">
        <v>162</v>
      </c>
      <c r="C184" t="s">
        <v>167</v>
      </c>
      <c r="D184" t="s">
        <v>183</v>
      </c>
      <c r="E184" s="102" t="s">
        <v>442</v>
      </c>
      <c r="F184" s="102" t="s">
        <v>224</v>
      </c>
      <c r="G184" s="220">
        <v>779</v>
      </c>
    </row>
    <row r="185" spans="1:7" x14ac:dyDescent="0.25">
      <c r="A185" s="12" t="str">
        <f t="shared" si="23"/>
        <v>Residential_Building Shell_Attic Kneewall Insulation #2 (Fossil Fuel Heat)_FLH_cooling_4 (Belleville)</v>
      </c>
      <c r="B185" t="s">
        <v>162</v>
      </c>
      <c r="C185" t="s">
        <v>167</v>
      </c>
      <c r="D185" t="s">
        <v>183</v>
      </c>
      <c r="E185" s="102" t="s">
        <v>442</v>
      </c>
      <c r="F185" s="102" t="s">
        <v>225</v>
      </c>
      <c r="G185" s="220">
        <v>1082</v>
      </c>
    </row>
    <row r="186" spans="1:7" x14ac:dyDescent="0.25">
      <c r="A186" s="12" t="str">
        <f t="shared" si="23"/>
        <v>Residential_Building Shell_Attic Kneewall Insulation #2 (Fossil Fuel Heat)_FLH_cooling_5 (Marion)</v>
      </c>
      <c r="B186" t="s">
        <v>162</v>
      </c>
      <c r="C186" t="s">
        <v>167</v>
      </c>
      <c r="D186" t="s">
        <v>183</v>
      </c>
      <c r="E186" s="102" t="s">
        <v>442</v>
      </c>
      <c r="F186" s="102" t="s">
        <v>226</v>
      </c>
      <c r="G186" s="220">
        <v>956</v>
      </c>
    </row>
    <row r="187" spans="1:7" x14ac:dyDescent="0.25">
      <c r="A187" s="12" t="str">
        <f t="shared" si="23"/>
        <v>Residential_Building Shell_Attic Kneewall Insulation #2 (Fossil Fuel Heat)_FLH_cooling_Weighted Average</v>
      </c>
      <c r="B187" t="s">
        <v>162</v>
      </c>
      <c r="C187" t="s">
        <v>167</v>
      </c>
      <c r="D187" t="s">
        <v>183</v>
      </c>
      <c r="E187" s="102" t="s">
        <v>442</v>
      </c>
      <c r="F187" s="102" t="s">
        <v>532</v>
      </c>
      <c r="G187" s="220">
        <v>875</v>
      </c>
    </row>
    <row r="188" spans="1:7" x14ac:dyDescent="0.25">
      <c r="A188" s="12" t="str">
        <f>B188&amp;"_"&amp;C188&amp;"_"&amp;D188&amp;"_"&amp;E188&amp;"_"&amp;F188</f>
        <v>Residential_Building Shell_Ceiling/Attic Insulation #1 (Electric Heat)_CDD_1 (Rockford)</v>
      </c>
      <c r="B188" t="s">
        <v>162</v>
      </c>
      <c r="C188" t="s">
        <v>167</v>
      </c>
      <c r="D188" t="s">
        <v>452</v>
      </c>
      <c r="E188" s="102" t="s">
        <v>421</v>
      </c>
      <c r="F188" s="102" t="s">
        <v>531</v>
      </c>
      <c r="G188" s="220">
        <v>877</v>
      </c>
    </row>
    <row r="189" spans="1:7" x14ac:dyDescent="0.25">
      <c r="A189" s="12" t="str">
        <f t="shared" ref="A189:A193" si="24">B189&amp;"_"&amp;C189&amp;"_"&amp;D189&amp;"_"&amp;E189&amp;"_"&amp;F189</f>
        <v>Residential_Building Shell_Ceiling/Attic Insulation #1 (Electric Heat)_CDD_2 (Chicago)</v>
      </c>
      <c r="B189" t="s">
        <v>162</v>
      </c>
      <c r="C189" t="s">
        <v>167</v>
      </c>
      <c r="D189" t="s">
        <v>452</v>
      </c>
      <c r="E189" s="102" t="s">
        <v>421</v>
      </c>
      <c r="F189" s="102" t="s">
        <v>223</v>
      </c>
      <c r="G189" s="220">
        <v>1047</v>
      </c>
    </row>
    <row r="190" spans="1:7" x14ac:dyDescent="0.25">
      <c r="A190" s="12" t="str">
        <f t="shared" si="24"/>
        <v>Residential_Building Shell_Ceiling/Attic Insulation #1 (Electric Heat)_CDD_3 (Springfield)</v>
      </c>
      <c r="B190" t="s">
        <v>162</v>
      </c>
      <c r="C190" t="s">
        <v>167</v>
      </c>
      <c r="D190" t="s">
        <v>452</v>
      </c>
      <c r="E190" s="102" t="s">
        <v>421</v>
      </c>
      <c r="F190" s="102" t="s">
        <v>224</v>
      </c>
      <c r="G190" s="220">
        <v>1183</v>
      </c>
    </row>
    <row r="191" spans="1:7" x14ac:dyDescent="0.25">
      <c r="A191" s="12" t="str">
        <f t="shared" si="24"/>
        <v>Residential_Building Shell_Ceiling/Attic Insulation #1 (Electric Heat)_CDD_4 (Belleville)</v>
      </c>
      <c r="B191" t="s">
        <v>162</v>
      </c>
      <c r="C191" t="s">
        <v>167</v>
      </c>
      <c r="D191" t="s">
        <v>452</v>
      </c>
      <c r="E191" s="102" t="s">
        <v>421</v>
      </c>
      <c r="F191" s="102" t="s">
        <v>225</v>
      </c>
      <c r="G191" s="220">
        <v>1641</v>
      </c>
    </row>
    <row r="192" spans="1:7" x14ac:dyDescent="0.25">
      <c r="A192" s="12" t="str">
        <f t="shared" si="24"/>
        <v>Residential_Building Shell_Ceiling/Attic Insulation #1 (Electric Heat)_CDD_5 (Marion)</v>
      </c>
      <c r="B192" t="s">
        <v>162</v>
      </c>
      <c r="C192" t="s">
        <v>167</v>
      </c>
      <c r="D192" t="s">
        <v>452</v>
      </c>
      <c r="E192" s="102" t="s">
        <v>421</v>
      </c>
      <c r="F192" s="102" t="s">
        <v>226</v>
      </c>
      <c r="G192" s="220">
        <v>1450</v>
      </c>
    </row>
    <row r="193" spans="1:7" x14ac:dyDescent="0.25">
      <c r="A193" s="12" t="str">
        <f t="shared" si="24"/>
        <v>Residential_Building Shell_Ceiling/Attic Insulation #1 (Electric Heat)_CDD_Weighted Average</v>
      </c>
      <c r="B193" t="s">
        <v>162</v>
      </c>
      <c r="C193" t="s">
        <v>167</v>
      </c>
      <c r="D193" t="s">
        <v>452</v>
      </c>
      <c r="E193" s="102" t="s">
        <v>421</v>
      </c>
      <c r="F193" s="102" t="s">
        <v>532</v>
      </c>
      <c r="G193" s="220">
        <v>1098</v>
      </c>
    </row>
    <row r="194" spans="1:7" x14ac:dyDescent="0.25">
      <c r="A194" s="12" t="str">
        <f>B194&amp;"_"&amp;C194&amp;"_"&amp;D194&amp;"_"&amp;E194&amp;"_"&amp;F194</f>
        <v>Residential_Building Shell_Ceiling/Attic Insulation #1 (Electric Heat)_HDD_1 (Rockford)</v>
      </c>
      <c r="B194" t="s">
        <v>162</v>
      </c>
      <c r="C194" t="s">
        <v>167</v>
      </c>
      <c r="D194" t="s">
        <v>452</v>
      </c>
      <c r="E194" s="102" t="s">
        <v>433</v>
      </c>
      <c r="F194" s="102" t="s">
        <v>531</v>
      </c>
      <c r="G194" s="220">
        <v>5230</v>
      </c>
    </row>
    <row r="195" spans="1:7" x14ac:dyDescent="0.25">
      <c r="A195" s="12" t="str">
        <f t="shared" ref="A195:A199" si="25">B195&amp;"_"&amp;C195&amp;"_"&amp;D195&amp;"_"&amp;E195&amp;"_"&amp;F195</f>
        <v>Residential_Building Shell_Ceiling/Attic Insulation #1 (Electric Heat)_HDD_2 (Chicago)</v>
      </c>
      <c r="B195" t="s">
        <v>162</v>
      </c>
      <c r="C195" t="s">
        <v>167</v>
      </c>
      <c r="D195" t="s">
        <v>452</v>
      </c>
      <c r="E195" s="102" t="s">
        <v>433</v>
      </c>
      <c r="F195" s="102" t="s">
        <v>223</v>
      </c>
      <c r="G195" s="220">
        <v>4798</v>
      </c>
    </row>
    <row r="196" spans="1:7" x14ac:dyDescent="0.25">
      <c r="A196" s="12" t="str">
        <f t="shared" si="25"/>
        <v>Residential_Building Shell_Ceiling/Attic Insulation #1 (Electric Heat)_HDD_3 (Springfield)</v>
      </c>
      <c r="B196" t="s">
        <v>162</v>
      </c>
      <c r="C196" t="s">
        <v>167</v>
      </c>
      <c r="D196" t="s">
        <v>452</v>
      </c>
      <c r="E196" s="102" t="s">
        <v>433</v>
      </c>
      <c r="F196" s="102" t="s">
        <v>224</v>
      </c>
      <c r="G196" s="220">
        <v>4266</v>
      </c>
    </row>
    <row r="197" spans="1:7" x14ac:dyDescent="0.25">
      <c r="A197" s="12" t="str">
        <f t="shared" si="25"/>
        <v>Residential_Building Shell_Ceiling/Attic Insulation #1 (Electric Heat)_HDD_4 (Belleville)</v>
      </c>
      <c r="B197" t="s">
        <v>162</v>
      </c>
      <c r="C197" t="s">
        <v>167</v>
      </c>
      <c r="D197" t="s">
        <v>452</v>
      </c>
      <c r="E197" s="102" t="s">
        <v>433</v>
      </c>
      <c r="F197" s="102" t="s">
        <v>225</v>
      </c>
      <c r="G197" s="220">
        <v>3188</v>
      </c>
    </row>
    <row r="198" spans="1:7" x14ac:dyDescent="0.25">
      <c r="A198" s="12" t="str">
        <f t="shared" si="25"/>
        <v>Residential_Building Shell_Ceiling/Attic Insulation #1 (Electric Heat)_HDD_5 (Marion)</v>
      </c>
      <c r="B198" t="s">
        <v>162</v>
      </c>
      <c r="C198" t="s">
        <v>167</v>
      </c>
      <c r="D198" t="s">
        <v>452</v>
      </c>
      <c r="E198" s="102" t="s">
        <v>433</v>
      </c>
      <c r="F198" s="102" t="s">
        <v>226</v>
      </c>
      <c r="G198" s="220">
        <v>3390</v>
      </c>
    </row>
    <row r="199" spans="1:7" x14ac:dyDescent="0.25">
      <c r="A199" s="12" t="str">
        <f t="shared" si="25"/>
        <v>Residential_Building Shell_Ceiling/Attic Insulation #1 (Electric Heat)_HDD_Weighted Average</v>
      </c>
      <c r="B199" t="s">
        <v>162</v>
      </c>
      <c r="C199" t="s">
        <v>167</v>
      </c>
      <c r="D199" t="s">
        <v>452</v>
      </c>
      <c r="E199" s="102" t="s">
        <v>433</v>
      </c>
      <c r="F199" s="102" t="s">
        <v>532</v>
      </c>
      <c r="G199" s="220">
        <v>4631</v>
      </c>
    </row>
    <row r="200" spans="1:7" x14ac:dyDescent="0.25">
      <c r="A200" s="12" t="str">
        <f>B200&amp;"_"&amp;C200&amp;"_"&amp;D200&amp;"_"&amp;E200&amp;"_"&amp;F200</f>
        <v>Residential_Building Shell_Ceiling/Attic Insulation #1 (Electric Heat)_FLH_cooling_1 (Rockford)</v>
      </c>
      <c r="B200" t="s">
        <v>162</v>
      </c>
      <c r="C200" t="s">
        <v>167</v>
      </c>
      <c r="D200" t="s">
        <v>452</v>
      </c>
      <c r="E200" s="102" t="s">
        <v>442</v>
      </c>
      <c r="F200" s="102" t="s">
        <v>531</v>
      </c>
      <c r="G200" s="220">
        <v>547</v>
      </c>
    </row>
    <row r="201" spans="1:7" x14ac:dyDescent="0.25">
      <c r="A201" s="12" t="str">
        <f t="shared" ref="A201:A205" si="26">B201&amp;"_"&amp;C201&amp;"_"&amp;D201&amp;"_"&amp;E201&amp;"_"&amp;F201</f>
        <v>Residential_Building Shell_Ceiling/Attic Insulation #1 (Electric Heat)_FLH_cooling_2 (Chicago)</v>
      </c>
      <c r="B201" t="s">
        <v>162</v>
      </c>
      <c r="C201" t="s">
        <v>167</v>
      </c>
      <c r="D201" t="s">
        <v>452</v>
      </c>
      <c r="E201" s="102" t="s">
        <v>442</v>
      </c>
      <c r="F201" s="102" t="s">
        <v>223</v>
      </c>
      <c r="G201" s="220">
        <v>709</v>
      </c>
    </row>
    <row r="202" spans="1:7" x14ac:dyDescent="0.25">
      <c r="A202" s="12" t="str">
        <f t="shared" si="26"/>
        <v>Residential_Building Shell_Ceiling/Attic Insulation #1 (Electric Heat)_FLH_cooling_3 (Springfield)</v>
      </c>
      <c r="B202" t="s">
        <v>162</v>
      </c>
      <c r="C202" t="s">
        <v>167</v>
      </c>
      <c r="D202" t="s">
        <v>452</v>
      </c>
      <c r="E202" s="102" t="s">
        <v>442</v>
      </c>
      <c r="F202" s="102" t="s">
        <v>224</v>
      </c>
      <c r="G202" s="220">
        <v>779</v>
      </c>
    </row>
    <row r="203" spans="1:7" x14ac:dyDescent="0.25">
      <c r="A203" s="12" t="str">
        <f t="shared" si="26"/>
        <v>Residential_Building Shell_Ceiling/Attic Insulation #1 (Electric Heat)_FLH_cooling_4 (Belleville)</v>
      </c>
      <c r="B203" t="s">
        <v>162</v>
      </c>
      <c r="C203" t="s">
        <v>167</v>
      </c>
      <c r="D203" t="s">
        <v>452</v>
      </c>
      <c r="E203" s="102" t="s">
        <v>442</v>
      </c>
      <c r="F203" s="102" t="s">
        <v>225</v>
      </c>
      <c r="G203" s="220">
        <v>1082</v>
      </c>
    </row>
    <row r="204" spans="1:7" x14ac:dyDescent="0.25">
      <c r="A204" s="12" t="str">
        <f t="shared" si="26"/>
        <v>Residential_Building Shell_Ceiling/Attic Insulation #1 (Electric Heat)_FLH_cooling_5 (Marion)</v>
      </c>
      <c r="B204" t="s">
        <v>162</v>
      </c>
      <c r="C204" t="s">
        <v>167</v>
      </c>
      <c r="D204" t="s">
        <v>452</v>
      </c>
      <c r="E204" s="102" t="s">
        <v>442</v>
      </c>
      <c r="F204" s="102" t="s">
        <v>226</v>
      </c>
      <c r="G204" s="220">
        <v>956</v>
      </c>
    </row>
    <row r="205" spans="1:7" x14ac:dyDescent="0.25">
      <c r="A205" s="12" t="str">
        <f t="shared" si="26"/>
        <v>Residential_Building Shell_Ceiling/Attic Insulation #1 (Electric Heat)_FLH_cooling_Weighted Average</v>
      </c>
      <c r="B205" t="s">
        <v>162</v>
      </c>
      <c r="C205" t="s">
        <v>167</v>
      </c>
      <c r="D205" t="s">
        <v>452</v>
      </c>
      <c r="E205" s="102" t="s">
        <v>442</v>
      </c>
      <c r="F205" s="102" t="s">
        <v>532</v>
      </c>
      <c r="G205" s="220">
        <v>875</v>
      </c>
    </row>
    <row r="206" spans="1:7" x14ac:dyDescent="0.25">
      <c r="A206" s="12" t="str">
        <f>B206&amp;"_"&amp;C206&amp;"_"&amp;D206&amp;"_"&amp;E206&amp;"_"&amp;F206</f>
        <v>Residential_Building Shell_Ceiling/Attic Insulation #2 (Electric Heat)_CDD_1 (Rockford)</v>
      </c>
      <c r="B206" t="s">
        <v>162</v>
      </c>
      <c r="C206" t="s">
        <v>167</v>
      </c>
      <c r="D206" t="s">
        <v>464</v>
      </c>
      <c r="E206" s="102" t="s">
        <v>421</v>
      </c>
      <c r="F206" s="102" t="s">
        <v>531</v>
      </c>
      <c r="G206" s="220">
        <v>877</v>
      </c>
    </row>
    <row r="207" spans="1:7" x14ac:dyDescent="0.25">
      <c r="A207" s="12" t="str">
        <f t="shared" ref="A207:A211" si="27">B207&amp;"_"&amp;C207&amp;"_"&amp;D207&amp;"_"&amp;E207&amp;"_"&amp;F207</f>
        <v>Residential_Building Shell_Ceiling/Attic Insulation #2 (Electric Heat)_CDD_2 (Chicago)</v>
      </c>
      <c r="B207" t="s">
        <v>162</v>
      </c>
      <c r="C207" t="s">
        <v>167</v>
      </c>
      <c r="D207" t="s">
        <v>464</v>
      </c>
      <c r="E207" s="102" t="s">
        <v>421</v>
      </c>
      <c r="F207" s="102" t="s">
        <v>223</v>
      </c>
      <c r="G207" s="220">
        <v>1047</v>
      </c>
    </row>
    <row r="208" spans="1:7" x14ac:dyDescent="0.25">
      <c r="A208" s="12" t="str">
        <f t="shared" si="27"/>
        <v>Residential_Building Shell_Ceiling/Attic Insulation #2 (Electric Heat)_CDD_3 (Springfield)</v>
      </c>
      <c r="B208" t="s">
        <v>162</v>
      </c>
      <c r="C208" t="s">
        <v>167</v>
      </c>
      <c r="D208" t="s">
        <v>464</v>
      </c>
      <c r="E208" s="102" t="s">
        <v>421</v>
      </c>
      <c r="F208" s="102" t="s">
        <v>224</v>
      </c>
      <c r="G208" s="220">
        <v>1183</v>
      </c>
    </row>
    <row r="209" spans="1:7" x14ac:dyDescent="0.25">
      <c r="A209" s="12" t="str">
        <f t="shared" si="27"/>
        <v>Residential_Building Shell_Ceiling/Attic Insulation #2 (Electric Heat)_CDD_4 (Belleville)</v>
      </c>
      <c r="B209" t="s">
        <v>162</v>
      </c>
      <c r="C209" t="s">
        <v>167</v>
      </c>
      <c r="D209" t="s">
        <v>464</v>
      </c>
      <c r="E209" s="102" t="s">
        <v>421</v>
      </c>
      <c r="F209" s="102" t="s">
        <v>225</v>
      </c>
      <c r="G209" s="220">
        <v>1641</v>
      </c>
    </row>
    <row r="210" spans="1:7" x14ac:dyDescent="0.25">
      <c r="A210" s="12" t="str">
        <f t="shared" si="27"/>
        <v>Residential_Building Shell_Ceiling/Attic Insulation #2 (Electric Heat)_CDD_5 (Marion)</v>
      </c>
      <c r="B210" t="s">
        <v>162</v>
      </c>
      <c r="C210" t="s">
        <v>167</v>
      </c>
      <c r="D210" t="s">
        <v>464</v>
      </c>
      <c r="E210" s="102" t="s">
        <v>421</v>
      </c>
      <c r="F210" s="102" t="s">
        <v>226</v>
      </c>
      <c r="G210" s="220">
        <v>1450</v>
      </c>
    </row>
    <row r="211" spans="1:7" x14ac:dyDescent="0.25">
      <c r="A211" s="12" t="str">
        <f t="shared" si="27"/>
        <v>Residential_Building Shell_Ceiling/Attic Insulation #2 (Electric Heat)_CDD_Weighted Average</v>
      </c>
      <c r="B211" t="s">
        <v>162</v>
      </c>
      <c r="C211" t="s">
        <v>167</v>
      </c>
      <c r="D211" t="s">
        <v>464</v>
      </c>
      <c r="E211" s="102" t="s">
        <v>421</v>
      </c>
      <c r="F211" s="102" t="s">
        <v>532</v>
      </c>
      <c r="G211" s="220">
        <v>1098</v>
      </c>
    </row>
    <row r="212" spans="1:7" x14ac:dyDescent="0.25">
      <c r="A212" s="12" t="str">
        <f>B212&amp;"_"&amp;C212&amp;"_"&amp;D212&amp;"_"&amp;E212&amp;"_"&amp;F212</f>
        <v>Residential_Building Shell_Ceiling/Attic Insulation #2 (Electric Heat)_HDD_1 (Rockford)</v>
      </c>
      <c r="B212" t="s">
        <v>162</v>
      </c>
      <c r="C212" t="s">
        <v>167</v>
      </c>
      <c r="D212" t="s">
        <v>464</v>
      </c>
      <c r="E212" s="102" t="s">
        <v>433</v>
      </c>
      <c r="F212" s="102" t="s">
        <v>531</v>
      </c>
      <c r="G212" s="220">
        <v>5230</v>
      </c>
    </row>
    <row r="213" spans="1:7" x14ac:dyDescent="0.25">
      <c r="A213" s="12" t="str">
        <f t="shared" ref="A213:A217" si="28">B213&amp;"_"&amp;C213&amp;"_"&amp;D213&amp;"_"&amp;E213&amp;"_"&amp;F213</f>
        <v>Residential_Building Shell_Ceiling/Attic Insulation #2 (Electric Heat)_HDD_2 (Chicago)</v>
      </c>
      <c r="B213" t="s">
        <v>162</v>
      </c>
      <c r="C213" t="s">
        <v>167</v>
      </c>
      <c r="D213" t="s">
        <v>464</v>
      </c>
      <c r="E213" s="102" t="s">
        <v>433</v>
      </c>
      <c r="F213" s="102" t="s">
        <v>223</v>
      </c>
      <c r="G213" s="220">
        <v>4798</v>
      </c>
    </row>
    <row r="214" spans="1:7" x14ac:dyDescent="0.25">
      <c r="A214" s="12" t="str">
        <f t="shared" si="28"/>
        <v>Residential_Building Shell_Ceiling/Attic Insulation #2 (Electric Heat)_HDD_3 (Springfield)</v>
      </c>
      <c r="B214" t="s">
        <v>162</v>
      </c>
      <c r="C214" t="s">
        <v>167</v>
      </c>
      <c r="D214" t="s">
        <v>464</v>
      </c>
      <c r="E214" s="102" t="s">
        <v>433</v>
      </c>
      <c r="F214" s="102" t="s">
        <v>224</v>
      </c>
      <c r="G214" s="220">
        <v>4266</v>
      </c>
    </row>
    <row r="215" spans="1:7" x14ac:dyDescent="0.25">
      <c r="A215" s="12" t="str">
        <f t="shared" si="28"/>
        <v>Residential_Building Shell_Ceiling/Attic Insulation #2 (Electric Heat)_HDD_4 (Belleville)</v>
      </c>
      <c r="B215" t="s">
        <v>162</v>
      </c>
      <c r="C215" t="s">
        <v>167</v>
      </c>
      <c r="D215" t="s">
        <v>464</v>
      </c>
      <c r="E215" s="102" t="s">
        <v>433</v>
      </c>
      <c r="F215" s="102" t="s">
        <v>225</v>
      </c>
      <c r="G215" s="220">
        <v>3188</v>
      </c>
    </row>
    <row r="216" spans="1:7" x14ac:dyDescent="0.25">
      <c r="A216" s="12" t="str">
        <f t="shared" si="28"/>
        <v>Residential_Building Shell_Ceiling/Attic Insulation #2 (Electric Heat)_HDD_5 (Marion)</v>
      </c>
      <c r="B216" t="s">
        <v>162</v>
      </c>
      <c r="C216" t="s">
        <v>167</v>
      </c>
      <c r="D216" t="s">
        <v>464</v>
      </c>
      <c r="E216" s="102" t="s">
        <v>433</v>
      </c>
      <c r="F216" s="102" t="s">
        <v>226</v>
      </c>
      <c r="G216" s="220">
        <v>3390</v>
      </c>
    </row>
    <row r="217" spans="1:7" x14ac:dyDescent="0.25">
      <c r="A217" s="12" t="str">
        <f t="shared" si="28"/>
        <v>Residential_Building Shell_Ceiling/Attic Insulation #2 (Electric Heat)_HDD_Weighted Average</v>
      </c>
      <c r="B217" t="s">
        <v>162</v>
      </c>
      <c r="C217" t="s">
        <v>167</v>
      </c>
      <c r="D217" t="s">
        <v>464</v>
      </c>
      <c r="E217" s="102" t="s">
        <v>433</v>
      </c>
      <c r="F217" s="102" t="s">
        <v>532</v>
      </c>
      <c r="G217" s="220">
        <v>4631</v>
      </c>
    </row>
    <row r="218" spans="1:7" x14ac:dyDescent="0.25">
      <c r="A218" s="12" t="str">
        <f>B218&amp;"_"&amp;C218&amp;"_"&amp;D218&amp;"_"&amp;E218&amp;"_"&amp;F218</f>
        <v>Residential_Building Shell_Ceiling/Attic Insulation #2 (Electric Heat)_FLH_cooling_1 (Rockford)</v>
      </c>
      <c r="B218" t="s">
        <v>162</v>
      </c>
      <c r="C218" t="s">
        <v>167</v>
      </c>
      <c r="D218" t="s">
        <v>464</v>
      </c>
      <c r="E218" s="102" t="s">
        <v>442</v>
      </c>
      <c r="F218" s="102" t="s">
        <v>531</v>
      </c>
      <c r="G218" s="220">
        <v>547</v>
      </c>
    </row>
    <row r="219" spans="1:7" x14ac:dyDescent="0.25">
      <c r="A219" s="12" t="str">
        <f t="shared" ref="A219:A223" si="29">B219&amp;"_"&amp;C219&amp;"_"&amp;D219&amp;"_"&amp;E219&amp;"_"&amp;F219</f>
        <v>Residential_Building Shell_Ceiling/Attic Insulation #2 (Electric Heat)_FLH_cooling_2 (Chicago)</v>
      </c>
      <c r="B219" t="s">
        <v>162</v>
      </c>
      <c r="C219" t="s">
        <v>167</v>
      </c>
      <c r="D219" t="s">
        <v>464</v>
      </c>
      <c r="E219" s="102" t="s">
        <v>442</v>
      </c>
      <c r="F219" s="102" t="s">
        <v>223</v>
      </c>
      <c r="G219" s="220">
        <v>709</v>
      </c>
    </row>
    <row r="220" spans="1:7" x14ac:dyDescent="0.25">
      <c r="A220" s="12" t="str">
        <f t="shared" si="29"/>
        <v>Residential_Building Shell_Ceiling/Attic Insulation #2 (Electric Heat)_FLH_cooling_3 (Springfield)</v>
      </c>
      <c r="B220" t="s">
        <v>162</v>
      </c>
      <c r="C220" t="s">
        <v>167</v>
      </c>
      <c r="D220" t="s">
        <v>464</v>
      </c>
      <c r="E220" s="102" t="s">
        <v>442</v>
      </c>
      <c r="F220" s="102" t="s">
        <v>224</v>
      </c>
      <c r="G220" s="220">
        <v>779</v>
      </c>
    </row>
    <row r="221" spans="1:7" x14ac:dyDescent="0.25">
      <c r="A221" s="12" t="str">
        <f t="shared" si="29"/>
        <v>Residential_Building Shell_Ceiling/Attic Insulation #2 (Electric Heat)_FLH_cooling_4 (Belleville)</v>
      </c>
      <c r="B221" t="s">
        <v>162</v>
      </c>
      <c r="C221" t="s">
        <v>167</v>
      </c>
      <c r="D221" t="s">
        <v>464</v>
      </c>
      <c r="E221" s="102" t="s">
        <v>442</v>
      </c>
      <c r="F221" s="102" t="s">
        <v>225</v>
      </c>
      <c r="G221" s="220">
        <v>1082</v>
      </c>
    </row>
    <row r="222" spans="1:7" x14ac:dyDescent="0.25">
      <c r="A222" s="12" t="str">
        <f t="shared" si="29"/>
        <v>Residential_Building Shell_Ceiling/Attic Insulation #2 (Electric Heat)_FLH_cooling_5 (Marion)</v>
      </c>
      <c r="B222" t="s">
        <v>162</v>
      </c>
      <c r="C222" t="s">
        <v>167</v>
      </c>
      <c r="D222" t="s">
        <v>464</v>
      </c>
      <c r="E222" s="102" t="s">
        <v>442</v>
      </c>
      <c r="F222" s="102" t="s">
        <v>226</v>
      </c>
      <c r="G222" s="220">
        <v>956</v>
      </c>
    </row>
    <row r="223" spans="1:7" x14ac:dyDescent="0.25">
      <c r="A223" s="12" t="str">
        <f t="shared" si="29"/>
        <v>Residential_Building Shell_Ceiling/Attic Insulation #2 (Electric Heat)_FLH_cooling_Weighted Average</v>
      </c>
      <c r="B223" t="s">
        <v>162</v>
      </c>
      <c r="C223" t="s">
        <v>167</v>
      </c>
      <c r="D223" t="s">
        <v>464</v>
      </c>
      <c r="E223" s="102" t="s">
        <v>442</v>
      </c>
      <c r="F223" s="102" t="s">
        <v>532</v>
      </c>
      <c r="G223" s="220">
        <v>875</v>
      </c>
    </row>
    <row r="224" spans="1:7" x14ac:dyDescent="0.25">
      <c r="A224" s="12" t="str">
        <f>B224&amp;"_"&amp;C224&amp;"_"&amp;D224&amp;"_"&amp;E224&amp;"_"&amp;F224</f>
        <v>Residential_Building Shell_Attic Kneewall Insulation #1 (Electric Heat)_CDD_1 (Rockford)</v>
      </c>
      <c r="B224" t="s">
        <v>162</v>
      </c>
      <c r="C224" t="s">
        <v>167</v>
      </c>
      <c r="D224" t="s">
        <v>465</v>
      </c>
      <c r="E224" s="102" t="s">
        <v>421</v>
      </c>
      <c r="F224" s="102" t="s">
        <v>531</v>
      </c>
      <c r="G224" s="220">
        <v>877</v>
      </c>
    </row>
    <row r="225" spans="1:7" x14ac:dyDescent="0.25">
      <c r="A225" s="12" t="str">
        <f t="shared" ref="A225:A229" si="30">B225&amp;"_"&amp;C225&amp;"_"&amp;D225&amp;"_"&amp;E225&amp;"_"&amp;F225</f>
        <v>Residential_Building Shell_Attic Kneewall Insulation #1 (Electric Heat)_CDD_2 (Chicago)</v>
      </c>
      <c r="B225" t="s">
        <v>162</v>
      </c>
      <c r="C225" t="s">
        <v>167</v>
      </c>
      <c r="D225" t="s">
        <v>465</v>
      </c>
      <c r="E225" s="102" t="s">
        <v>421</v>
      </c>
      <c r="F225" s="102" t="s">
        <v>223</v>
      </c>
      <c r="G225" s="220">
        <v>1047</v>
      </c>
    </row>
    <row r="226" spans="1:7" x14ac:dyDescent="0.25">
      <c r="A226" s="12" t="str">
        <f t="shared" si="30"/>
        <v>Residential_Building Shell_Attic Kneewall Insulation #1 (Electric Heat)_CDD_3 (Springfield)</v>
      </c>
      <c r="B226" t="s">
        <v>162</v>
      </c>
      <c r="C226" t="s">
        <v>167</v>
      </c>
      <c r="D226" t="s">
        <v>465</v>
      </c>
      <c r="E226" s="102" t="s">
        <v>421</v>
      </c>
      <c r="F226" s="102" t="s">
        <v>224</v>
      </c>
      <c r="G226" s="220">
        <v>1183</v>
      </c>
    </row>
    <row r="227" spans="1:7" x14ac:dyDescent="0.25">
      <c r="A227" s="12" t="str">
        <f t="shared" si="30"/>
        <v>Residential_Building Shell_Attic Kneewall Insulation #1 (Electric Heat)_CDD_4 (Belleville)</v>
      </c>
      <c r="B227" t="s">
        <v>162</v>
      </c>
      <c r="C227" t="s">
        <v>167</v>
      </c>
      <c r="D227" t="s">
        <v>465</v>
      </c>
      <c r="E227" s="102" t="s">
        <v>421</v>
      </c>
      <c r="F227" s="102" t="s">
        <v>225</v>
      </c>
      <c r="G227" s="220">
        <v>1641</v>
      </c>
    </row>
    <row r="228" spans="1:7" x14ac:dyDescent="0.25">
      <c r="A228" s="12" t="str">
        <f t="shared" si="30"/>
        <v>Residential_Building Shell_Attic Kneewall Insulation #1 (Electric Heat)_CDD_5 (Marion)</v>
      </c>
      <c r="B228" t="s">
        <v>162</v>
      </c>
      <c r="C228" t="s">
        <v>167</v>
      </c>
      <c r="D228" t="s">
        <v>465</v>
      </c>
      <c r="E228" s="102" t="s">
        <v>421</v>
      </c>
      <c r="F228" s="102" t="s">
        <v>226</v>
      </c>
      <c r="G228" s="220">
        <v>1450</v>
      </c>
    </row>
    <row r="229" spans="1:7" x14ac:dyDescent="0.25">
      <c r="A229" s="12" t="str">
        <f t="shared" si="30"/>
        <v>Residential_Building Shell_Attic Kneewall Insulation #1 (Electric Heat)_CDD_Weighted Average</v>
      </c>
      <c r="B229" t="s">
        <v>162</v>
      </c>
      <c r="C229" t="s">
        <v>167</v>
      </c>
      <c r="D229" t="s">
        <v>465</v>
      </c>
      <c r="E229" s="102" t="s">
        <v>421</v>
      </c>
      <c r="F229" s="102" t="s">
        <v>532</v>
      </c>
      <c r="G229" s="220">
        <v>1098</v>
      </c>
    </row>
    <row r="230" spans="1:7" x14ac:dyDescent="0.25">
      <c r="A230" s="12" t="str">
        <f>B230&amp;"_"&amp;C230&amp;"_"&amp;D230&amp;"_"&amp;E230&amp;"_"&amp;F230</f>
        <v>Residential_Building Shell_Attic Kneewall Insulation #1 (Electric Heat)_HDD_1 (Rockford)</v>
      </c>
      <c r="B230" t="s">
        <v>162</v>
      </c>
      <c r="C230" t="s">
        <v>167</v>
      </c>
      <c r="D230" t="s">
        <v>465</v>
      </c>
      <c r="E230" s="102" t="s">
        <v>433</v>
      </c>
      <c r="F230" s="102" t="s">
        <v>531</v>
      </c>
      <c r="G230" s="220">
        <v>5230</v>
      </c>
    </row>
    <row r="231" spans="1:7" x14ac:dyDescent="0.25">
      <c r="A231" s="12" t="str">
        <f t="shared" ref="A231:A235" si="31">B231&amp;"_"&amp;C231&amp;"_"&amp;D231&amp;"_"&amp;E231&amp;"_"&amp;F231</f>
        <v>Residential_Building Shell_Attic Kneewall Insulation #1 (Electric Heat)_HDD_2 (Chicago)</v>
      </c>
      <c r="B231" t="s">
        <v>162</v>
      </c>
      <c r="C231" t="s">
        <v>167</v>
      </c>
      <c r="D231" t="s">
        <v>465</v>
      </c>
      <c r="E231" s="102" t="s">
        <v>433</v>
      </c>
      <c r="F231" s="102" t="s">
        <v>223</v>
      </c>
      <c r="G231" s="220">
        <v>4798</v>
      </c>
    </row>
    <row r="232" spans="1:7" x14ac:dyDescent="0.25">
      <c r="A232" s="12" t="str">
        <f t="shared" si="31"/>
        <v>Residential_Building Shell_Attic Kneewall Insulation #1 (Electric Heat)_HDD_3 (Springfield)</v>
      </c>
      <c r="B232" t="s">
        <v>162</v>
      </c>
      <c r="C232" t="s">
        <v>167</v>
      </c>
      <c r="D232" t="s">
        <v>465</v>
      </c>
      <c r="E232" s="102" t="s">
        <v>433</v>
      </c>
      <c r="F232" s="102" t="s">
        <v>224</v>
      </c>
      <c r="G232" s="220">
        <v>4266</v>
      </c>
    </row>
    <row r="233" spans="1:7" x14ac:dyDescent="0.25">
      <c r="A233" s="12" t="str">
        <f t="shared" si="31"/>
        <v>Residential_Building Shell_Attic Kneewall Insulation #1 (Electric Heat)_HDD_4 (Belleville)</v>
      </c>
      <c r="B233" t="s">
        <v>162</v>
      </c>
      <c r="C233" t="s">
        <v>167</v>
      </c>
      <c r="D233" t="s">
        <v>465</v>
      </c>
      <c r="E233" s="102" t="s">
        <v>433</v>
      </c>
      <c r="F233" s="102" t="s">
        <v>225</v>
      </c>
      <c r="G233" s="220">
        <v>3188</v>
      </c>
    </row>
    <row r="234" spans="1:7" x14ac:dyDescent="0.25">
      <c r="A234" s="12" t="str">
        <f t="shared" si="31"/>
        <v>Residential_Building Shell_Attic Kneewall Insulation #1 (Electric Heat)_HDD_5 (Marion)</v>
      </c>
      <c r="B234" t="s">
        <v>162</v>
      </c>
      <c r="C234" t="s">
        <v>167</v>
      </c>
      <c r="D234" t="s">
        <v>465</v>
      </c>
      <c r="E234" s="102" t="s">
        <v>433</v>
      </c>
      <c r="F234" s="102" t="s">
        <v>226</v>
      </c>
      <c r="G234" s="220">
        <v>3390</v>
      </c>
    </row>
    <row r="235" spans="1:7" x14ac:dyDescent="0.25">
      <c r="A235" s="12" t="str">
        <f t="shared" si="31"/>
        <v>Residential_Building Shell_Attic Kneewall Insulation #1 (Electric Heat)_HDD_Weighted Average</v>
      </c>
      <c r="B235" t="s">
        <v>162</v>
      </c>
      <c r="C235" t="s">
        <v>167</v>
      </c>
      <c r="D235" t="s">
        <v>465</v>
      </c>
      <c r="E235" s="102" t="s">
        <v>433</v>
      </c>
      <c r="F235" s="102" t="s">
        <v>532</v>
      </c>
      <c r="G235" s="220">
        <v>4631</v>
      </c>
    </row>
    <row r="236" spans="1:7" x14ac:dyDescent="0.25">
      <c r="A236" s="12" t="str">
        <f>B236&amp;"_"&amp;C236&amp;"_"&amp;D236&amp;"_"&amp;E236&amp;"_"&amp;F236</f>
        <v>Residential_Building Shell_Attic Kneewall Insulation #1 (Electric Heat)_FLH_cooling_1 (Rockford)</v>
      </c>
      <c r="B236" t="s">
        <v>162</v>
      </c>
      <c r="C236" t="s">
        <v>167</v>
      </c>
      <c r="D236" t="s">
        <v>465</v>
      </c>
      <c r="E236" s="102" t="s">
        <v>442</v>
      </c>
      <c r="F236" s="102" t="s">
        <v>531</v>
      </c>
      <c r="G236" s="220">
        <v>547</v>
      </c>
    </row>
    <row r="237" spans="1:7" x14ac:dyDescent="0.25">
      <c r="A237" s="12" t="str">
        <f t="shared" ref="A237:A241" si="32">B237&amp;"_"&amp;C237&amp;"_"&amp;D237&amp;"_"&amp;E237&amp;"_"&amp;F237</f>
        <v>Residential_Building Shell_Attic Kneewall Insulation #1 (Electric Heat)_FLH_cooling_2 (Chicago)</v>
      </c>
      <c r="B237" t="s">
        <v>162</v>
      </c>
      <c r="C237" t="s">
        <v>167</v>
      </c>
      <c r="D237" t="s">
        <v>465</v>
      </c>
      <c r="E237" s="102" t="s">
        <v>442</v>
      </c>
      <c r="F237" s="102" t="s">
        <v>223</v>
      </c>
      <c r="G237" s="220">
        <v>709</v>
      </c>
    </row>
    <row r="238" spans="1:7" x14ac:dyDescent="0.25">
      <c r="A238" s="12" t="str">
        <f t="shared" si="32"/>
        <v>Residential_Building Shell_Attic Kneewall Insulation #1 (Electric Heat)_FLH_cooling_3 (Springfield)</v>
      </c>
      <c r="B238" t="s">
        <v>162</v>
      </c>
      <c r="C238" t="s">
        <v>167</v>
      </c>
      <c r="D238" t="s">
        <v>465</v>
      </c>
      <c r="E238" s="102" t="s">
        <v>442</v>
      </c>
      <c r="F238" s="102" t="s">
        <v>224</v>
      </c>
      <c r="G238" s="220">
        <v>779</v>
      </c>
    </row>
    <row r="239" spans="1:7" x14ac:dyDescent="0.25">
      <c r="A239" s="12" t="str">
        <f t="shared" si="32"/>
        <v>Residential_Building Shell_Attic Kneewall Insulation #1 (Electric Heat)_FLH_cooling_4 (Belleville)</v>
      </c>
      <c r="B239" t="s">
        <v>162</v>
      </c>
      <c r="C239" t="s">
        <v>167</v>
      </c>
      <c r="D239" t="s">
        <v>465</v>
      </c>
      <c r="E239" s="102" t="s">
        <v>442</v>
      </c>
      <c r="F239" s="102" t="s">
        <v>225</v>
      </c>
      <c r="G239" s="220">
        <v>1082</v>
      </c>
    </row>
    <row r="240" spans="1:7" x14ac:dyDescent="0.25">
      <c r="A240" s="12" t="str">
        <f t="shared" si="32"/>
        <v>Residential_Building Shell_Attic Kneewall Insulation #1 (Electric Heat)_FLH_cooling_5 (Marion)</v>
      </c>
      <c r="B240" t="s">
        <v>162</v>
      </c>
      <c r="C240" t="s">
        <v>167</v>
      </c>
      <c r="D240" t="s">
        <v>465</v>
      </c>
      <c r="E240" s="102" t="s">
        <v>442</v>
      </c>
      <c r="F240" s="102" t="s">
        <v>226</v>
      </c>
      <c r="G240" s="220">
        <v>956</v>
      </c>
    </row>
    <row r="241" spans="1:7" x14ac:dyDescent="0.25">
      <c r="A241" s="12" t="str">
        <f t="shared" si="32"/>
        <v>Residential_Building Shell_Attic Kneewall Insulation #1 (Electric Heat)_FLH_cooling_Weighted Average</v>
      </c>
      <c r="B241" t="s">
        <v>162</v>
      </c>
      <c r="C241" t="s">
        <v>167</v>
      </c>
      <c r="D241" t="s">
        <v>465</v>
      </c>
      <c r="E241" s="102" t="s">
        <v>442</v>
      </c>
      <c r="F241" s="102" t="s">
        <v>532</v>
      </c>
      <c r="G241" s="220">
        <v>875</v>
      </c>
    </row>
    <row r="242" spans="1:7" x14ac:dyDescent="0.25">
      <c r="A242" s="12" t="str">
        <f>B242&amp;"_"&amp;C242&amp;"_"&amp;D242&amp;"_"&amp;E242&amp;"_"&amp;F242</f>
        <v>Residential_Building Shell_Attic Kneewall Insulation #2 (Electric Heat)_CDD_1 (Rockford)</v>
      </c>
      <c r="B242" t="s">
        <v>162</v>
      </c>
      <c r="C242" t="s">
        <v>167</v>
      </c>
      <c r="D242" t="s">
        <v>474</v>
      </c>
      <c r="E242" s="102" t="s">
        <v>421</v>
      </c>
      <c r="F242" s="102" t="s">
        <v>531</v>
      </c>
      <c r="G242" s="220">
        <v>877</v>
      </c>
    </row>
    <row r="243" spans="1:7" x14ac:dyDescent="0.25">
      <c r="A243" s="12" t="str">
        <f t="shared" ref="A243:A247" si="33">B243&amp;"_"&amp;C243&amp;"_"&amp;D243&amp;"_"&amp;E243&amp;"_"&amp;F243</f>
        <v>Residential_Building Shell_Attic Kneewall Insulation #2 (Electric Heat)_CDD_2 (Chicago)</v>
      </c>
      <c r="B243" t="s">
        <v>162</v>
      </c>
      <c r="C243" t="s">
        <v>167</v>
      </c>
      <c r="D243" t="s">
        <v>474</v>
      </c>
      <c r="E243" s="102" t="s">
        <v>421</v>
      </c>
      <c r="F243" s="102" t="s">
        <v>223</v>
      </c>
      <c r="G243" s="220">
        <v>1047</v>
      </c>
    </row>
    <row r="244" spans="1:7" x14ac:dyDescent="0.25">
      <c r="A244" s="12" t="str">
        <f t="shared" si="33"/>
        <v>Residential_Building Shell_Attic Kneewall Insulation #2 (Electric Heat)_CDD_3 (Springfield)</v>
      </c>
      <c r="B244" t="s">
        <v>162</v>
      </c>
      <c r="C244" t="s">
        <v>167</v>
      </c>
      <c r="D244" t="s">
        <v>474</v>
      </c>
      <c r="E244" s="102" t="s">
        <v>421</v>
      </c>
      <c r="F244" s="102" t="s">
        <v>224</v>
      </c>
      <c r="G244" s="220">
        <v>1183</v>
      </c>
    </row>
    <row r="245" spans="1:7" x14ac:dyDescent="0.25">
      <c r="A245" s="12" t="str">
        <f t="shared" si="33"/>
        <v>Residential_Building Shell_Attic Kneewall Insulation #2 (Electric Heat)_CDD_4 (Belleville)</v>
      </c>
      <c r="B245" t="s">
        <v>162</v>
      </c>
      <c r="C245" t="s">
        <v>167</v>
      </c>
      <c r="D245" t="s">
        <v>474</v>
      </c>
      <c r="E245" s="102" t="s">
        <v>421</v>
      </c>
      <c r="F245" s="102" t="s">
        <v>225</v>
      </c>
      <c r="G245" s="220">
        <v>1641</v>
      </c>
    </row>
    <row r="246" spans="1:7" x14ac:dyDescent="0.25">
      <c r="A246" s="12" t="str">
        <f t="shared" si="33"/>
        <v>Residential_Building Shell_Attic Kneewall Insulation #2 (Electric Heat)_CDD_5 (Marion)</v>
      </c>
      <c r="B246" t="s">
        <v>162</v>
      </c>
      <c r="C246" t="s">
        <v>167</v>
      </c>
      <c r="D246" t="s">
        <v>474</v>
      </c>
      <c r="E246" s="102" t="s">
        <v>421</v>
      </c>
      <c r="F246" s="102" t="s">
        <v>226</v>
      </c>
      <c r="G246" s="220">
        <v>1450</v>
      </c>
    </row>
    <row r="247" spans="1:7" x14ac:dyDescent="0.25">
      <c r="A247" s="12" t="str">
        <f t="shared" si="33"/>
        <v>Residential_Building Shell_Attic Kneewall Insulation #2 (Electric Heat)_CDD_Weighted Average</v>
      </c>
      <c r="B247" t="s">
        <v>162</v>
      </c>
      <c r="C247" t="s">
        <v>167</v>
      </c>
      <c r="D247" t="s">
        <v>474</v>
      </c>
      <c r="E247" s="102" t="s">
        <v>421</v>
      </c>
      <c r="F247" s="102" t="s">
        <v>532</v>
      </c>
      <c r="G247" s="220">
        <v>1098</v>
      </c>
    </row>
    <row r="248" spans="1:7" x14ac:dyDescent="0.25">
      <c r="A248" s="12" t="str">
        <f>B248&amp;"_"&amp;C248&amp;"_"&amp;D248&amp;"_"&amp;E248&amp;"_"&amp;F248</f>
        <v>Residential_Building Shell_Attic Kneewall Insulation #2 (Electric Heat)_HDD_1 (Rockford)</v>
      </c>
      <c r="B248" t="s">
        <v>162</v>
      </c>
      <c r="C248" t="s">
        <v>167</v>
      </c>
      <c r="D248" t="s">
        <v>474</v>
      </c>
      <c r="E248" s="102" t="s">
        <v>433</v>
      </c>
      <c r="F248" s="102" t="s">
        <v>531</v>
      </c>
      <c r="G248" s="220">
        <v>5230</v>
      </c>
    </row>
    <row r="249" spans="1:7" x14ac:dyDescent="0.25">
      <c r="A249" s="12" t="str">
        <f t="shared" ref="A249:A253" si="34">B249&amp;"_"&amp;C249&amp;"_"&amp;D249&amp;"_"&amp;E249&amp;"_"&amp;F249</f>
        <v>Residential_Building Shell_Attic Kneewall Insulation #2 (Electric Heat)_HDD_2 (Chicago)</v>
      </c>
      <c r="B249" t="s">
        <v>162</v>
      </c>
      <c r="C249" t="s">
        <v>167</v>
      </c>
      <c r="D249" t="s">
        <v>474</v>
      </c>
      <c r="E249" s="102" t="s">
        <v>433</v>
      </c>
      <c r="F249" s="102" t="s">
        <v>223</v>
      </c>
      <c r="G249" s="220">
        <v>4798</v>
      </c>
    </row>
    <row r="250" spans="1:7" x14ac:dyDescent="0.25">
      <c r="A250" s="12" t="str">
        <f t="shared" si="34"/>
        <v>Residential_Building Shell_Attic Kneewall Insulation #2 (Electric Heat)_HDD_3 (Springfield)</v>
      </c>
      <c r="B250" t="s">
        <v>162</v>
      </c>
      <c r="C250" t="s">
        <v>167</v>
      </c>
      <c r="D250" t="s">
        <v>474</v>
      </c>
      <c r="E250" s="102" t="s">
        <v>433</v>
      </c>
      <c r="F250" s="102" t="s">
        <v>224</v>
      </c>
      <c r="G250" s="220">
        <v>4266</v>
      </c>
    </row>
    <row r="251" spans="1:7" x14ac:dyDescent="0.25">
      <c r="A251" s="12" t="str">
        <f t="shared" si="34"/>
        <v>Residential_Building Shell_Attic Kneewall Insulation #2 (Electric Heat)_HDD_4 (Belleville)</v>
      </c>
      <c r="B251" t="s">
        <v>162</v>
      </c>
      <c r="C251" t="s">
        <v>167</v>
      </c>
      <c r="D251" t="s">
        <v>474</v>
      </c>
      <c r="E251" s="102" t="s">
        <v>433</v>
      </c>
      <c r="F251" s="102" t="s">
        <v>225</v>
      </c>
      <c r="G251" s="220">
        <v>3188</v>
      </c>
    </row>
    <row r="252" spans="1:7" x14ac:dyDescent="0.25">
      <c r="A252" s="12" t="str">
        <f t="shared" si="34"/>
        <v>Residential_Building Shell_Attic Kneewall Insulation #2 (Electric Heat)_HDD_5 (Marion)</v>
      </c>
      <c r="B252" t="s">
        <v>162</v>
      </c>
      <c r="C252" t="s">
        <v>167</v>
      </c>
      <c r="D252" t="s">
        <v>474</v>
      </c>
      <c r="E252" s="102" t="s">
        <v>433</v>
      </c>
      <c r="F252" s="102" t="s">
        <v>226</v>
      </c>
      <c r="G252" s="220">
        <v>3390</v>
      </c>
    </row>
    <row r="253" spans="1:7" x14ac:dyDescent="0.25">
      <c r="A253" s="12" t="str">
        <f t="shared" si="34"/>
        <v>Residential_Building Shell_Attic Kneewall Insulation #2 (Electric Heat)_HDD_Weighted Average</v>
      </c>
      <c r="B253" t="s">
        <v>162</v>
      </c>
      <c r="C253" t="s">
        <v>167</v>
      </c>
      <c r="D253" t="s">
        <v>474</v>
      </c>
      <c r="E253" s="102" t="s">
        <v>433</v>
      </c>
      <c r="F253" s="102" t="s">
        <v>532</v>
      </c>
      <c r="G253" s="220">
        <v>4631</v>
      </c>
    </row>
    <row r="254" spans="1:7" x14ac:dyDescent="0.25">
      <c r="A254" s="12" t="str">
        <f>B254&amp;"_"&amp;C254&amp;"_"&amp;D254&amp;"_"&amp;E254&amp;"_"&amp;F254</f>
        <v>Residential_Building Shell_Attic Kneewall Insulation #2 (Electric Heat)_FLH_cooling_1 (Rockford)</v>
      </c>
      <c r="B254" t="s">
        <v>162</v>
      </c>
      <c r="C254" t="s">
        <v>167</v>
      </c>
      <c r="D254" t="s">
        <v>474</v>
      </c>
      <c r="E254" s="102" t="s">
        <v>442</v>
      </c>
      <c r="F254" s="102" t="s">
        <v>531</v>
      </c>
      <c r="G254" s="220">
        <v>547</v>
      </c>
    </row>
    <row r="255" spans="1:7" x14ac:dyDescent="0.25">
      <c r="A255" s="12" t="str">
        <f t="shared" ref="A255:A259" si="35">B255&amp;"_"&amp;C255&amp;"_"&amp;D255&amp;"_"&amp;E255&amp;"_"&amp;F255</f>
        <v>Residential_Building Shell_Attic Kneewall Insulation #2 (Electric Heat)_FLH_cooling_2 (Chicago)</v>
      </c>
      <c r="B255" t="s">
        <v>162</v>
      </c>
      <c r="C255" t="s">
        <v>167</v>
      </c>
      <c r="D255" t="s">
        <v>474</v>
      </c>
      <c r="E255" s="102" t="s">
        <v>442</v>
      </c>
      <c r="F255" s="102" t="s">
        <v>223</v>
      </c>
      <c r="G255" s="220">
        <v>709</v>
      </c>
    </row>
    <row r="256" spans="1:7" x14ac:dyDescent="0.25">
      <c r="A256" s="12" t="str">
        <f t="shared" si="35"/>
        <v>Residential_Building Shell_Attic Kneewall Insulation #2 (Electric Heat)_FLH_cooling_3 (Springfield)</v>
      </c>
      <c r="B256" t="s">
        <v>162</v>
      </c>
      <c r="C256" t="s">
        <v>167</v>
      </c>
      <c r="D256" t="s">
        <v>474</v>
      </c>
      <c r="E256" s="102" t="s">
        <v>442</v>
      </c>
      <c r="F256" s="102" t="s">
        <v>224</v>
      </c>
      <c r="G256" s="220">
        <v>779</v>
      </c>
    </row>
    <row r="257" spans="1:7" x14ac:dyDescent="0.25">
      <c r="A257" s="12" t="str">
        <f t="shared" si="35"/>
        <v>Residential_Building Shell_Attic Kneewall Insulation #2 (Electric Heat)_FLH_cooling_4 (Belleville)</v>
      </c>
      <c r="B257" t="s">
        <v>162</v>
      </c>
      <c r="C257" t="s">
        <v>167</v>
      </c>
      <c r="D257" t="s">
        <v>474</v>
      </c>
      <c r="E257" s="102" t="s">
        <v>442</v>
      </c>
      <c r="F257" s="102" t="s">
        <v>225</v>
      </c>
      <c r="G257" s="220">
        <v>1082</v>
      </c>
    </row>
    <row r="258" spans="1:7" x14ac:dyDescent="0.25">
      <c r="A258" s="12" t="str">
        <f t="shared" si="35"/>
        <v>Residential_Building Shell_Attic Kneewall Insulation #2 (Electric Heat)_FLH_cooling_5 (Marion)</v>
      </c>
      <c r="B258" t="s">
        <v>162</v>
      </c>
      <c r="C258" t="s">
        <v>167</v>
      </c>
      <c r="D258" t="s">
        <v>474</v>
      </c>
      <c r="E258" s="102" t="s">
        <v>442</v>
      </c>
      <c r="F258" s="102" t="s">
        <v>226</v>
      </c>
      <c r="G258" s="220">
        <v>956</v>
      </c>
    </row>
    <row r="259" spans="1:7" x14ac:dyDescent="0.25">
      <c r="A259" s="12" t="str">
        <f t="shared" si="35"/>
        <v>Residential_Building Shell_Attic Kneewall Insulation #2 (Electric Heat)_FLH_cooling_Weighted Average</v>
      </c>
      <c r="B259" t="s">
        <v>162</v>
      </c>
      <c r="C259" t="s">
        <v>167</v>
      </c>
      <c r="D259" t="s">
        <v>474</v>
      </c>
      <c r="E259" s="102" t="s">
        <v>442</v>
      </c>
      <c r="F259" s="102" t="s">
        <v>532</v>
      </c>
      <c r="G259" s="220">
        <v>875</v>
      </c>
    </row>
    <row r="260" spans="1:7" x14ac:dyDescent="0.25">
      <c r="A260" s="12" t="str">
        <f>B260&amp;"_"&amp;C260&amp;"_"&amp;D260&amp;"_"&amp;E260&amp;"_"&amp;F260</f>
        <v>Residential_Building Shell_Air Sealing (Fossil Fuel Heat)_CDD_1 (Rockford)</v>
      </c>
      <c r="B260" t="s">
        <v>162</v>
      </c>
      <c r="C260" t="s">
        <v>167</v>
      </c>
      <c r="D260" t="s">
        <v>179</v>
      </c>
      <c r="E260" s="102" t="s">
        <v>421</v>
      </c>
      <c r="F260" s="102" t="s">
        <v>531</v>
      </c>
      <c r="G260" s="220">
        <v>877</v>
      </c>
    </row>
    <row r="261" spans="1:7" x14ac:dyDescent="0.25">
      <c r="A261" s="12" t="str">
        <f t="shared" ref="A261:A264" si="36">B261&amp;"_"&amp;C261&amp;"_"&amp;D261&amp;"_"&amp;E261&amp;"_"&amp;F261</f>
        <v>Residential_Building Shell_Air Sealing (Fossil Fuel Heat)_CDD_2 (Chicago)</v>
      </c>
      <c r="B261" t="s">
        <v>162</v>
      </c>
      <c r="C261" t="s">
        <v>167</v>
      </c>
      <c r="D261" t="s">
        <v>179</v>
      </c>
      <c r="E261" s="102" t="s">
        <v>421</v>
      </c>
      <c r="F261" s="102" t="s">
        <v>223</v>
      </c>
      <c r="G261" s="220">
        <v>1047</v>
      </c>
    </row>
    <row r="262" spans="1:7" x14ac:dyDescent="0.25">
      <c r="A262" s="12" t="str">
        <f t="shared" si="36"/>
        <v>Residential_Building Shell_Air Sealing (Fossil Fuel Heat)_CDD_3 (Springfield)</v>
      </c>
      <c r="B262" t="s">
        <v>162</v>
      </c>
      <c r="C262" t="s">
        <v>167</v>
      </c>
      <c r="D262" t="s">
        <v>179</v>
      </c>
      <c r="E262" s="102" t="s">
        <v>421</v>
      </c>
      <c r="F262" s="102" t="s">
        <v>224</v>
      </c>
      <c r="G262" s="220">
        <v>1183</v>
      </c>
    </row>
    <row r="263" spans="1:7" x14ac:dyDescent="0.25">
      <c r="A263" s="12" t="str">
        <f t="shared" si="36"/>
        <v>Residential_Building Shell_Air Sealing (Fossil Fuel Heat)_CDD_4 (Belleville)</v>
      </c>
      <c r="B263" t="s">
        <v>162</v>
      </c>
      <c r="C263" t="s">
        <v>167</v>
      </c>
      <c r="D263" t="s">
        <v>179</v>
      </c>
      <c r="E263" s="102" t="s">
        <v>421</v>
      </c>
      <c r="F263" s="102" t="s">
        <v>225</v>
      </c>
      <c r="G263" s="220">
        <v>1641</v>
      </c>
    </row>
    <row r="264" spans="1:7" x14ac:dyDescent="0.25">
      <c r="A264" s="12" t="str">
        <f t="shared" si="36"/>
        <v>Residential_Building Shell_Air Sealing (Fossil Fuel Heat)_CDD_5 (Marion)</v>
      </c>
      <c r="B264" t="s">
        <v>162</v>
      </c>
      <c r="C264" t="s">
        <v>167</v>
      </c>
      <c r="D264" t="s">
        <v>179</v>
      </c>
      <c r="E264" s="102" t="s">
        <v>421</v>
      </c>
      <c r="F264" s="102" t="s">
        <v>226</v>
      </c>
      <c r="G264" s="220">
        <v>1450</v>
      </c>
    </row>
    <row r="265" spans="1:7" x14ac:dyDescent="0.25">
      <c r="A265" s="12" t="str">
        <f>B265&amp;"_"&amp;C265&amp;"_"&amp;D265&amp;"_"&amp;E265&amp;"_"&amp;F265</f>
        <v>Residential_Building Shell_Air Sealing (Fossil Fuel Heat)_HDD_1 (Rockford)</v>
      </c>
      <c r="B265" t="s">
        <v>162</v>
      </c>
      <c r="C265" t="s">
        <v>167</v>
      </c>
      <c r="D265" t="s">
        <v>179</v>
      </c>
      <c r="E265" s="102" t="s">
        <v>433</v>
      </c>
      <c r="F265" s="102" t="s">
        <v>531</v>
      </c>
      <c r="G265" s="220">
        <v>5230</v>
      </c>
    </row>
    <row r="266" spans="1:7" x14ac:dyDescent="0.25">
      <c r="A266" s="12" t="str">
        <f t="shared" ref="A266:A269" si="37">B266&amp;"_"&amp;C266&amp;"_"&amp;D266&amp;"_"&amp;E266&amp;"_"&amp;F266</f>
        <v>Residential_Building Shell_Air Sealing (Fossil Fuel Heat)_HDD_2 (Chicago)</v>
      </c>
      <c r="B266" t="s">
        <v>162</v>
      </c>
      <c r="C266" t="s">
        <v>167</v>
      </c>
      <c r="D266" t="s">
        <v>179</v>
      </c>
      <c r="E266" s="102" t="s">
        <v>433</v>
      </c>
      <c r="F266" s="102" t="s">
        <v>223</v>
      </c>
      <c r="G266" s="220">
        <v>4798</v>
      </c>
    </row>
    <row r="267" spans="1:7" x14ac:dyDescent="0.25">
      <c r="A267" s="12" t="str">
        <f t="shared" si="37"/>
        <v>Residential_Building Shell_Air Sealing (Fossil Fuel Heat)_HDD_3 (Springfield)</v>
      </c>
      <c r="B267" t="s">
        <v>162</v>
      </c>
      <c r="C267" t="s">
        <v>167</v>
      </c>
      <c r="D267" t="s">
        <v>179</v>
      </c>
      <c r="E267" s="102" t="s">
        <v>433</v>
      </c>
      <c r="F267" s="102" t="s">
        <v>224</v>
      </c>
      <c r="G267" s="220">
        <v>4266</v>
      </c>
    </row>
    <row r="268" spans="1:7" x14ac:dyDescent="0.25">
      <c r="A268" s="12" t="str">
        <f t="shared" si="37"/>
        <v>Residential_Building Shell_Air Sealing (Fossil Fuel Heat)_HDD_4 (Belleville)</v>
      </c>
      <c r="B268" t="s">
        <v>162</v>
      </c>
      <c r="C268" t="s">
        <v>167</v>
      </c>
      <c r="D268" t="s">
        <v>179</v>
      </c>
      <c r="E268" s="102" t="s">
        <v>433</v>
      </c>
      <c r="F268" s="102" t="s">
        <v>225</v>
      </c>
      <c r="G268" s="220">
        <v>3188</v>
      </c>
    </row>
    <row r="269" spans="1:7" x14ac:dyDescent="0.25">
      <c r="A269" s="12" t="str">
        <f t="shared" si="37"/>
        <v>Residential_Building Shell_Air Sealing (Fossil Fuel Heat)_HDD_5 (Marion)</v>
      </c>
      <c r="B269" t="s">
        <v>162</v>
      </c>
      <c r="C269" t="s">
        <v>167</v>
      </c>
      <c r="D269" t="s">
        <v>179</v>
      </c>
      <c r="E269" s="102" t="s">
        <v>433</v>
      </c>
      <c r="F269" s="102" t="s">
        <v>226</v>
      </c>
      <c r="G269" s="220">
        <v>3390</v>
      </c>
    </row>
    <row r="270" spans="1:7" x14ac:dyDescent="0.25">
      <c r="A270" s="12" t="str">
        <f>B270&amp;"_"&amp;C270&amp;"_"&amp;D270&amp;"_"&amp;E270&amp;"_"&amp;F270</f>
        <v>Residential_Building Shell_Air Sealing (Fossil Fuel Heat)_FLH_cooling_1 (Rockford)</v>
      </c>
      <c r="B270" t="s">
        <v>162</v>
      </c>
      <c r="C270" t="s">
        <v>167</v>
      </c>
      <c r="D270" t="s">
        <v>179</v>
      </c>
      <c r="E270" s="102" t="s">
        <v>442</v>
      </c>
      <c r="F270" s="102" t="s">
        <v>531</v>
      </c>
      <c r="G270" s="220">
        <v>547</v>
      </c>
    </row>
    <row r="271" spans="1:7" x14ac:dyDescent="0.25">
      <c r="A271" s="12" t="str">
        <f t="shared" ref="A271:A274" si="38">B271&amp;"_"&amp;C271&amp;"_"&amp;D271&amp;"_"&amp;E271&amp;"_"&amp;F271</f>
        <v>Residential_Building Shell_Air Sealing (Fossil Fuel Heat)_FLH_cooling_2 (Chicago)</v>
      </c>
      <c r="B271" t="s">
        <v>162</v>
      </c>
      <c r="C271" t="s">
        <v>167</v>
      </c>
      <c r="D271" t="s">
        <v>179</v>
      </c>
      <c r="E271" s="102" t="s">
        <v>442</v>
      </c>
      <c r="F271" s="102" t="s">
        <v>223</v>
      </c>
      <c r="G271" s="220">
        <v>709</v>
      </c>
    </row>
    <row r="272" spans="1:7" x14ac:dyDescent="0.25">
      <c r="A272" s="12" t="str">
        <f t="shared" si="38"/>
        <v>Residential_Building Shell_Air Sealing (Fossil Fuel Heat)_FLH_cooling_3 (Springfield)</v>
      </c>
      <c r="B272" t="s">
        <v>162</v>
      </c>
      <c r="C272" t="s">
        <v>167</v>
      </c>
      <c r="D272" t="s">
        <v>179</v>
      </c>
      <c r="E272" s="102" t="s">
        <v>442</v>
      </c>
      <c r="F272" s="102" t="s">
        <v>224</v>
      </c>
      <c r="G272" s="220">
        <v>779</v>
      </c>
    </row>
    <row r="273" spans="1:7" x14ac:dyDescent="0.25">
      <c r="A273" s="12" t="str">
        <f t="shared" si="38"/>
        <v>Residential_Building Shell_Air Sealing (Fossil Fuel Heat)_FLH_cooling_4 (Belleville)</v>
      </c>
      <c r="B273" t="s">
        <v>162</v>
      </c>
      <c r="C273" t="s">
        <v>167</v>
      </c>
      <c r="D273" t="s">
        <v>179</v>
      </c>
      <c r="E273" s="102" t="s">
        <v>442</v>
      </c>
      <c r="F273" s="102" t="s">
        <v>225</v>
      </c>
      <c r="G273" s="220">
        <v>1082</v>
      </c>
    </row>
    <row r="274" spans="1:7" x14ac:dyDescent="0.25">
      <c r="A274" s="12" t="str">
        <f t="shared" si="38"/>
        <v>Residential_Building Shell_Air Sealing (Fossil Fuel Heat)_FLH_cooling_5 (Marion)</v>
      </c>
      <c r="B274" t="s">
        <v>162</v>
      </c>
      <c r="C274" t="s">
        <v>167</v>
      </c>
      <c r="D274" t="s">
        <v>179</v>
      </c>
      <c r="E274" s="102" t="s">
        <v>442</v>
      </c>
      <c r="F274" s="102" t="s">
        <v>226</v>
      </c>
      <c r="G274" s="220">
        <v>956</v>
      </c>
    </row>
    <row r="275" spans="1:7" x14ac:dyDescent="0.25">
      <c r="A275" s="12" t="str">
        <f>B275&amp;"_"&amp;C275&amp;"_"&amp;D275&amp;"_"&amp;E275&amp;"_"&amp;F275</f>
        <v>Residential_Building Shell_Air Sealing (Electric Heat)_CDD_1 (Rockford)</v>
      </c>
      <c r="B275" t="s">
        <v>162</v>
      </c>
      <c r="C275" t="s">
        <v>167</v>
      </c>
      <c r="D275" t="s">
        <v>412</v>
      </c>
      <c r="E275" s="102" t="s">
        <v>421</v>
      </c>
      <c r="F275" s="102" t="s">
        <v>531</v>
      </c>
      <c r="G275" s="220">
        <v>877</v>
      </c>
    </row>
    <row r="276" spans="1:7" x14ac:dyDescent="0.25">
      <c r="A276" s="12" t="str">
        <f t="shared" ref="A276:A279" si="39">B276&amp;"_"&amp;C276&amp;"_"&amp;D276&amp;"_"&amp;E276&amp;"_"&amp;F276</f>
        <v>Residential_Building Shell_Air Sealing (Electric Heat)_CDD_2 (Chicago)</v>
      </c>
      <c r="B276" t="s">
        <v>162</v>
      </c>
      <c r="C276" t="s">
        <v>167</v>
      </c>
      <c r="D276" t="s">
        <v>412</v>
      </c>
      <c r="E276" s="102" t="s">
        <v>421</v>
      </c>
      <c r="F276" s="102" t="s">
        <v>223</v>
      </c>
      <c r="G276" s="220">
        <v>1047</v>
      </c>
    </row>
    <row r="277" spans="1:7" x14ac:dyDescent="0.25">
      <c r="A277" s="12" t="str">
        <f t="shared" si="39"/>
        <v>Residential_Building Shell_Air Sealing (Electric Heat)_CDD_3 (Springfield)</v>
      </c>
      <c r="B277" t="s">
        <v>162</v>
      </c>
      <c r="C277" t="s">
        <v>167</v>
      </c>
      <c r="D277" t="s">
        <v>412</v>
      </c>
      <c r="E277" s="102" t="s">
        <v>421</v>
      </c>
      <c r="F277" s="102" t="s">
        <v>224</v>
      </c>
      <c r="G277" s="220">
        <v>1183</v>
      </c>
    </row>
    <row r="278" spans="1:7" x14ac:dyDescent="0.25">
      <c r="A278" s="12" t="str">
        <f t="shared" si="39"/>
        <v>Residential_Building Shell_Air Sealing (Electric Heat)_CDD_4 (Belleville)</v>
      </c>
      <c r="B278" t="s">
        <v>162</v>
      </c>
      <c r="C278" t="s">
        <v>167</v>
      </c>
      <c r="D278" t="s">
        <v>412</v>
      </c>
      <c r="E278" s="102" t="s">
        <v>421</v>
      </c>
      <c r="F278" s="102" t="s">
        <v>225</v>
      </c>
      <c r="G278" s="220">
        <v>1641</v>
      </c>
    </row>
    <row r="279" spans="1:7" x14ac:dyDescent="0.25">
      <c r="A279" s="12" t="str">
        <f t="shared" si="39"/>
        <v>Residential_Building Shell_Air Sealing (Electric Heat)_CDD_5 (Marion)</v>
      </c>
      <c r="B279" t="s">
        <v>162</v>
      </c>
      <c r="C279" t="s">
        <v>167</v>
      </c>
      <c r="D279" t="s">
        <v>412</v>
      </c>
      <c r="E279" s="102" t="s">
        <v>421</v>
      </c>
      <c r="F279" s="102" t="s">
        <v>226</v>
      </c>
      <c r="G279" s="220">
        <v>1450</v>
      </c>
    </row>
    <row r="280" spans="1:7" x14ac:dyDescent="0.25">
      <c r="A280" s="12" t="str">
        <f>B280&amp;"_"&amp;C280&amp;"_"&amp;D280&amp;"_"&amp;E280&amp;"_"&amp;F280</f>
        <v>Residential_Building Shell_Air Sealing (Electric Heat)_HDD_1 (Rockford)</v>
      </c>
      <c r="B280" t="s">
        <v>162</v>
      </c>
      <c r="C280" t="s">
        <v>167</v>
      </c>
      <c r="D280" t="s">
        <v>412</v>
      </c>
      <c r="E280" s="102" t="s">
        <v>433</v>
      </c>
      <c r="F280" s="102" t="s">
        <v>531</v>
      </c>
      <c r="G280" s="220">
        <v>5230</v>
      </c>
    </row>
    <row r="281" spans="1:7" x14ac:dyDescent="0.25">
      <c r="A281" s="12" t="str">
        <f t="shared" ref="A281:A284" si="40">B281&amp;"_"&amp;C281&amp;"_"&amp;D281&amp;"_"&amp;E281&amp;"_"&amp;F281</f>
        <v>Residential_Building Shell_Air Sealing (Electric Heat)_HDD_2 (Chicago)</v>
      </c>
      <c r="B281" t="s">
        <v>162</v>
      </c>
      <c r="C281" t="s">
        <v>167</v>
      </c>
      <c r="D281" t="s">
        <v>412</v>
      </c>
      <c r="E281" s="102" t="s">
        <v>433</v>
      </c>
      <c r="F281" s="102" t="s">
        <v>223</v>
      </c>
      <c r="G281" s="220">
        <v>4798</v>
      </c>
    </row>
    <row r="282" spans="1:7" x14ac:dyDescent="0.25">
      <c r="A282" s="12" t="str">
        <f t="shared" si="40"/>
        <v>Residential_Building Shell_Air Sealing (Electric Heat)_HDD_3 (Springfield)</v>
      </c>
      <c r="B282" t="s">
        <v>162</v>
      </c>
      <c r="C282" t="s">
        <v>167</v>
      </c>
      <c r="D282" t="s">
        <v>412</v>
      </c>
      <c r="E282" s="102" t="s">
        <v>433</v>
      </c>
      <c r="F282" s="102" t="s">
        <v>224</v>
      </c>
      <c r="G282" s="220">
        <v>4266</v>
      </c>
    </row>
    <row r="283" spans="1:7" x14ac:dyDescent="0.25">
      <c r="A283" s="12" t="str">
        <f t="shared" si="40"/>
        <v>Residential_Building Shell_Air Sealing (Electric Heat)_HDD_4 (Belleville)</v>
      </c>
      <c r="B283" t="s">
        <v>162</v>
      </c>
      <c r="C283" t="s">
        <v>167</v>
      </c>
      <c r="D283" t="s">
        <v>412</v>
      </c>
      <c r="E283" s="102" t="s">
        <v>433</v>
      </c>
      <c r="F283" s="102" t="s">
        <v>225</v>
      </c>
      <c r="G283" s="220">
        <v>3188</v>
      </c>
    </row>
    <row r="284" spans="1:7" x14ac:dyDescent="0.25">
      <c r="A284" s="12" t="str">
        <f t="shared" si="40"/>
        <v>Residential_Building Shell_Air Sealing (Electric Heat)_HDD_5 (Marion)</v>
      </c>
      <c r="B284" t="s">
        <v>162</v>
      </c>
      <c r="C284" t="s">
        <v>167</v>
      </c>
      <c r="D284" t="s">
        <v>412</v>
      </c>
      <c r="E284" s="102" t="s">
        <v>433</v>
      </c>
      <c r="F284" s="102" t="s">
        <v>226</v>
      </c>
      <c r="G284" s="220">
        <v>3390</v>
      </c>
    </row>
    <row r="285" spans="1:7" x14ac:dyDescent="0.25">
      <c r="A285" s="12" t="str">
        <f>B285&amp;"_"&amp;C285&amp;"_"&amp;D285&amp;"_"&amp;E285&amp;"_"&amp;F285</f>
        <v>Residential_Building Shell_Air Sealing (Electric Heat)_FLH_cooling_1 (Rockford)</v>
      </c>
      <c r="B285" t="s">
        <v>162</v>
      </c>
      <c r="C285" t="s">
        <v>167</v>
      </c>
      <c r="D285" t="s">
        <v>412</v>
      </c>
      <c r="E285" s="102" t="s">
        <v>442</v>
      </c>
      <c r="F285" s="102" t="s">
        <v>531</v>
      </c>
      <c r="G285" s="220">
        <v>547</v>
      </c>
    </row>
    <row r="286" spans="1:7" x14ac:dyDescent="0.25">
      <c r="A286" s="12" t="str">
        <f t="shared" ref="A286:A289" si="41">B286&amp;"_"&amp;C286&amp;"_"&amp;D286&amp;"_"&amp;E286&amp;"_"&amp;F286</f>
        <v>Residential_Building Shell_Air Sealing (Electric Heat)_FLH_cooling_2 (Chicago)</v>
      </c>
      <c r="B286" t="s">
        <v>162</v>
      </c>
      <c r="C286" t="s">
        <v>167</v>
      </c>
      <c r="D286" t="s">
        <v>412</v>
      </c>
      <c r="E286" s="102" t="s">
        <v>442</v>
      </c>
      <c r="F286" s="102" t="s">
        <v>223</v>
      </c>
      <c r="G286" s="220">
        <v>709</v>
      </c>
    </row>
    <row r="287" spans="1:7" x14ac:dyDescent="0.25">
      <c r="A287" s="12" t="str">
        <f t="shared" si="41"/>
        <v>Residential_Building Shell_Air Sealing (Electric Heat)_FLH_cooling_3 (Springfield)</v>
      </c>
      <c r="B287" t="s">
        <v>162</v>
      </c>
      <c r="C287" t="s">
        <v>167</v>
      </c>
      <c r="D287" t="s">
        <v>412</v>
      </c>
      <c r="E287" s="102" t="s">
        <v>442</v>
      </c>
      <c r="F287" s="102" t="s">
        <v>224</v>
      </c>
      <c r="G287" s="220">
        <v>779</v>
      </c>
    </row>
    <row r="288" spans="1:7" x14ac:dyDescent="0.25">
      <c r="A288" s="12" t="str">
        <f t="shared" si="41"/>
        <v>Residential_Building Shell_Air Sealing (Electric Heat)_FLH_cooling_4 (Belleville)</v>
      </c>
      <c r="B288" t="s">
        <v>162</v>
      </c>
      <c r="C288" t="s">
        <v>167</v>
      </c>
      <c r="D288" t="s">
        <v>412</v>
      </c>
      <c r="E288" s="102" t="s">
        <v>442</v>
      </c>
      <c r="F288" s="102" t="s">
        <v>225</v>
      </c>
      <c r="G288" s="220">
        <v>1082</v>
      </c>
    </row>
    <row r="289" spans="1:7" x14ac:dyDescent="0.25">
      <c r="A289" s="12" t="str">
        <f t="shared" si="41"/>
        <v>Residential_Building Shell_Air Sealing (Electric Heat)_FLH_cooling_5 (Marion)</v>
      </c>
      <c r="B289" t="s">
        <v>162</v>
      </c>
      <c r="C289" t="s">
        <v>167</v>
      </c>
      <c r="D289" t="s">
        <v>412</v>
      </c>
      <c r="E289" s="102" t="s">
        <v>442</v>
      </c>
      <c r="F289" s="102" t="s">
        <v>226</v>
      </c>
      <c r="G289" s="220">
        <v>956</v>
      </c>
    </row>
    <row r="290" spans="1:7" x14ac:dyDescent="0.25">
      <c r="A290" s="12" t="str">
        <f t="shared" ref="A290:A300" si="42">B290&amp;"_"&amp;C290&amp;"_"&amp;D290&amp;"_"&amp;E290&amp;"_"&amp;F290</f>
        <v>Residential_Building Shell_Wall Insulation (Fossil Fuel Heat)_CDD_1 (Rockford)</v>
      </c>
      <c r="B290" t="s">
        <v>162</v>
      </c>
      <c r="C290" t="s">
        <v>167</v>
      </c>
      <c r="D290" t="s">
        <v>184</v>
      </c>
      <c r="E290" s="102" t="s">
        <v>421</v>
      </c>
      <c r="F290" s="102" t="s">
        <v>531</v>
      </c>
      <c r="G290" s="220">
        <v>877</v>
      </c>
    </row>
    <row r="291" spans="1:7" x14ac:dyDescent="0.25">
      <c r="A291" s="12" t="str">
        <f t="shared" si="42"/>
        <v>Residential_Building Shell_Wall Insulation (Fossil Fuel Heat)_CDD_2 (Chicago)</v>
      </c>
      <c r="B291" t="s">
        <v>162</v>
      </c>
      <c r="C291" t="s">
        <v>167</v>
      </c>
      <c r="D291" t="s">
        <v>184</v>
      </c>
      <c r="E291" s="102" t="s">
        <v>421</v>
      </c>
      <c r="F291" s="102" t="s">
        <v>223</v>
      </c>
      <c r="G291" s="220">
        <v>1047</v>
      </c>
    </row>
    <row r="292" spans="1:7" x14ac:dyDescent="0.25">
      <c r="A292" s="12" t="str">
        <f t="shared" si="42"/>
        <v>Residential_Building Shell_Wall Insulation (Fossil Fuel Heat)_CDD_3 (Springfield)</v>
      </c>
      <c r="B292" t="s">
        <v>162</v>
      </c>
      <c r="C292" t="s">
        <v>167</v>
      </c>
      <c r="D292" t="s">
        <v>184</v>
      </c>
      <c r="E292" s="102" t="s">
        <v>421</v>
      </c>
      <c r="F292" s="102" t="s">
        <v>224</v>
      </c>
      <c r="G292" s="220">
        <v>1183</v>
      </c>
    </row>
    <row r="293" spans="1:7" x14ac:dyDescent="0.25">
      <c r="A293" s="12" t="str">
        <f t="shared" si="42"/>
        <v>Residential_Building Shell_Wall Insulation (Fossil Fuel Heat)_CDD_4 (Belleville)</v>
      </c>
      <c r="B293" t="s">
        <v>162</v>
      </c>
      <c r="C293" t="s">
        <v>167</v>
      </c>
      <c r="D293" t="s">
        <v>184</v>
      </c>
      <c r="E293" s="102" t="s">
        <v>421</v>
      </c>
      <c r="F293" s="102" t="s">
        <v>225</v>
      </c>
      <c r="G293" s="220">
        <v>1641</v>
      </c>
    </row>
    <row r="294" spans="1:7" x14ac:dyDescent="0.25">
      <c r="A294" s="12" t="str">
        <f t="shared" si="42"/>
        <v>Residential_Building Shell_Wall Insulation (Fossil Fuel Heat)_CDD_5 (Marion)</v>
      </c>
      <c r="B294" t="s">
        <v>162</v>
      </c>
      <c r="C294" t="s">
        <v>167</v>
      </c>
      <c r="D294" t="s">
        <v>184</v>
      </c>
      <c r="E294" s="102" t="s">
        <v>421</v>
      </c>
      <c r="F294" s="102" t="s">
        <v>226</v>
      </c>
      <c r="G294" s="220">
        <v>1450</v>
      </c>
    </row>
    <row r="295" spans="1:7" x14ac:dyDescent="0.25">
      <c r="A295" s="12" t="str">
        <f t="shared" si="42"/>
        <v>Residential_Building Shell_Wall Insulation (Fossil Fuel Heat)_HDD_1 (Rockford)</v>
      </c>
      <c r="B295" t="s">
        <v>162</v>
      </c>
      <c r="C295" t="s">
        <v>167</v>
      </c>
      <c r="D295" t="s">
        <v>184</v>
      </c>
      <c r="E295" s="102" t="s">
        <v>433</v>
      </c>
      <c r="F295" s="102" t="s">
        <v>531</v>
      </c>
      <c r="G295" s="220">
        <v>5230</v>
      </c>
    </row>
    <row r="296" spans="1:7" x14ac:dyDescent="0.25">
      <c r="A296" s="12" t="str">
        <f t="shared" si="42"/>
        <v>Residential_Building Shell_Wall Insulation (Fossil Fuel Heat)_HDD_2 (Chicago)</v>
      </c>
      <c r="B296" t="s">
        <v>162</v>
      </c>
      <c r="C296" t="s">
        <v>167</v>
      </c>
      <c r="D296" t="s">
        <v>184</v>
      </c>
      <c r="E296" s="102" t="s">
        <v>433</v>
      </c>
      <c r="F296" s="102" t="s">
        <v>223</v>
      </c>
      <c r="G296" s="220">
        <v>4798</v>
      </c>
    </row>
    <row r="297" spans="1:7" x14ac:dyDescent="0.25">
      <c r="A297" s="12" t="str">
        <f t="shared" si="42"/>
        <v>Residential_Building Shell_Wall Insulation (Fossil Fuel Heat)_HDD_3 (Springfield)</v>
      </c>
      <c r="B297" t="s">
        <v>162</v>
      </c>
      <c r="C297" t="s">
        <v>167</v>
      </c>
      <c r="D297" t="s">
        <v>184</v>
      </c>
      <c r="E297" s="102" t="s">
        <v>433</v>
      </c>
      <c r="F297" s="102" t="s">
        <v>224</v>
      </c>
      <c r="G297" s="220">
        <v>4266</v>
      </c>
    </row>
    <row r="298" spans="1:7" x14ac:dyDescent="0.25">
      <c r="A298" s="12" t="str">
        <f t="shared" si="42"/>
        <v>Residential_Building Shell_Wall Insulation (Fossil Fuel Heat)_HDD_4 (Belleville)</v>
      </c>
      <c r="B298" t="s">
        <v>162</v>
      </c>
      <c r="C298" t="s">
        <v>167</v>
      </c>
      <c r="D298" t="s">
        <v>184</v>
      </c>
      <c r="E298" s="102" t="s">
        <v>433</v>
      </c>
      <c r="F298" s="102" t="s">
        <v>225</v>
      </c>
      <c r="G298" s="220">
        <v>3188</v>
      </c>
    </row>
    <row r="299" spans="1:7" x14ac:dyDescent="0.25">
      <c r="A299" s="12" t="str">
        <f t="shared" si="42"/>
        <v>Residential_Building Shell_Wall Insulation (Fossil Fuel Heat)_HDD_5 (Marion)</v>
      </c>
      <c r="B299" t="s">
        <v>162</v>
      </c>
      <c r="C299" t="s">
        <v>167</v>
      </c>
      <c r="D299" t="s">
        <v>184</v>
      </c>
      <c r="E299" s="102" t="s">
        <v>433</v>
      </c>
      <c r="F299" s="102" t="s">
        <v>226</v>
      </c>
      <c r="G299" s="220">
        <v>3390</v>
      </c>
    </row>
    <row r="300" spans="1:7" x14ac:dyDescent="0.25">
      <c r="A300" s="12" t="str">
        <f t="shared" si="42"/>
        <v>Residential_Building Shell_Wall Insulation (Fossil Fuel Heat)_FLH_cooling_1 (Rockford)</v>
      </c>
      <c r="B300" t="s">
        <v>162</v>
      </c>
      <c r="C300" t="s">
        <v>167</v>
      </c>
      <c r="D300" t="s">
        <v>184</v>
      </c>
      <c r="E300" s="102" t="s">
        <v>442</v>
      </c>
      <c r="F300" s="102" t="s">
        <v>531</v>
      </c>
      <c r="G300" s="220">
        <v>547</v>
      </c>
    </row>
    <row r="301" spans="1:7" x14ac:dyDescent="0.25">
      <c r="A301" s="12" t="str">
        <f t="shared" ref="A301:A304" si="43">B301&amp;"_"&amp;C301&amp;"_"&amp;D301&amp;"_"&amp;E301&amp;"_"&amp;F301</f>
        <v>Residential_Building Shell_Wall Insulation (Fossil Fuel Heat)_FLH_cooling_2 (Chicago)</v>
      </c>
      <c r="B301" t="s">
        <v>162</v>
      </c>
      <c r="C301" t="s">
        <v>167</v>
      </c>
      <c r="D301" t="s">
        <v>184</v>
      </c>
      <c r="E301" s="102" t="s">
        <v>442</v>
      </c>
      <c r="F301" s="102" t="s">
        <v>223</v>
      </c>
      <c r="G301" s="220">
        <v>709</v>
      </c>
    </row>
    <row r="302" spans="1:7" x14ac:dyDescent="0.25">
      <c r="A302" s="12" t="str">
        <f t="shared" si="43"/>
        <v>Residential_Building Shell_Wall Insulation (Fossil Fuel Heat)_FLH_cooling_3 (Springfield)</v>
      </c>
      <c r="B302" t="s">
        <v>162</v>
      </c>
      <c r="C302" t="s">
        <v>167</v>
      </c>
      <c r="D302" t="s">
        <v>184</v>
      </c>
      <c r="E302" s="102" t="s">
        <v>442</v>
      </c>
      <c r="F302" s="102" t="s">
        <v>224</v>
      </c>
      <c r="G302" s="220">
        <v>779</v>
      </c>
    </row>
    <row r="303" spans="1:7" x14ac:dyDescent="0.25">
      <c r="A303" s="12" t="str">
        <f t="shared" si="43"/>
        <v>Residential_Building Shell_Wall Insulation (Fossil Fuel Heat)_FLH_cooling_4 (Belleville)</v>
      </c>
      <c r="B303" t="s">
        <v>162</v>
      </c>
      <c r="C303" t="s">
        <v>167</v>
      </c>
      <c r="D303" t="s">
        <v>184</v>
      </c>
      <c r="E303" s="102" t="s">
        <v>442</v>
      </c>
      <c r="F303" s="102" t="s">
        <v>225</v>
      </c>
      <c r="G303" s="220">
        <v>1082</v>
      </c>
    </row>
    <row r="304" spans="1:7" x14ac:dyDescent="0.25">
      <c r="A304" s="12" t="str">
        <f t="shared" si="43"/>
        <v>Residential_Building Shell_Wall Insulation (Fossil Fuel Heat)_FLH_cooling_5 (Marion)</v>
      </c>
      <c r="B304" t="s">
        <v>162</v>
      </c>
      <c r="C304" t="s">
        <v>167</v>
      </c>
      <c r="D304" t="s">
        <v>184</v>
      </c>
      <c r="E304" s="102" t="s">
        <v>442</v>
      </c>
      <c r="F304" s="102" t="s">
        <v>226</v>
      </c>
      <c r="G304" s="220">
        <v>956</v>
      </c>
    </row>
    <row r="305" spans="1:7" x14ac:dyDescent="0.25">
      <c r="A305" s="12" t="str">
        <f t="shared" ref="A305:A315" si="44">B305&amp;"_"&amp;C305&amp;"_"&amp;D305&amp;"_"&amp;E305&amp;"_"&amp;F305</f>
        <v>Residential_Building Shell_Wall Insulation (Electric Heat)_CDD_1 (Rockford)</v>
      </c>
      <c r="B305" t="s">
        <v>162</v>
      </c>
      <c r="C305" t="s">
        <v>167</v>
      </c>
      <c r="D305" t="s">
        <v>475</v>
      </c>
      <c r="E305" s="102" t="s">
        <v>421</v>
      </c>
      <c r="F305" s="102" t="s">
        <v>531</v>
      </c>
      <c r="G305" s="220">
        <v>877</v>
      </c>
    </row>
    <row r="306" spans="1:7" x14ac:dyDescent="0.25">
      <c r="A306" s="12" t="str">
        <f t="shared" si="44"/>
        <v>Residential_Building Shell_Wall Insulation (Electric Heat)_CDD_2 (Chicago)</v>
      </c>
      <c r="B306" t="s">
        <v>162</v>
      </c>
      <c r="C306" t="s">
        <v>167</v>
      </c>
      <c r="D306" t="s">
        <v>475</v>
      </c>
      <c r="E306" s="102" t="s">
        <v>421</v>
      </c>
      <c r="F306" s="102" t="s">
        <v>223</v>
      </c>
      <c r="G306" s="220">
        <v>1047</v>
      </c>
    </row>
    <row r="307" spans="1:7" x14ac:dyDescent="0.25">
      <c r="A307" s="12" t="str">
        <f t="shared" si="44"/>
        <v>Residential_Building Shell_Wall Insulation (Electric Heat)_CDD_3 (Springfield)</v>
      </c>
      <c r="B307" t="s">
        <v>162</v>
      </c>
      <c r="C307" t="s">
        <v>167</v>
      </c>
      <c r="D307" t="s">
        <v>475</v>
      </c>
      <c r="E307" s="102" t="s">
        <v>421</v>
      </c>
      <c r="F307" s="102" t="s">
        <v>224</v>
      </c>
      <c r="G307" s="220">
        <v>1183</v>
      </c>
    </row>
    <row r="308" spans="1:7" x14ac:dyDescent="0.25">
      <c r="A308" s="12" t="str">
        <f t="shared" si="44"/>
        <v>Residential_Building Shell_Wall Insulation (Electric Heat)_CDD_4 (Belleville)</v>
      </c>
      <c r="B308" t="s">
        <v>162</v>
      </c>
      <c r="C308" t="s">
        <v>167</v>
      </c>
      <c r="D308" t="s">
        <v>475</v>
      </c>
      <c r="E308" s="102" t="s">
        <v>421</v>
      </c>
      <c r="F308" s="102" t="s">
        <v>225</v>
      </c>
      <c r="G308" s="220">
        <v>1641</v>
      </c>
    </row>
    <row r="309" spans="1:7" x14ac:dyDescent="0.25">
      <c r="A309" s="12" t="str">
        <f t="shared" si="44"/>
        <v>Residential_Building Shell_Wall Insulation (Electric Heat)_CDD_5 (Marion)</v>
      </c>
      <c r="B309" t="s">
        <v>162</v>
      </c>
      <c r="C309" t="s">
        <v>167</v>
      </c>
      <c r="D309" t="s">
        <v>475</v>
      </c>
      <c r="E309" s="102" t="s">
        <v>421</v>
      </c>
      <c r="F309" s="102" t="s">
        <v>226</v>
      </c>
      <c r="G309" s="220">
        <v>1450</v>
      </c>
    </row>
    <row r="310" spans="1:7" x14ac:dyDescent="0.25">
      <c r="A310" s="12" t="str">
        <f t="shared" si="44"/>
        <v>Residential_Building Shell_Wall Insulation (Electric Heat)_HDD_1 (Rockford)</v>
      </c>
      <c r="B310" t="s">
        <v>162</v>
      </c>
      <c r="C310" t="s">
        <v>167</v>
      </c>
      <c r="D310" t="s">
        <v>475</v>
      </c>
      <c r="E310" s="102" t="s">
        <v>433</v>
      </c>
      <c r="F310" s="102" t="s">
        <v>531</v>
      </c>
      <c r="G310" s="220">
        <v>5230</v>
      </c>
    </row>
    <row r="311" spans="1:7" x14ac:dyDescent="0.25">
      <c r="A311" s="12" t="str">
        <f t="shared" si="44"/>
        <v>Residential_Building Shell_Wall Insulation (Electric Heat)_HDD_2 (Chicago)</v>
      </c>
      <c r="B311" t="s">
        <v>162</v>
      </c>
      <c r="C311" t="s">
        <v>167</v>
      </c>
      <c r="D311" t="s">
        <v>475</v>
      </c>
      <c r="E311" s="102" t="s">
        <v>433</v>
      </c>
      <c r="F311" s="102" t="s">
        <v>223</v>
      </c>
      <c r="G311" s="220">
        <v>4798</v>
      </c>
    </row>
    <row r="312" spans="1:7" x14ac:dyDescent="0.25">
      <c r="A312" s="12" t="str">
        <f t="shared" si="44"/>
        <v>Residential_Building Shell_Wall Insulation (Electric Heat)_HDD_3 (Springfield)</v>
      </c>
      <c r="B312" t="s">
        <v>162</v>
      </c>
      <c r="C312" t="s">
        <v>167</v>
      </c>
      <c r="D312" t="s">
        <v>475</v>
      </c>
      <c r="E312" s="102" t="s">
        <v>433</v>
      </c>
      <c r="F312" s="102" t="s">
        <v>224</v>
      </c>
      <c r="G312" s="220">
        <v>4266</v>
      </c>
    </row>
    <row r="313" spans="1:7" x14ac:dyDescent="0.25">
      <c r="A313" s="12" t="str">
        <f t="shared" si="44"/>
        <v>Residential_Building Shell_Wall Insulation (Electric Heat)_HDD_4 (Belleville)</v>
      </c>
      <c r="B313" t="s">
        <v>162</v>
      </c>
      <c r="C313" t="s">
        <v>167</v>
      </c>
      <c r="D313" t="s">
        <v>475</v>
      </c>
      <c r="E313" s="102" t="s">
        <v>433</v>
      </c>
      <c r="F313" s="102" t="s">
        <v>225</v>
      </c>
      <c r="G313" s="220">
        <v>3188</v>
      </c>
    </row>
    <row r="314" spans="1:7" x14ac:dyDescent="0.25">
      <c r="A314" s="12" t="str">
        <f t="shared" si="44"/>
        <v>Residential_Building Shell_Wall Insulation (Electric Heat)_HDD_5 (Marion)</v>
      </c>
      <c r="B314" t="s">
        <v>162</v>
      </c>
      <c r="C314" t="s">
        <v>167</v>
      </c>
      <c r="D314" t="s">
        <v>475</v>
      </c>
      <c r="E314" s="102" t="s">
        <v>433</v>
      </c>
      <c r="F314" s="102" t="s">
        <v>226</v>
      </c>
      <c r="G314" s="220">
        <v>3390</v>
      </c>
    </row>
    <row r="315" spans="1:7" x14ac:dyDescent="0.25">
      <c r="A315" s="12" t="str">
        <f t="shared" si="44"/>
        <v>Residential_Building Shell_Wall Insulation (Electric Heat)_FLH_cooling_1 (Rockford)</v>
      </c>
      <c r="B315" t="s">
        <v>162</v>
      </c>
      <c r="C315" t="s">
        <v>167</v>
      </c>
      <c r="D315" t="s">
        <v>475</v>
      </c>
      <c r="E315" s="102" t="s">
        <v>442</v>
      </c>
      <c r="F315" s="102" t="s">
        <v>531</v>
      </c>
      <c r="G315" s="220">
        <v>547</v>
      </c>
    </row>
    <row r="316" spans="1:7" x14ac:dyDescent="0.25">
      <c r="A316" s="12" t="str">
        <f t="shared" ref="A316:A319" si="45">B316&amp;"_"&amp;C316&amp;"_"&amp;D316&amp;"_"&amp;E316&amp;"_"&amp;F316</f>
        <v>Residential_Building Shell_Wall Insulation (Electric Heat)_FLH_cooling_2 (Chicago)</v>
      </c>
      <c r="B316" t="s">
        <v>162</v>
      </c>
      <c r="C316" t="s">
        <v>167</v>
      </c>
      <c r="D316" t="s">
        <v>475</v>
      </c>
      <c r="E316" s="102" t="s">
        <v>442</v>
      </c>
      <c r="F316" s="102" t="s">
        <v>223</v>
      </c>
      <c r="G316" s="220">
        <v>709</v>
      </c>
    </row>
    <row r="317" spans="1:7" x14ac:dyDescent="0.25">
      <c r="A317" s="12" t="str">
        <f t="shared" si="45"/>
        <v>Residential_Building Shell_Wall Insulation (Electric Heat)_FLH_cooling_3 (Springfield)</v>
      </c>
      <c r="B317" t="s">
        <v>162</v>
      </c>
      <c r="C317" t="s">
        <v>167</v>
      </c>
      <c r="D317" t="s">
        <v>475</v>
      </c>
      <c r="E317" s="102" t="s">
        <v>442</v>
      </c>
      <c r="F317" s="102" t="s">
        <v>224</v>
      </c>
      <c r="G317" s="220">
        <v>779</v>
      </c>
    </row>
    <row r="318" spans="1:7" x14ac:dyDescent="0.25">
      <c r="A318" s="12" t="str">
        <f t="shared" si="45"/>
        <v>Residential_Building Shell_Wall Insulation (Electric Heat)_FLH_cooling_4 (Belleville)</v>
      </c>
      <c r="B318" t="s">
        <v>162</v>
      </c>
      <c r="C318" t="s">
        <v>167</v>
      </c>
      <c r="D318" t="s">
        <v>475</v>
      </c>
      <c r="E318" s="102" t="s">
        <v>442</v>
      </c>
      <c r="F318" s="102" t="s">
        <v>225</v>
      </c>
      <c r="G318" s="220">
        <v>1082</v>
      </c>
    </row>
    <row r="319" spans="1:7" x14ac:dyDescent="0.25">
      <c r="A319" s="12" t="str">
        <f t="shared" si="45"/>
        <v>Residential_Building Shell_Wall Insulation (Electric Heat)_FLH_cooling_5 (Marion)</v>
      </c>
      <c r="B319" t="s">
        <v>162</v>
      </c>
      <c r="C319" t="s">
        <v>167</v>
      </c>
      <c r="D319" t="s">
        <v>475</v>
      </c>
      <c r="E319" s="102" t="s">
        <v>442</v>
      </c>
      <c r="F319" s="102" t="s">
        <v>226</v>
      </c>
      <c r="G319" s="220">
        <v>956</v>
      </c>
    </row>
    <row r="320" spans="1:7" x14ac:dyDescent="0.25">
      <c r="A320" s="12" t="str">
        <f>B320&amp;"_"&amp;C320&amp;"_"&amp;D320&amp;"_"&amp;E320&amp;"_"&amp;F320</f>
        <v>Residential_Building Shell_Rim/Band Joist Insulation (Fossil Fuel Heat)_CDD_1 (Rockford)</v>
      </c>
      <c r="B320" t="s">
        <v>162</v>
      </c>
      <c r="C320" t="s">
        <v>167</v>
      </c>
      <c r="D320" t="s">
        <v>185</v>
      </c>
      <c r="E320" s="102" t="s">
        <v>421</v>
      </c>
      <c r="F320" s="102" t="s">
        <v>531</v>
      </c>
      <c r="G320" s="220">
        <v>326</v>
      </c>
    </row>
    <row r="321" spans="1:7" x14ac:dyDescent="0.25">
      <c r="A321" s="12" t="str">
        <f t="shared" ref="A321:A324" si="46">B321&amp;"_"&amp;C321&amp;"_"&amp;D321&amp;"_"&amp;E321&amp;"_"&amp;F321</f>
        <v>Residential_Building Shell_Rim/Band Joist Insulation (Fossil Fuel Heat)_CDD_2 (Chicago)</v>
      </c>
      <c r="B321" t="s">
        <v>162</v>
      </c>
      <c r="C321" t="s">
        <v>167</v>
      </c>
      <c r="D321" t="s">
        <v>185</v>
      </c>
      <c r="E321" s="102" t="s">
        <v>421</v>
      </c>
      <c r="F321" s="102" t="s">
        <v>223</v>
      </c>
      <c r="G321" s="220">
        <v>354</v>
      </c>
    </row>
    <row r="322" spans="1:7" x14ac:dyDescent="0.25">
      <c r="A322" s="12" t="str">
        <f t="shared" si="46"/>
        <v>Residential_Building Shell_Rim/Band Joist Insulation (Fossil Fuel Heat)_CDD_3 (Springfield)</v>
      </c>
      <c r="B322" t="s">
        <v>162</v>
      </c>
      <c r="C322" t="s">
        <v>167</v>
      </c>
      <c r="D322" t="s">
        <v>185</v>
      </c>
      <c r="E322" s="102" t="s">
        <v>421</v>
      </c>
      <c r="F322" s="102" t="s">
        <v>224</v>
      </c>
      <c r="G322" s="220">
        <v>448</v>
      </c>
    </row>
    <row r="323" spans="1:7" x14ac:dyDescent="0.25">
      <c r="A323" s="12" t="str">
        <f t="shared" si="46"/>
        <v>Residential_Building Shell_Rim/Band Joist Insulation (Fossil Fuel Heat)_CDD_4 (Belleville)</v>
      </c>
      <c r="B323" t="s">
        <v>162</v>
      </c>
      <c r="C323" t="s">
        <v>167</v>
      </c>
      <c r="D323" t="s">
        <v>185</v>
      </c>
      <c r="E323" s="102" t="s">
        <v>421</v>
      </c>
      <c r="F323" s="102" t="s">
        <v>225</v>
      </c>
      <c r="G323" s="220">
        <v>532</v>
      </c>
    </row>
    <row r="324" spans="1:7" x14ac:dyDescent="0.25">
      <c r="A324" s="12" t="str">
        <f t="shared" si="46"/>
        <v>Residential_Building Shell_Rim/Band Joist Insulation (Fossil Fuel Heat)_CDD_5 (Marion)</v>
      </c>
      <c r="B324" t="s">
        <v>162</v>
      </c>
      <c r="C324" t="s">
        <v>167</v>
      </c>
      <c r="D324" t="s">
        <v>185</v>
      </c>
      <c r="E324" s="102" t="s">
        <v>421</v>
      </c>
      <c r="F324" s="102" t="s">
        <v>226</v>
      </c>
      <c r="G324" s="220">
        <v>516</v>
      </c>
    </row>
    <row r="325" spans="1:7" x14ac:dyDescent="0.25">
      <c r="A325" s="12" t="str">
        <f>B325&amp;"_"&amp;C325&amp;"_"&amp;D325&amp;"_"&amp;E325&amp;"_"&amp;F325</f>
        <v>Residential_Building Shell_Rim/Band Joist Insulation (Fossil Fuel Heat)_HDD_1 (Rockford)</v>
      </c>
      <c r="B325" t="s">
        <v>162</v>
      </c>
      <c r="C325" t="s">
        <v>167</v>
      </c>
      <c r="D325" t="s">
        <v>185</v>
      </c>
      <c r="E325" s="102" t="s">
        <v>433</v>
      </c>
      <c r="F325" s="102" t="s">
        <v>531</v>
      </c>
      <c r="G325" s="220">
        <v>3233</v>
      </c>
    </row>
    <row r="326" spans="1:7" x14ac:dyDescent="0.25">
      <c r="A326" s="12" t="str">
        <f t="shared" ref="A326:A329" si="47">B326&amp;"_"&amp;C326&amp;"_"&amp;D326&amp;"_"&amp;E326&amp;"_"&amp;F326</f>
        <v>Residential_Building Shell_Rim/Band Joist Insulation (Fossil Fuel Heat)_HDD_2 (Chicago)</v>
      </c>
      <c r="B326" t="s">
        <v>162</v>
      </c>
      <c r="C326" t="s">
        <v>167</v>
      </c>
      <c r="D326" t="s">
        <v>185</v>
      </c>
      <c r="E326" s="102" t="s">
        <v>433</v>
      </c>
      <c r="F326" s="102" t="s">
        <v>223</v>
      </c>
      <c r="G326" s="220">
        <v>2845</v>
      </c>
    </row>
    <row r="327" spans="1:7" x14ac:dyDescent="0.25">
      <c r="A327" s="12" t="str">
        <f t="shared" si="47"/>
        <v>Residential_Building Shell_Rim/Band Joist Insulation (Fossil Fuel Heat)_HDD_3 (Springfield)</v>
      </c>
      <c r="B327" t="s">
        <v>162</v>
      </c>
      <c r="C327" t="s">
        <v>167</v>
      </c>
      <c r="D327" t="s">
        <v>185</v>
      </c>
      <c r="E327" s="102" t="s">
        <v>433</v>
      </c>
      <c r="F327" s="102" t="s">
        <v>224</v>
      </c>
      <c r="G327" s="220">
        <v>2456</v>
      </c>
    </row>
    <row r="328" spans="1:7" x14ac:dyDescent="0.25">
      <c r="A328" s="12" t="str">
        <f t="shared" si="47"/>
        <v>Residential_Building Shell_Rim/Band Joist Insulation (Fossil Fuel Heat)_HDD_4 (Belleville)</v>
      </c>
      <c r="B328" t="s">
        <v>162</v>
      </c>
      <c r="C328" t="s">
        <v>167</v>
      </c>
      <c r="D328" t="s">
        <v>185</v>
      </c>
      <c r="E328" s="102" t="s">
        <v>433</v>
      </c>
      <c r="F328" s="102" t="s">
        <v>225</v>
      </c>
      <c r="G328" s="220">
        <v>1651</v>
      </c>
    </row>
    <row r="329" spans="1:7" x14ac:dyDescent="0.25">
      <c r="A329" s="12" t="str">
        <f t="shared" si="47"/>
        <v>Residential_Building Shell_Rim/Band Joist Insulation (Fossil Fuel Heat)_HDD_5 (Marion)</v>
      </c>
      <c r="B329" t="s">
        <v>162</v>
      </c>
      <c r="C329" t="s">
        <v>167</v>
      </c>
      <c r="D329" t="s">
        <v>185</v>
      </c>
      <c r="E329" s="102" t="s">
        <v>433</v>
      </c>
      <c r="F329" s="102" t="s">
        <v>226</v>
      </c>
      <c r="G329" s="220">
        <v>1750</v>
      </c>
    </row>
    <row r="330" spans="1:7" x14ac:dyDescent="0.25">
      <c r="A330" s="12" t="str">
        <f>B330&amp;"_"&amp;C330&amp;"_"&amp;D330&amp;"_"&amp;E330&amp;"_"&amp;F330</f>
        <v>Residential_Building Shell_Rim/Band Joist Insulation (Fossil Fuel Heat)_FLH_cooling_1 (Rockford)</v>
      </c>
      <c r="B330" t="s">
        <v>162</v>
      </c>
      <c r="C330" t="s">
        <v>167</v>
      </c>
      <c r="D330" t="s">
        <v>185</v>
      </c>
      <c r="E330" s="102" t="s">
        <v>442</v>
      </c>
      <c r="F330" s="102" t="s">
        <v>531</v>
      </c>
      <c r="G330" s="220">
        <v>547</v>
      </c>
    </row>
    <row r="331" spans="1:7" x14ac:dyDescent="0.25">
      <c r="A331" s="12" t="str">
        <f t="shared" ref="A331:A334" si="48">B331&amp;"_"&amp;C331&amp;"_"&amp;D331&amp;"_"&amp;E331&amp;"_"&amp;F331</f>
        <v>Residential_Building Shell_Rim/Band Joist Insulation (Fossil Fuel Heat)_FLH_cooling_2 (Chicago)</v>
      </c>
      <c r="B331" t="s">
        <v>162</v>
      </c>
      <c r="C331" t="s">
        <v>167</v>
      </c>
      <c r="D331" t="s">
        <v>185</v>
      </c>
      <c r="E331" s="102" t="s">
        <v>442</v>
      </c>
      <c r="F331" s="102" t="s">
        <v>223</v>
      </c>
      <c r="G331" s="220">
        <v>709</v>
      </c>
    </row>
    <row r="332" spans="1:7" x14ac:dyDescent="0.25">
      <c r="A332" s="12" t="str">
        <f t="shared" si="48"/>
        <v>Residential_Building Shell_Rim/Band Joist Insulation (Fossil Fuel Heat)_FLH_cooling_3 (Springfield)</v>
      </c>
      <c r="B332" t="s">
        <v>162</v>
      </c>
      <c r="C332" t="s">
        <v>167</v>
      </c>
      <c r="D332" t="s">
        <v>185</v>
      </c>
      <c r="E332" s="102" t="s">
        <v>442</v>
      </c>
      <c r="F332" s="102" t="s">
        <v>224</v>
      </c>
      <c r="G332" s="220">
        <v>779</v>
      </c>
    </row>
    <row r="333" spans="1:7" x14ac:dyDescent="0.25">
      <c r="A333" s="12" t="str">
        <f t="shared" si="48"/>
        <v>Residential_Building Shell_Rim/Band Joist Insulation (Fossil Fuel Heat)_FLH_cooling_4 (Belleville)</v>
      </c>
      <c r="B333" t="s">
        <v>162</v>
      </c>
      <c r="C333" t="s">
        <v>167</v>
      </c>
      <c r="D333" t="s">
        <v>185</v>
      </c>
      <c r="E333" s="102" t="s">
        <v>442</v>
      </c>
      <c r="F333" s="102" t="s">
        <v>225</v>
      </c>
      <c r="G333" s="220">
        <v>1082</v>
      </c>
    </row>
    <row r="334" spans="1:7" x14ac:dyDescent="0.25">
      <c r="A334" s="12" t="str">
        <f t="shared" si="48"/>
        <v>Residential_Building Shell_Rim/Band Joist Insulation (Fossil Fuel Heat)_FLH_cooling_5 (Marion)</v>
      </c>
      <c r="B334" t="s">
        <v>162</v>
      </c>
      <c r="C334" t="s">
        <v>167</v>
      </c>
      <c r="D334" t="s">
        <v>185</v>
      </c>
      <c r="E334" s="102" t="s">
        <v>442</v>
      </c>
      <c r="F334" s="102" t="s">
        <v>226</v>
      </c>
      <c r="G334" s="220">
        <v>956</v>
      </c>
    </row>
    <row r="335" spans="1:7" x14ac:dyDescent="0.25">
      <c r="A335" s="12" t="str">
        <f>B335&amp;"_"&amp;C335&amp;"_"&amp;D335&amp;"_"&amp;E335&amp;"_"&amp;F335</f>
        <v>Residential_Building Shell_Rim/Band Joist Insulation (Electric Heat)_CDD_1 (Rockford)</v>
      </c>
      <c r="B335" t="s">
        <v>162</v>
      </c>
      <c r="C335" t="s">
        <v>167</v>
      </c>
      <c r="D335" t="s">
        <v>477</v>
      </c>
      <c r="E335" s="102" t="s">
        <v>421</v>
      </c>
      <c r="F335" s="102" t="s">
        <v>531</v>
      </c>
      <c r="G335" s="220">
        <v>326</v>
      </c>
    </row>
    <row r="336" spans="1:7" x14ac:dyDescent="0.25">
      <c r="A336" s="12" t="str">
        <f t="shared" ref="A336:A339" si="49">B336&amp;"_"&amp;C336&amp;"_"&amp;D336&amp;"_"&amp;E336&amp;"_"&amp;F336</f>
        <v>Residential_Building Shell_Rim/Band Joist Insulation (Electric Heat)_CDD_2 (Chicago)</v>
      </c>
      <c r="B336" t="s">
        <v>162</v>
      </c>
      <c r="C336" t="s">
        <v>167</v>
      </c>
      <c r="D336" t="s">
        <v>477</v>
      </c>
      <c r="E336" s="102" t="s">
        <v>421</v>
      </c>
      <c r="F336" s="102" t="s">
        <v>223</v>
      </c>
      <c r="G336" s="220">
        <v>354</v>
      </c>
    </row>
    <row r="337" spans="1:7" x14ac:dyDescent="0.25">
      <c r="A337" s="12" t="str">
        <f t="shared" si="49"/>
        <v>Residential_Building Shell_Rim/Band Joist Insulation (Electric Heat)_CDD_3 (Springfield)</v>
      </c>
      <c r="B337" t="s">
        <v>162</v>
      </c>
      <c r="C337" t="s">
        <v>167</v>
      </c>
      <c r="D337" t="s">
        <v>477</v>
      </c>
      <c r="E337" s="102" t="s">
        <v>421</v>
      </c>
      <c r="F337" s="102" t="s">
        <v>224</v>
      </c>
      <c r="G337" s="220">
        <v>448</v>
      </c>
    </row>
    <row r="338" spans="1:7" x14ac:dyDescent="0.25">
      <c r="A338" s="12" t="str">
        <f t="shared" si="49"/>
        <v>Residential_Building Shell_Rim/Band Joist Insulation (Electric Heat)_CDD_4 (Belleville)</v>
      </c>
      <c r="B338" t="s">
        <v>162</v>
      </c>
      <c r="C338" t="s">
        <v>167</v>
      </c>
      <c r="D338" t="s">
        <v>477</v>
      </c>
      <c r="E338" s="102" t="s">
        <v>421</v>
      </c>
      <c r="F338" s="102" t="s">
        <v>225</v>
      </c>
      <c r="G338" s="220">
        <v>532</v>
      </c>
    </row>
    <row r="339" spans="1:7" x14ac:dyDescent="0.25">
      <c r="A339" s="12" t="str">
        <f t="shared" si="49"/>
        <v>Residential_Building Shell_Rim/Band Joist Insulation (Electric Heat)_CDD_5 (Marion)</v>
      </c>
      <c r="B339" t="s">
        <v>162</v>
      </c>
      <c r="C339" t="s">
        <v>167</v>
      </c>
      <c r="D339" t="s">
        <v>477</v>
      </c>
      <c r="E339" s="102" t="s">
        <v>421</v>
      </c>
      <c r="F339" s="102" t="s">
        <v>226</v>
      </c>
      <c r="G339" s="220">
        <v>516</v>
      </c>
    </row>
    <row r="340" spans="1:7" x14ac:dyDescent="0.25">
      <c r="A340" s="12" t="str">
        <f>B340&amp;"_"&amp;C340&amp;"_"&amp;D340&amp;"_"&amp;E340&amp;"_"&amp;F340</f>
        <v>Residential_Building Shell_Rim/Band Joist Insulation (Electric Heat)_HDD_1 (Rockford)</v>
      </c>
      <c r="B340" t="s">
        <v>162</v>
      </c>
      <c r="C340" t="s">
        <v>167</v>
      </c>
      <c r="D340" t="s">
        <v>477</v>
      </c>
      <c r="E340" s="102" t="s">
        <v>433</v>
      </c>
      <c r="F340" s="102" t="s">
        <v>531</v>
      </c>
      <c r="G340" s="220">
        <v>3233</v>
      </c>
    </row>
    <row r="341" spans="1:7" x14ac:dyDescent="0.25">
      <c r="A341" s="12" t="str">
        <f t="shared" ref="A341:A344" si="50">B341&amp;"_"&amp;C341&amp;"_"&amp;D341&amp;"_"&amp;E341&amp;"_"&amp;F341</f>
        <v>Residential_Building Shell_Rim/Band Joist Insulation (Electric Heat)_HDD_2 (Chicago)</v>
      </c>
      <c r="B341" t="s">
        <v>162</v>
      </c>
      <c r="C341" t="s">
        <v>167</v>
      </c>
      <c r="D341" t="s">
        <v>477</v>
      </c>
      <c r="E341" s="102" t="s">
        <v>433</v>
      </c>
      <c r="F341" s="102" t="s">
        <v>223</v>
      </c>
      <c r="G341" s="220">
        <v>2845</v>
      </c>
    </row>
    <row r="342" spans="1:7" x14ac:dyDescent="0.25">
      <c r="A342" s="12" t="str">
        <f t="shared" si="50"/>
        <v>Residential_Building Shell_Rim/Band Joist Insulation (Electric Heat)_HDD_3 (Springfield)</v>
      </c>
      <c r="B342" t="s">
        <v>162</v>
      </c>
      <c r="C342" t="s">
        <v>167</v>
      </c>
      <c r="D342" t="s">
        <v>477</v>
      </c>
      <c r="E342" s="102" t="s">
        <v>433</v>
      </c>
      <c r="F342" s="102" t="s">
        <v>224</v>
      </c>
      <c r="G342" s="220">
        <v>2456</v>
      </c>
    </row>
    <row r="343" spans="1:7" x14ac:dyDescent="0.25">
      <c r="A343" s="12" t="str">
        <f t="shared" si="50"/>
        <v>Residential_Building Shell_Rim/Band Joist Insulation (Electric Heat)_HDD_4 (Belleville)</v>
      </c>
      <c r="B343" t="s">
        <v>162</v>
      </c>
      <c r="C343" t="s">
        <v>167</v>
      </c>
      <c r="D343" t="s">
        <v>477</v>
      </c>
      <c r="E343" s="102" t="s">
        <v>433</v>
      </c>
      <c r="F343" s="102" t="s">
        <v>225</v>
      </c>
      <c r="G343" s="220">
        <v>1651</v>
      </c>
    </row>
    <row r="344" spans="1:7" x14ac:dyDescent="0.25">
      <c r="A344" s="12" t="str">
        <f t="shared" si="50"/>
        <v>Residential_Building Shell_Rim/Band Joist Insulation (Electric Heat)_HDD_5 (Marion)</v>
      </c>
      <c r="B344" t="s">
        <v>162</v>
      </c>
      <c r="C344" t="s">
        <v>167</v>
      </c>
      <c r="D344" t="s">
        <v>477</v>
      </c>
      <c r="E344" s="102" t="s">
        <v>433</v>
      </c>
      <c r="F344" s="102" t="s">
        <v>226</v>
      </c>
      <c r="G344" s="220">
        <v>1750</v>
      </c>
    </row>
    <row r="345" spans="1:7" x14ac:dyDescent="0.25">
      <c r="A345" s="12" t="str">
        <f>B345&amp;"_"&amp;C345&amp;"_"&amp;D345&amp;"_"&amp;E345&amp;"_"&amp;F345</f>
        <v>Residential_Building Shell_Rim/Band Joist Insulation (Electric Heat)_FLH_cooling_1 (Rockford)</v>
      </c>
      <c r="B345" t="s">
        <v>162</v>
      </c>
      <c r="C345" t="s">
        <v>167</v>
      </c>
      <c r="D345" t="s">
        <v>477</v>
      </c>
      <c r="E345" s="102" t="s">
        <v>442</v>
      </c>
      <c r="F345" s="102" t="s">
        <v>531</v>
      </c>
      <c r="G345" s="220">
        <v>547</v>
      </c>
    </row>
    <row r="346" spans="1:7" x14ac:dyDescent="0.25">
      <c r="A346" s="12" t="str">
        <f t="shared" ref="A346:A349" si="51">B346&amp;"_"&amp;C346&amp;"_"&amp;D346&amp;"_"&amp;E346&amp;"_"&amp;F346</f>
        <v>Residential_Building Shell_Rim/Band Joist Insulation (Electric Heat)_FLH_cooling_2 (Chicago)</v>
      </c>
      <c r="B346" t="s">
        <v>162</v>
      </c>
      <c r="C346" t="s">
        <v>167</v>
      </c>
      <c r="D346" t="s">
        <v>477</v>
      </c>
      <c r="E346" s="102" t="s">
        <v>442</v>
      </c>
      <c r="F346" s="102" t="s">
        <v>223</v>
      </c>
      <c r="G346" s="220">
        <v>709</v>
      </c>
    </row>
    <row r="347" spans="1:7" x14ac:dyDescent="0.25">
      <c r="A347" s="12" t="str">
        <f t="shared" si="51"/>
        <v>Residential_Building Shell_Rim/Band Joist Insulation (Electric Heat)_FLH_cooling_3 (Springfield)</v>
      </c>
      <c r="B347" t="s">
        <v>162</v>
      </c>
      <c r="C347" t="s">
        <v>167</v>
      </c>
      <c r="D347" t="s">
        <v>477</v>
      </c>
      <c r="E347" s="102" t="s">
        <v>442</v>
      </c>
      <c r="F347" s="102" t="s">
        <v>224</v>
      </c>
      <c r="G347" s="220">
        <v>779</v>
      </c>
    </row>
    <row r="348" spans="1:7" x14ac:dyDescent="0.25">
      <c r="A348" s="12" t="str">
        <f t="shared" si="51"/>
        <v>Residential_Building Shell_Rim/Band Joist Insulation (Electric Heat)_FLH_cooling_4 (Belleville)</v>
      </c>
      <c r="B348" t="s">
        <v>162</v>
      </c>
      <c r="C348" t="s">
        <v>167</v>
      </c>
      <c r="D348" t="s">
        <v>477</v>
      </c>
      <c r="E348" s="102" t="s">
        <v>442</v>
      </c>
      <c r="F348" s="102" t="s">
        <v>225</v>
      </c>
      <c r="G348" s="220">
        <v>1082</v>
      </c>
    </row>
    <row r="349" spans="1:7" x14ac:dyDescent="0.25">
      <c r="A349" s="12" t="str">
        <f t="shared" si="51"/>
        <v>Residential_Building Shell_Rim/Band Joist Insulation (Electric Heat)_FLH_cooling_5 (Marion)</v>
      </c>
      <c r="B349" t="s">
        <v>162</v>
      </c>
      <c r="C349" t="s">
        <v>167</v>
      </c>
      <c r="D349" t="s">
        <v>477</v>
      </c>
      <c r="E349" s="102" t="s">
        <v>442</v>
      </c>
      <c r="F349" s="102" t="s">
        <v>226</v>
      </c>
      <c r="G349" s="220">
        <v>956</v>
      </c>
    </row>
    <row r="350" spans="1:7" x14ac:dyDescent="0.25">
      <c r="A350" s="12" t="str">
        <f>B350&amp;"_"&amp;C350&amp;"_"&amp;D350&amp;"_"&amp;E350&amp;"_"&amp;F350</f>
        <v>Residential_Building Shell_Basement Sidewall Insulation (Fossil Fuel Heat)_CDD_1 (Rockford)</v>
      </c>
      <c r="B350" t="s">
        <v>162</v>
      </c>
      <c r="C350" t="s">
        <v>167</v>
      </c>
      <c r="D350" t="s">
        <v>186</v>
      </c>
      <c r="E350" s="102" t="s">
        <v>421</v>
      </c>
      <c r="F350" s="102" t="s">
        <v>531</v>
      </c>
      <c r="G350" s="220">
        <v>326</v>
      </c>
    </row>
    <row r="351" spans="1:7" x14ac:dyDescent="0.25">
      <c r="A351" s="12" t="str">
        <f t="shared" ref="A351:A354" si="52">B351&amp;"_"&amp;C351&amp;"_"&amp;D351&amp;"_"&amp;E351&amp;"_"&amp;F351</f>
        <v>Residential_Building Shell_Basement Sidewall Insulation (Fossil Fuel Heat)_CDD_2 (Chicago)</v>
      </c>
      <c r="B351" t="s">
        <v>162</v>
      </c>
      <c r="C351" t="s">
        <v>167</v>
      </c>
      <c r="D351" t="s">
        <v>186</v>
      </c>
      <c r="E351" s="102" t="s">
        <v>421</v>
      </c>
      <c r="F351" s="102" t="s">
        <v>223</v>
      </c>
      <c r="G351" s="220">
        <v>354</v>
      </c>
    </row>
    <row r="352" spans="1:7" x14ac:dyDescent="0.25">
      <c r="A352" s="12" t="str">
        <f t="shared" si="52"/>
        <v>Residential_Building Shell_Basement Sidewall Insulation (Fossil Fuel Heat)_CDD_3 (Springfield)</v>
      </c>
      <c r="B352" t="s">
        <v>162</v>
      </c>
      <c r="C352" t="s">
        <v>167</v>
      </c>
      <c r="D352" t="s">
        <v>186</v>
      </c>
      <c r="E352" s="102" t="s">
        <v>421</v>
      </c>
      <c r="F352" s="102" t="s">
        <v>224</v>
      </c>
      <c r="G352" s="220">
        <v>448</v>
      </c>
    </row>
    <row r="353" spans="1:7" x14ac:dyDescent="0.25">
      <c r="A353" s="12" t="str">
        <f t="shared" si="52"/>
        <v>Residential_Building Shell_Basement Sidewall Insulation (Fossil Fuel Heat)_CDD_4 (Belleville)</v>
      </c>
      <c r="B353" t="s">
        <v>162</v>
      </c>
      <c r="C353" t="s">
        <v>167</v>
      </c>
      <c r="D353" t="s">
        <v>186</v>
      </c>
      <c r="E353" s="102" t="s">
        <v>421</v>
      </c>
      <c r="F353" s="102" t="s">
        <v>225</v>
      </c>
      <c r="G353" s="220">
        <v>532</v>
      </c>
    </row>
    <row r="354" spans="1:7" x14ac:dyDescent="0.25">
      <c r="A354" s="12" t="str">
        <f t="shared" si="52"/>
        <v>Residential_Building Shell_Basement Sidewall Insulation (Fossil Fuel Heat)_CDD_5 (Marion)</v>
      </c>
      <c r="B354" t="s">
        <v>162</v>
      </c>
      <c r="C354" t="s">
        <v>167</v>
      </c>
      <c r="D354" t="s">
        <v>186</v>
      </c>
      <c r="E354" s="102" t="s">
        <v>421</v>
      </c>
      <c r="F354" s="102" t="s">
        <v>226</v>
      </c>
      <c r="G354" s="220">
        <v>516</v>
      </c>
    </row>
    <row r="355" spans="1:7" x14ac:dyDescent="0.25">
      <c r="A355" s="12" t="str">
        <f>B355&amp;"_"&amp;C355&amp;"_"&amp;D355&amp;"_"&amp;E355&amp;"_"&amp;F355</f>
        <v>Residential_Building Shell_Basement Sidewall Insulation (Fossil Fuel Heat)_HDD_1 (Rockford)</v>
      </c>
      <c r="B355" t="s">
        <v>162</v>
      </c>
      <c r="C355" t="s">
        <v>167</v>
      </c>
      <c r="D355" t="s">
        <v>186</v>
      </c>
      <c r="E355" s="102" t="s">
        <v>433</v>
      </c>
      <c r="F355" s="102" t="s">
        <v>531</v>
      </c>
      <c r="G355" s="220">
        <v>3233</v>
      </c>
    </row>
    <row r="356" spans="1:7" x14ac:dyDescent="0.25">
      <c r="A356" s="12" t="str">
        <f t="shared" ref="A356:A359" si="53">B356&amp;"_"&amp;C356&amp;"_"&amp;D356&amp;"_"&amp;E356&amp;"_"&amp;F356</f>
        <v>Residential_Building Shell_Basement Sidewall Insulation (Fossil Fuel Heat)_HDD_2 (Chicago)</v>
      </c>
      <c r="B356" t="s">
        <v>162</v>
      </c>
      <c r="C356" t="s">
        <v>167</v>
      </c>
      <c r="D356" t="s">
        <v>186</v>
      </c>
      <c r="E356" s="102" t="s">
        <v>433</v>
      </c>
      <c r="F356" s="102" t="s">
        <v>223</v>
      </c>
      <c r="G356" s="220">
        <v>2845</v>
      </c>
    </row>
    <row r="357" spans="1:7" x14ac:dyDescent="0.25">
      <c r="A357" s="12" t="str">
        <f t="shared" si="53"/>
        <v>Residential_Building Shell_Basement Sidewall Insulation (Fossil Fuel Heat)_HDD_3 (Springfield)</v>
      </c>
      <c r="B357" t="s">
        <v>162</v>
      </c>
      <c r="C357" t="s">
        <v>167</v>
      </c>
      <c r="D357" t="s">
        <v>186</v>
      </c>
      <c r="E357" s="102" t="s">
        <v>433</v>
      </c>
      <c r="F357" s="102" t="s">
        <v>224</v>
      </c>
      <c r="G357" s="220">
        <v>2456</v>
      </c>
    </row>
    <row r="358" spans="1:7" x14ac:dyDescent="0.25">
      <c r="A358" s="12" t="str">
        <f t="shared" si="53"/>
        <v>Residential_Building Shell_Basement Sidewall Insulation (Fossil Fuel Heat)_HDD_4 (Belleville)</v>
      </c>
      <c r="B358" t="s">
        <v>162</v>
      </c>
      <c r="C358" t="s">
        <v>167</v>
      </c>
      <c r="D358" t="s">
        <v>186</v>
      </c>
      <c r="E358" s="102" t="s">
        <v>433</v>
      </c>
      <c r="F358" s="102" t="s">
        <v>225</v>
      </c>
      <c r="G358" s="220">
        <v>1651</v>
      </c>
    </row>
    <row r="359" spans="1:7" x14ac:dyDescent="0.25">
      <c r="A359" s="12" t="str">
        <f t="shared" si="53"/>
        <v>Residential_Building Shell_Basement Sidewall Insulation (Fossil Fuel Heat)_HDD_5 (Marion)</v>
      </c>
      <c r="B359" t="s">
        <v>162</v>
      </c>
      <c r="C359" t="s">
        <v>167</v>
      </c>
      <c r="D359" t="s">
        <v>186</v>
      </c>
      <c r="E359" s="102" t="s">
        <v>433</v>
      </c>
      <c r="F359" s="102" t="s">
        <v>226</v>
      </c>
      <c r="G359" s="220">
        <v>1750</v>
      </c>
    </row>
    <row r="360" spans="1:7" x14ac:dyDescent="0.25">
      <c r="A360" s="12" t="str">
        <f>B360&amp;"_"&amp;C360&amp;"_"&amp;D360&amp;"_"&amp;E360&amp;"_"&amp;F360</f>
        <v>Residential_Building Shell_Basement Sidewall Insulation (Fossil Fuel Heat)_FLH_cooling_1 (Rockford)</v>
      </c>
      <c r="B360" t="s">
        <v>162</v>
      </c>
      <c r="C360" t="s">
        <v>167</v>
      </c>
      <c r="D360" t="s">
        <v>186</v>
      </c>
      <c r="E360" s="102" t="s">
        <v>442</v>
      </c>
      <c r="F360" s="102" t="s">
        <v>531</v>
      </c>
      <c r="G360" s="220">
        <v>547</v>
      </c>
    </row>
    <row r="361" spans="1:7" x14ac:dyDescent="0.25">
      <c r="A361" s="12" t="str">
        <f t="shared" ref="A361:A364" si="54">B361&amp;"_"&amp;C361&amp;"_"&amp;D361&amp;"_"&amp;E361&amp;"_"&amp;F361</f>
        <v>Residential_Building Shell_Basement Sidewall Insulation (Fossil Fuel Heat)_FLH_cooling_2 (Chicago)</v>
      </c>
      <c r="B361" t="s">
        <v>162</v>
      </c>
      <c r="C361" t="s">
        <v>167</v>
      </c>
      <c r="D361" t="s">
        <v>186</v>
      </c>
      <c r="E361" s="102" t="s">
        <v>442</v>
      </c>
      <c r="F361" s="102" t="s">
        <v>223</v>
      </c>
      <c r="G361" s="220">
        <v>709</v>
      </c>
    </row>
    <row r="362" spans="1:7" x14ac:dyDescent="0.25">
      <c r="A362" s="12" t="str">
        <f t="shared" si="54"/>
        <v>Residential_Building Shell_Basement Sidewall Insulation (Fossil Fuel Heat)_FLH_cooling_3 (Springfield)</v>
      </c>
      <c r="B362" t="s">
        <v>162</v>
      </c>
      <c r="C362" t="s">
        <v>167</v>
      </c>
      <c r="D362" t="s">
        <v>186</v>
      </c>
      <c r="E362" s="102" t="s">
        <v>442</v>
      </c>
      <c r="F362" s="102" t="s">
        <v>224</v>
      </c>
      <c r="G362" s="220">
        <v>779</v>
      </c>
    </row>
    <row r="363" spans="1:7" x14ac:dyDescent="0.25">
      <c r="A363" s="12" t="str">
        <f t="shared" si="54"/>
        <v>Residential_Building Shell_Basement Sidewall Insulation (Fossil Fuel Heat)_FLH_cooling_4 (Belleville)</v>
      </c>
      <c r="B363" t="s">
        <v>162</v>
      </c>
      <c r="C363" t="s">
        <v>167</v>
      </c>
      <c r="D363" t="s">
        <v>186</v>
      </c>
      <c r="E363" s="102" t="s">
        <v>442</v>
      </c>
      <c r="F363" s="102" t="s">
        <v>225</v>
      </c>
      <c r="G363" s="220">
        <v>1082</v>
      </c>
    </row>
    <row r="364" spans="1:7" x14ac:dyDescent="0.25">
      <c r="A364" s="12" t="str">
        <f t="shared" si="54"/>
        <v>Residential_Building Shell_Basement Sidewall Insulation (Fossil Fuel Heat)_FLH_cooling_5 (Marion)</v>
      </c>
      <c r="B364" t="s">
        <v>162</v>
      </c>
      <c r="C364" t="s">
        <v>167</v>
      </c>
      <c r="D364" t="s">
        <v>186</v>
      </c>
      <c r="E364" s="102" t="s">
        <v>442</v>
      </c>
      <c r="F364" s="102" t="s">
        <v>226</v>
      </c>
      <c r="G364" s="220">
        <v>956</v>
      </c>
    </row>
    <row r="365" spans="1:7" x14ac:dyDescent="0.25">
      <c r="A365" s="12" t="str">
        <f>B365&amp;"_"&amp;C365&amp;"_"&amp;D365&amp;"_"&amp;E365&amp;"_"&amp;F365</f>
        <v>Residential_Building Shell_Basement Sidewall Insulation (Electric Heat)_CDD_1 (Rockford)</v>
      </c>
      <c r="B365" t="s">
        <v>162</v>
      </c>
      <c r="C365" t="s">
        <v>167</v>
      </c>
      <c r="D365" t="s">
        <v>486</v>
      </c>
      <c r="E365" s="102" t="s">
        <v>421</v>
      </c>
      <c r="F365" s="102" t="s">
        <v>531</v>
      </c>
      <c r="G365" s="220">
        <v>326</v>
      </c>
    </row>
    <row r="366" spans="1:7" x14ac:dyDescent="0.25">
      <c r="A366" s="12" t="str">
        <f t="shared" ref="A366:A369" si="55">B366&amp;"_"&amp;C366&amp;"_"&amp;D366&amp;"_"&amp;E366&amp;"_"&amp;F366</f>
        <v>Residential_Building Shell_Basement Sidewall Insulation (Electric Heat)_CDD_2 (Chicago)</v>
      </c>
      <c r="B366" t="s">
        <v>162</v>
      </c>
      <c r="C366" t="s">
        <v>167</v>
      </c>
      <c r="D366" t="s">
        <v>486</v>
      </c>
      <c r="E366" s="102" t="s">
        <v>421</v>
      </c>
      <c r="F366" s="102" t="s">
        <v>223</v>
      </c>
      <c r="G366" s="220">
        <v>354</v>
      </c>
    </row>
    <row r="367" spans="1:7" x14ac:dyDescent="0.25">
      <c r="A367" s="12" t="str">
        <f t="shared" si="55"/>
        <v>Residential_Building Shell_Basement Sidewall Insulation (Electric Heat)_CDD_3 (Springfield)</v>
      </c>
      <c r="B367" t="s">
        <v>162</v>
      </c>
      <c r="C367" t="s">
        <v>167</v>
      </c>
      <c r="D367" t="s">
        <v>486</v>
      </c>
      <c r="E367" s="102" t="s">
        <v>421</v>
      </c>
      <c r="F367" s="102" t="s">
        <v>224</v>
      </c>
      <c r="G367" s="220">
        <v>448</v>
      </c>
    </row>
    <row r="368" spans="1:7" x14ac:dyDescent="0.25">
      <c r="A368" s="12" t="str">
        <f t="shared" si="55"/>
        <v>Residential_Building Shell_Basement Sidewall Insulation (Electric Heat)_CDD_4 (Belleville)</v>
      </c>
      <c r="B368" t="s">
        <v>162</v>
      </c>
      <c r="C368" t="s">
        <v>167</v>
      </c>
      <c r="D368" t="s">
        <v>486</v>
      </c>
      <c r="E368" s="102" t="s">
        <v>421</v>
      </c>
      <c r="F368" s="102" t="s">
        <v>225</v>
      </c>
      <c r="G368" s="220">
        <v>532</v>
      </c>
    </row>
    <row r="369" spans="1:7" x14ac:dyDescent="0.25">
      <c r="A369" s="12" t="str">
        <f t="shared" si="55"/>
        <v>Residential_Building Shell_Basement Sidewall Insulation (Electric Heat)_CDD_5 (Marion)</v>
      </c>
      <c r="B369" t="s">
        <v>162</v>
      </c>
      <c r="C369" t="s">
        <v>167</v>
      </c>
      <c r="D369" t="s">
        <v>486</v>
      </c>
      <c r="E369" s="102" t="s">
        <v>421</v>
      </c>
      <c r="F369" s="102" t="s">
        <v>226</v>
      </c>
      <c r="G369" s="220">
        <v>516</v>
      </c>
    </row>
    <row r="370" spans="1:7" x14ac:dyDescent="0.25">
      <c r="A370" s="12" t="str">
        <f>B370&amp;"_"&amp;C370&amp;"_"&amp;D370&amp;"_"&amp;E370&amp;"_"&amp;F370</f>
        <v>Residential_Building Shell_Basement Sidewall Insulation (Electric Heat)_HDD_1 (Rockford)</v>
      </c>
      <c r="B370" t="s">
        <v>162</v>
      </c>
      <c r="C370" t="s">
        <v>167</v>
      </c>
      <c r="D370" t="s">
        <v>486</v>
      </c>
      <c r="E370" s="102" t="s">
        <v>433</v>
      </c>
      <c r="F370" s="102" t="s">
        <v>531</v>
      </c>
      <c r="G370" s="220">
        <v>3233</v>
      </c>
    </row>
    <row r="371" spans="1:7" x14ac:dyDescent="0.25">
      <c r="A371" s="12" t="str">
        <f t="shared" ref="A371:A374" si="56">B371&amp;"_"&amp;C371&amp;"_"&amp;D371&amp;"_"&amp;E371&amp;"_"&amp;F371</f>
        <v>Residential_Building Shell_Basement Sidewall Insulation (Electric Heat)_HDD_2 (Chicago)</v>
      </c>
      <c r="B371" t="s">
        <v>162</v>
      </c>
      <c r="C371" t="s">
        <v>167</v>
      </c>
      <c r="D371" t="s">
        <v>486</v>
      </c>
      <c r="E371" s="102" t="s">
        <v>433</v>
      </c>
      <c r="F371" s="102" t="s">
        <v>223</v>
      </c>
      <c r="G371" s="220">
        <v>2845</v>
      </c>
    </row>
    <row r="372" spans="1:7" x14ac:dyDescent="0.25">
      <c r="A372" s="12" t="str">
        <f t="shared" si="56"/>
        <v>Residential_Building Shell_Basement Sidewall Insulation (Electric Heat)_HDD_3 (Springfield)</v>
      </c>
      <c r="B372" t="s">
        <v>162</v>
      </c>
      <c r="C372" t="s">
        <v>167</v>
      </c>
      <c r="D372" t="s">
        <v>486</v>
      </c>
      <c r="E372" s="102" t="s">
        <v>433</v>
      </c>
      <c r="F372" s="102" t="s">
        <v>224</v>
      </c>
      <c r="G372" s="220">
        <v>2456</v>
      </c>
    </row>
    <row r="373" spans="1:7" x14ac:dyDescent="0.25">
      <c r="A373" s="12" t="str">
        <f t="shared" si="56"/>
        <v>Residential_Building Shell_Basement Sidewall Insulation (Electric Heat)_HDD_4 (Belleville)</v>
      </c>
      <c r="B373" t="s">
        <v>162</v>
      </c>
      <c r="C373" t="s">
        <v>167</v>
      </c>
      <c r="D373" t="s">
        <v>486</v>
      </c>
      <c r="E373" s="102" t="s">
        <v>433</v>
      </c>
      <c r="F373" s="102" t="s">
        <v>225</v>
      </c>
      <c r="G373" s="220">
        <v>1651</v>
      </c>
    </row>
    <row r="374" spans="1:7" x14ac:dyDescent="0.25">
      <c r="A374" s="12" t="str">
        <f t="shared" si="56"/>
        <v>Residential_Building Shell_Basement Sidewall Insulation (Electric Heat)_HDD_5 (Marion)</v>
      </c>
      <c r="B374" t="s">
        <v>162</v>
      </c>
      <c r="C374" t="s">
        <v>167</v>
      </c>
      <c r="D374" t="s">
        <v>486</v>
      </c>
      <c r="E374" s="102" t="s">
        <v>433</v>
      </c>
      <c r="F374" s="102" t="s">
        <v>226</v>
      </c>
      <c r="G374" s="220">
        <v>1750</v>
      </c>
    </row>
    <row r="375" spans="1:7" x14ac:dyDescent="0.25">
      <c r="A375" s="12" t="str">
        <f>B375&amp;"_"&amp;C375&amp;"_"&amp;D375&amp;"_"&amp;E375&amp;"_"&amp;F375</f>
        <v>Residential_Building Shell_Basement Sidewall Insulation (Electric Heat)_FLH_cooling_1 (Rockford)</v>
      </c>
      <c r="B375" t="s">
        <v>162</v>
      </c>
      <c r="C375" t="s">
        <v>167</v>
      </c>
      <c r="D375" t="s">
        <v>486</v>
      </c>
      <c r="E375" s="102" t="s">
        <v>442</v>
      </c>
      <c r="F375" s="102" t="s">
        <v>531</v>
      </c>
      <c r="G375" s="220">
        <v>547</v>
      </c>
    </row>
    <row r="376" spans="1:7" x14ac:dyDescent="0.25">
      <c r="A376" s="12" t="str">
        <f t="shared" ref="A376:A397" si="57">B376&amp;"_"&amp;C376&amp;"_"&amp;D376&amp;"_"&amp;E376&amp;"_"&amp;F376</f>
        <v>Residential_Building Shell_Basement Sidewall Insulation (Electric Heat)_FLH_cooling_2 (Chicago)</v>
      </c>
      <c r="B376" t="s">
        <v>162</v>
      </c>
      <c r="C376" t="s">
        <v>167</v>
      </c>
      <c r="D376" t="s">
        <v>486</v>
      </c>
      <c r="E376" s="102" t="s">
        <v>442</v>
      </c>
      <c r="F376" s="102" t="s">
        <v>223</v>
      </c>
      <c r="G376" s="220">
        <v>709</v>
      </c>
    </row>
    <row r="377" spans="1:7" x14ac:dyDescent="0.25">
      <c r="A377" s="12" t="str">
        <f t="shared" si="57"/>
        <v>Residential_Building Shell_Basement Sidewall Insulation (Electric Heat)_FLH_cooling_3 (Springfield)</v>
      </c>
      <c r="B377" t="s">
        <v>162</v>
      </c>
      <c r="C377" t="s">
        <v>167</v>
      </c>
      <c r="D377" t="s">
        <v>486</v>
      </c>
      <c r="E377" s="102" t="s">
        <v>442</v>
      </c>
      <c r="F377" s="102" t="s">
        <v>224</v>
      </c>
      <c r="G377" s="220">
        <v>779</v>
      </c>
    </row>
    <row r="378" spans="1:7" x14ac:dyDescent="0.25">
      <c r="A378" s="12" t="str">
        <f t="shared" si="57"/>
        <v>Residential_Building Shell_Basement Sidewall Insulation (Electric Heat)_FLH_cooling_4 (Belleville)</v>
      </c>
      <c r="B378" t="s">
        <v>162</v>
      </c>
      <c r="C378" t="s">
        <v>167</v>
      </c>
      <c r="D378" t="s">
        <v>486</v>
      </c>
      <c r="E378" s="102" t="s">
        <v>442</v>
      </c>
      <c r="F378" s="102" t="s">
        <v>225</v>
      </c>
      <c r="G378" s="220">
        <v>1082</v>
      </c>
    </row>
    <row r="379" spans="1:7" x14ac:dyDescent="0.25">
      <c r="A379" s="12" t="str">
        <f t="shared" si="57"/>
        <v>Residential_Building Shell_Basement Sidewall Insulation (Electric Heat)_FLH_cooling_5 (Marion)</v>
      </c>
      <c r="B379" t="s">
        <v>162</v>
      </c>
      <c r="C379" t="s">
        <v>167</v>
      </c>
      <c r="D379" t="s">
        <v>486</v>
      </c>
      <c r="E379" s="102" t="s">
        <v>442</v>
      </c>
      <c r="F379" s="102" t="s">
        <v>226</v>
      </c>
      <c r="G379" s="220">
        <v>956</v>
      </c>
    </row>
    <row r="380" spans="1:7" x14ac:dyDescent="0.25">
      <c r="A380" s="12" t="str">
        <f t="shared" si="57"/>
        <v>Residential_HVAC_Ground Source Heat Pump_FLH_GSHPheat_1 (Rockford)</v>
      </c>
      <c r="B380" t="s">
        <v>162</v>
      </c>
      <c r="C380" t="s">
        <v>163</v>
      </c>
      <c r="D380" t="s">
        <v>207</v>
      </c>
      <c r="E380" s="102" t="s">
        <v>311</v>
      </c>
      <c r="F380" s="102" t="s">
        <v>531</v>
      </c>
      <c r="G380" s="103">
        <v>1924</v>
      </c>
    </row>
    <row r="381" spans="1:7" x14ac:dyDescent="0.25">
      <c r="A381" s="12" t="str">
        <f t="shared" si="57"/>
        <v>Residential_HVAC_Ground Source Heat Pump_FLH_GSHPheat_2 (Chicago)</v>
      </c>
      <c r="B381" t="s">
        <v>162</v>
      </c>
      <c r="C381" t="s">
        <v>163</v>
      </c>
      <c r="D381" t="s">
        <v>207</v>
      </c>
      <c r="E381" s="102" t="s">
        <v>311</v>
      </c>
      <c r="F381" s="102" t="s">
        <v>223</v>
      </c>
      <c r="G381" s="103">
        <v>1726</v>
      </c>
    </row>
    <row r="382" spans="1:7" x14ac:dyDescent="0.25">
      <c r="A382" s="12" t="str">
        <f t="shared" si="57"/>
        <v>Residential_HVAC_Ground Source Heat Pump_FLH_GSHPheat_3 (Springfield)</v>
      </c>
      <c r="B382" t="s">
        <v>162</v>
      </c>
      <c r="C382" t="s">
        <v>163</v>
      </c>
      <c r="D382" t="s">
        <v>207</v>
      </c>
      <c r="E382" s="102" t="s">
        <v>311</v>
      </c>
      <c r="F382" s="102" t="s">
        <v>224</v>
      </c>
      <c r="G382" s="103">
        <v>1708</v>
      </c>
    </row>
    <row r="383" spans="1:7" x14ac:dyDescent="0.25">
      <c r="A383" s="12" t="str">
        <f t="shared" si="57"/>
        <v>Residential_HVAC_Ground Source Heat Pump_FLH_GSHPheat_4 (Belleville)</v>
      </c>
      <c r="B383" t="s">
        <v>162</v>
      </c>
      <c r="C383" t="s">
        <v>163</v>
      </c>
      <c r="D383" t="s">
        <v>207</v>
      </c>
      <c r="E383" s="102" t="s">
        <v>311</v>
      </c>
      <c r="F383" s="102" t="s">
        <v>225</v>
      </c>
      <c r="G383" s="103">
        <v>1195</v>
      </c>
    </row>
    <row r="384" spans="1:7" x14ac:dyDescent="0.25">
      <c r="A384" s="12" t="str">
        <f t="shared" si="57"/>
        <v>Residential_HVAC_Ground Source Heat Pump_FLH_GSHPheat_5 (Marion)</v>
      </c>
      <c r="B384" t="s">
        <v>162</v>
      </c>
      <c r="C384" t="s">
        <v>163</v>
      </c>
      <c r="D384" t="s">
        <v>207</v>
      </c>
      <c r="E384" s="102" t="s">
        <v>311</v>
      </c>
      <c r="F384" s="102" t="s">
        <v>226</v>
      </c>
      <c r="G384" s="103">
        <v>1270</v>
      </c>
    </row>
    <row r="385" spans="1:7" x14ac:dyDescent="0.25">
      <c r="A385" s="12" t="str">
        <f t="shared" si="57"/>
        <v>Residential_HVAC_Ground Source Heat Pump_FLH_GSHPheat_Weighted Average</v>
      </c>
      <c r="B385" t="s">
        <v>162</v>
      </c>
      <c r="C385" t="s">
        <v>163</v>
      </c>
      <c r="D385" t="s">
        <v>207</v>
      </c>
      <c r="E385" s="102" t="s">
        <v>311</v>
      </c>
      <c r="F385" s="102" t="s">
        <v>532</v>
      </c>
      <c r="G385" s="103">
        <v>1547</v>
      </c>
    </row>
    <row r="386" spans="1:7" x14ac:dyDescent="0.25">
      <c r="A386" s="12" t="str">
        <f t="shared" si="57"/>
        <v>Residential_HVAC_Ground Source Heat Pump_FLHcool_1 (Rockford)</v>
      </c>
      <c r="B386" t="s">
        <v>162</v>
      </c>
      <c r="C386" t="s">
        <v>163</v>
      </c>
      <c r="D386" t="s">
        <v>207</v>
      </c>
      <c r="E386" s="102" t="s">
        <v>262</v>
      </c>
      <c r="F386" s="102" t="s">
        <v>531</v>
      </c>
      <c r="G386" s="103">
        <v>547</v>
      </c>
    </row>
    <row r="387" spans="1:7" x14ac:dyDescent="0.25">
      <c r="A387" s="12" t="str">
        <f t="shared" si="57"/>
        <v>Residential_HVAC_Ground Source Heat Pump_FLHcool_2 (Chicago)</v>
      </c>
      <c r="B387" t="s">
        <v>162</v>
      </c>
      <c r="C387" t="s">
        <v>163</v>
      </c>
      <c r="D387" t="s">
        <v>207</v>
      </c>
      <c r="E387" s="102" t="s">
        <v>262</v>
      </c>
      <c r="F387" s="102" t="s">
        <v>223</v>
      </c>
      <c r="G387" s="103">
        <v>709</v>
      </c>
    </row>
    <row r="388" spans="1:7" x14ac:dyDescent="0.25">
      <c r="A388" s="12" t="str">
        <f t="shared" si="57"/>
        <v>Residential_HVAC_Ground Source Heat Pump_FLHcool_3 (Springfield)</v>
      </c>
      <c r="B388" t="s">
        <v>162</v>
      </c>
      <c r="C388" t="s">
        <v>163</v>
      </c>
      <c r="D388" t="s">
        <v>207</v>
      </c>
      <c r="E388" s="102" t="s">
        <v>262</v>
      </c>
      <c r="F388" s="102" t="s">
        <v>224</v>
      </c>
      <c r="G388" s="103">
        <v>779</v>
      </c>
    </row>
    <row r="389" spans="1:7" x14ac:dyDescent="0.25">
      <c r="A389" s="12" t="str">
        <f t="shared" si="57"/>
        <v>Residential_HVAC_Ground Source Heat Pump_FLHcool_4 (Belleville)</v>
      </c>
      <c r="B389" t="s">
        <v>162</v>
      </c>
      <c r="C389" t="s">
        <v>163</v>
      </c>
      <c r="D389" t="s">
        <v>207</v>
      </c>
      <c r="E389" s="102" t="s">
        <v>262</v>
      </c>
      <c r="F389" s="102" t="s">
        <v>225</v>
      </c>
      <c r="G389" s="103">
        <v>1082</v>
      </c>
    </row>
    <row r="390" spans="1:7" x14ac:dyDescent="0.25">
      <c r="A390" s="12" t="str">
        <f t="shared" si="57"/>
        <v>Residential_HVAC_Ground Source Heat Pump_FLHcool_5 (Marion)</v>
      </c>
      <c r="B390" t="s">
        <v>162</v>
      </c>
      <c r="C390" t="s">
        <v>163</v>
      </c>
      <c r="D390" t="s">
        <v>207</v>
      </c>
      <c r="E390" s="102" t="s">
        <v>262</v>
      </c>
      <c r="F390" s="102" t="s">
        <v>226</v>
      </c>
      <c r="G390" s="103">
        <v>956</v>
      </c>
    </row>
    <row r="391" spans="1:7" x14ac:dyDescent="0.25">
      <c r="A391" s="12" t="str">
        <f t="shared" si="57"/>
        <v>Residential_HVAC_Ground Source Heat Pump_FLHcool_Weighted Average</v>
      </c>
      <c r="B391" t="s">
        <v>162</v>
      </c>
      <c r="C391" t="s">
        <v>163</v>
      </c>
      <c r="D391" t="s">
        <v>207</v>
      </c>
      <c r="E391" s="102" t="s">
        <v>262</v>
      </c>
      <c r="F391" s="102" t="s">
        <v>532</v>
      </c>
      <c r="G391" s="103">
        <v>875</v>
      </c>
    </row>
    <row r="392" spans="1:7" x14ac:dyDescent="0.25">
      <c r="A392" s="12" t="str">
        <f t="shared" si="57"/>
        <v>Residential_HVAC_Air-Source Heat Pump_PD_Adj_1 (Rockford)</v>
      </c>
      <c r="B392" t="s">
        <v>162</v>
      </c>
      <c r="C392" t="s">
        <v>163</v>
      </c>
      <c r="D392" t="s">
        <v>238</v>
      </c>
      <c r="E392" s="102" t="s">
        <v>258</v>
      </c>
      <c r="F392" s="102" t="s">
        <v>531</v>
      </c>
      <c r="G392" s="103">
        <v>1.37</v>
      </c>
    </row>
    <row r="393" spans="1:7" x14ac:dyDescent="0.25">
      <c r="A393" s="12" t="str">
        <f t="shared" si="57"/>
        <v>Residential_HVAC_Air-Source Heat Pump_PD_Adj_2 (Chicago)</v>
      </c>
      <c r="B393" t="s">
        <v>162</v>
      </c>
      <c r="C393" t="s">
        <v>163</v>
      </c>
      <c r="D393" t="s">
        <v>238</v>
      </c>
      <c r="E393" s="102" t="s">
        <v>258</v>
      </c>
      <c r="F393" s="102" t="s">
        <v>223</v>
      </c>
      <c r="G393" s="103">
        <v>1.37</v>
      </c>
    </row>
    <row r="394" spans="1:7" x14ac:dyDescent="0.25">
      <c r="A394" s="12" t="str">
        <f t="shared" si="57"/>
        <v>Residential_HVAC_Air-Source Heat Pump_PD_Adj_3 (Springfield)</v>
      </c>
      <c r="B394" t="s">
        <v>162</v>
      </c>
      <c r="C394" t="s">
        <v>163</v>
      </c>
      <c r="D394" t="s">
        <v>238</v>
      </c>
      <c r="E394" s="102" t="s">
        <v>258</v>
      </c>
      <c r="F394" s="102" t="s">
        <v>224</v>
      </c>
      <c r="G394" s="103">
        <v>1.36</v>
      </c>
    </row>
    <row r="395" spans="1:7" x14ac:dyDescent="0.25">
      <c r="A395" s="12" t="str">
        <f t="shared" si="57"/>
        <v>Residential_HVAC_Air-Source Heat Pump_PD_Adj_4 (Belleville)</v>
      </c>
      <c r="B395" t="s">
        <v>162</v>
      </c>
      <c r="C395" t="s">
        <v>163</v>
      </c>
      <c r="D395" t="s">
        <v>238</v>
      </c>
      <c r="E395" s="102" t="s">
        <v>258</v>
      </c>
      <c r="F395" s="102" t="s">
        <v>225</v>
      </c>
      <c r="G395" s="103">
        <v>1.38</v>
      </c>
    </row>
    <row r="396" spans="1:7" x14ac:dyDescent="0.25">
      <c r="A396" s="12" t="str">
        <f t="shared" si="57"/>
        <v>Residential_HVAC_Air-Source Heat Pump_PD_Adj_5 (Marion)</v>
      </c>
      <c r="B396" t="s">
        <v>162</v>
      </c>
      <c r="C396" t="s">
        <v>163</v>
      </c>
      <c r="D396" t="s">
        <v>238</v>
      </c>
      <c r="E396" s="102" t="s">
        <v>258</v>
      </c>
      <c r="F396" s="102" t="s">
        <v>226</v>
      </c>
      <c r="G396" s="103">
        <v>1.38</v>
      </c>
    </row>
    <row r="397" spans="1:7" x14ac:dyDescent="0.25">
      <c r="A397" s="12" t="str">
        <f t="shared" si="57"/>
        <v>Residential_HVAC_Air-Source Heat Pump_PD_Adj_Weighted Average</v>
      </c>
      <c r="B397" t="s">
        <v>162</v>
      </c>
      <c r="C397" t="s">
        <v>163</v>
      </c>
      <c r="D397" t="s">
        <v>238</v>
      </c>
      <c r="E397" s="102" t="s">
        <v>258</v>
      </c>
      <c r="F397" s="102" t="s">
        <v>532</v>
      </c>
      <c r="G397" s="103">
        <v>1.37</v>
      </c>
    </row>
    <row r="398" spans="1:7" x14ac:dyDescent="0.25">
      <c r="A398" s="12" t="str">
        <f t="shared" ref="A398:A403" si="58">B398&amp;"_"&amp;C398&amp;"_"&amp;D398&amp;"_"&amp;E398&amp;"_"&amp;F398</f>
        <v>Residential_HVAC_Ductless Heat Pump_PD_Adj_1 (Rockford)</v>
      </c>
      <c r="B398" t="s">
        <v>162</v>
      </c>
      <c r="C398" t="s">
        <v>163</v>
      </c>
      <c r="D398" t="s">
        <v>295</v>
      </c>
      <c r="E398" s="102" t="s">
        <v>258</v>
      </c>
      <c r="F398" s="102" t="s">
        <v>531</v>
      </c>
      <c r="G398" s="103">
        <v>1.37</v>
      </c>
    </row>
    <row r="399" spans="1:7" x14ac:dyDescent="0.25">
      <c r="A399" s="12" t="str">
        <f t="shared" si="58"/>
        <v>Residential_HVAC_Ductless Heat Pump_PD_Adj_2 (Chicago)</v>
      </c>
      <c r="B399" t="s">
        <v>162</v>
      </c>
      <c r="C399" t="s">
        <v>163</v>
      </c>
      <c r="D399" t="s">
        <v>295</v>
      </c>
      <c r="E399" s="102" t="s">
        <v>258</v>
      </c>
      <c r="F399" s="102" t="s">
        <v>223</v>
      </c>
      <c r="G399" s="103">
        <v>1.37</v>
      </c>
    </row>
    <row r="400" spans="1:7" x14ac:dyDescent="0.25">
      <c r="A400" s="12" t="str">
        <f t="shared" si="58"/>
        <v>Residential_HVAC_Ductless Heat Pump_PD_Adj_3 (Springfield)</v>
      </c>
      <c r="B400" t="s">
        <v>162</v>
      </c>
      <c r="C400" t="s">
        <v>163</v>
      </c>
      <c r="D400" t="s">
        <v>295</v>
      </c>
      <c r="E400" s="102" t="s">
        <v>258</v>
      </c>
      <c r="F400" s="102" t="s">
        <v>224</v>
      </c>
      <c r="G400" s="103">
        <v>1.36</v>
      </c>
    </row>
    <row r="401" spans="1:7" x14ac:dyDescent="0.25">
      <c r="A401" s="12" t="str">
        <f t="shared" si="58"/>
        <v>Residential_HVAC_Ductless Heat Pump_PD_Adj_4 (Belleville)</v>
      </c>
      <c r="B401" t="s">
        <v>162</v>
      </c>
      <c r="C401" t="s">
        <v>163</v>
      </c>
      <c r="D401" t="s">
        <v>295</v>
      </c>
      <c r="E401" s="102" t="s">
        <v>258</v>
      </c>
      <c r="F401" s="102" t="s">
        <v>225</v>
      </c>
      <c r="G401" s="103">
        <v>1.38</v>
      </c>
    </row>
    <row r="402" spans="1:7" x14ac:dyDescent="0.25">
      <c r="A402" s="12" t="str">
        <f t="shared" si="58"/>
        <v>Residential_HVAC_Ductless Heat Pump_PD_Adj_5 (Marion)</v>
      </c>
      <c r="B402" t="s">
        <v>162</v>
      </c>
      <c r="C402" t="s">
        <v>163</v>
      </c>
      <c r="D402" t="s">
        <v>295</v>
      </c>
      <c r="E402" s="102" t="s">
        <v>258</v>
      </c>
      <c r="F402" s="102" t="s">
        <v>226</v>
      </c>
      <c r="G402" s="103">
        <v>1.38</v>
      </c>
    </row>
    <row r="403" spans="1:7" x14ac:dyDescent="0.25">
      <c r="A403" s="12" t="str">
        <f t="shared" si="58"/>
        <v>Residential_HVAC_Ductless Heat Pump_PD_Adj_Weighted Average</v>
      </c>
      <c r="B403" t="s">
        <v>162</v>
      </c>
      <c r="C403" t="s">
        <v>163</v>
      </c>
      <c r="D403" t="s">
        <v>295</v>
      </c>
      <c r="E403" s="102" t="s">
        <v>258</v>
      </c>
      <c r="F403" s="102" t="s">
        <v>532</v>
      </c>
      <c r="G403" s="103">
        <v>1.37</v>
      </c>
    </row>
  </sheetData>
  <autoFilter ref="A1:G403" xr:uid="{A57DFC08-B6A8-479F-BDE8-5F50308A0FBD}"/>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F98F3-6BE3-49B4-9D22-AF04F1391F1D}">
  <sheetPr>
    <tabColor rgb="FFFFFFCC"/>
  </sheetPr>
  <dimension ref="A1"/>
  <sheetViews>
    <sheetView zoomScaleNormal="10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62FEF-F949-4A86-8E43-72F12A88BDF0}">
  <sheetPr>
    <tabColor rgb="FFFFFFCC"/>
    <pageSetUpPr fitToPage="1"/>
  </sheetPr>
  <dimension ref="A1:W43"/>
  <sheetViews>
    <sheetView zoomScaleNormal="100" zoomScaleSheetLayoutView="100" workbookViewId="0">
      <selection activeCell="E37" sqref="E37"/>
    </sheetView>
  </sheetViews>
  <sheetFormatPr defaultColWidth="11.42578125" defaultRowHeight="15" x14ac:dyDescent="0.25"/>
  <cols>
    <col min="1" max="1" width="11.42578125" style="12" customWidth="1"/>
    <col min="2" max="3" width="51.140625" style="12" bestFit="1" customWidth="1"/>
    <col min="4" max="4" width="32.140625" style="12" customWidth="1"/>
    <col min="5" max="6" width="20.42578125" style="12" customWidth="1"/>
    <col min="7" max="8" width="16.5703125" style="12" customWidth="1"/>
    <col min="9" max="9" width="14.85546875" style="12" customWidth="1"/>
    <col min="10" max="10" width="16.140625" style="12" bestFit="1" customWidth="1"/>
    <col min="11" max="11" width="14.5703125" style="12" bestFit="1" customWidth="1"/>
    <col min="12" max="12" width="16.140625" style="12" bestFit="1" customWidth="1"/>
    <col min="13" max="16" width="15.5703125" style="12" customWidth="1"/>
    <col min="17" max="17" width="14.5703125" style="12" bestFit="1" customWidth="1"/>
    <col min="18" max="18" width="19.140625" style="12" bestFit="1" customWidth="1"/>
    <col min="19" max="19" width="14.5703125" style="12" bestFit="1" customWidth="1"/>
    <col min="20" max="20" width="15.42578125" style="12" customWidth="1"/>
    <col min="21" max="23" width="14.5703125" style="12" customWidth="1"/>
    <col min="24" max="16384" width="11.42578125" style="12"/>
  </cols>
  <sheetData>
    <row r="1" spans="1:23" x14ac:dyDescent="0.25">
      <c r="A1" s="19" t="s">
        <v>551</v>
      </c>
      <c r="B1" s="19"/>
      <c r="C1" s="19"/>
      <c r="D1" s="19"/>
      <c r="E1" s="19"/>
      <c r="F1" s="19"/>
      <c r="G1" s="2"/>
      <c r="H1" s="2"/>
      <c r="I1" s="3"/>
    </row>
    <row r="2" spans="1:23" x14ac:dyDescent="0.25">
      <c r="H2"/>
    </row>
    <row r="3" spans="1:23" x14ac:dyDescent="0.25">
      <c r="E3" s="3" t="s">
        <v>552</v>
      </c>
      <c r="F3" s="3" t="s">
        <v>553</v>
      </c>
      <c r="G3" s="3"/>
      <c r="H3" s="3"/>
      <c r="I3" s="13"/>
      <c r="T3" s="11"/>
      <c r="U3" s="11"/>
      <c r="V3" s="11"/>
      <c r="W3" s="11"/>
    </row>
    <row r="4" spans="1:23" x14ac:dyDescent="0.25">
      <c r="A4" s="136" t="str">
        <f>Dashboard_FS!G4</f>
        <v>DS-1 (Residential)</v>
      </c>
      <c r="B4" s="21"/>
      <c r="C4" s="154" t="s">
        <v>554</v>
      </c>
      <c r="D4" s="154" t="s">
        <v>555</v>
      </c>
      <c r="I4" s="3"/>
      <c r="R4" s="14"/>
    </row>
    <row r="5" spans="1:23" x14ac:dyDescent="0.25">
      <c r="B5" s="12" t="s">
        <v>556</v>
      </c>
      <c r="C5" s="12" t="s">
        <v>557</v>
      </c>
      <c r="D5" s="12" t="s">
        <v>558</v>
      </c>
      <c r="E5" s="144">
        <f ca="1">SUMIFS(OFFSET('Rate Sheet Input'!$L:$L,0,MATCH('Rate Sheet Input'!$K$1,'Rate Sheet Input'!$L$5:$AJ$5,0)-1),'Rate Sheet Input'!$B:$B,Dashboard_FS!$G$4,'Rate Sheet Input'!$D:$D,$C5)+SUMIFS(OFFSET('Rate Sheet Input'!$L:$L,0,MATCH('Rate Sheet Input'!$K$1,'Rate Sheet Input'!$L$5:$AJ$5,0)-1),'Rate Sheet Input'!$B:$B,"BGS-1 (Residential)",'Rate Sheet Input'!$D:$D,$C5)</f>
        <v>8.5703773000000005</v>
      </c>
      <c r="F5" s="144">
        <f ca="1">SUMIFS(OFFSET('Rate Sheet Input'!$L:$L,0,MATCH('Rate Sheet Input'!$K$1,'Rate Sheet Input'!$L$5:$AJ$5,0)-1),'Rate Sheet Input'!$B:$B,Dashboard_FS!$G$4,'Rate Sheet Input'!$D:$D,$C5)+SUMIFS(OFFSET('Rate Sheet Input'!$L:$L,0,MATCH('Rate Sheet Input'!$K$1,'Rate Sheet Input'!$L$5:$AJ$5,0)-1),'Rate Sheet Input'!$B:$B,"BGS-1 (Residential)",'Rate Sheet Input'!$D:$D,$C5)</f>
        <v>8.5703773000000005</v>
      </c>
      <c r="G5" s="4"/>
      <c r="H5" s="4"/>
      <c r="I5" s="5"/>
      <c r="R5" s="5"/>
      <c r="T5" s="14"/>
      <c r="U5" s="14"/>
      <c r="V5" s="14"/>
      <c r="W5" s="14"/>
    </row>
    <row r="6" spans="1:23" x14ac:dyDescent="0.25">
      <c r="B6" s="12" t="s">
        <v>559</v>
      </c>
      <c r="C6" s="12" t="s">
        <v>560</v>
      </c>
      <c r="D6" s="12" t="s">
        <v>558</v>
      </c>
      <c r="E6" s="144">
        <f ca="1">SUMIFS(OFFSET('Rate Sheet Input'!$L:$L,0,MATCH('Rate Sheet Input'!$K$1,'Rate Sheet Input'!$L$5:$AJ$5,0)-1),'Rate Sheet Input'!$B:$B,Dashboard_FS!$G$4,'Rate Sheet Input'!$D:$D,$C6)+SUMIFS(OFFSET('Rate Sheet Input'!$L:$L,0,MATCH('Rate Sheet Input'!$K$1,'Rate Sheet Input'!$L$5:$AJ$5,0)-1),'Rate Sheet Input'!$B:$B,"BGS-1 (Residential)",'Rate Sheet Input'!$D:$D,$C6)</f>
        <v>5.0599999999999996</v>
      </c>
      <c r="F6" s="144">
        <f ca="1">SUMIFS(OFFSET('Rate Sheet Input'!$L:$L,0,MATCH('Rate Sheet Input'!$K$1,'Rate Sheet Input'!$L$5:$AJ$5,0)-1),'Rate Sheet Input'!$B:$B,Dashboard_FS!$G$4,'Rate Sheet Input'!$D:$D,$C6)+SUMIFS(OFFSET('Rate Sheet Input'!$L:$L,0,MATCH('Rate Sheet Input'!$K$1,'Rate Sheet Input'!$L$5:$AJ$5,0)-1),'Rate Sheet Input'!$B:$B,"BGS-1 (Residential)",'Rate Sheet Input'!$D:$D,$C6)</f>
        <v>5.0599999999999996</v>
      </c>
      <c r="G6" s="4"/>
      <c r="H6" s="4"/>
      <c r="I6" s="5"/>
      <c r="R6" s="5"/>
      <c r="T6" s="14"/>
      <c r="U6" s="14"/>
      <c r="V6" s="14"/>
      <c r="W6" s="14"/>
    </row>
    <row r="7" spans="1:23" x14ac:dyDescent="0.25">
      <c r="B7" s="20" t="s">
        <v>561</v>
      </c>
      <c r="C7" s="12" t="s">
        <v>562</v>
      </c>
      <c r="D7" s="12" t="s">
        <v>558</v>
      </c>
      <c r="E7" s="144">
        <f ca="1">SUMIFS(OFFSET('Rate Sheet Input'!$L:$L,0,MATCH('Rate Sheet Input'!$K$1,'Rate Sheet Input'!$L$5:$AJ$5,0)-1),'Rate Sheet Input'!$B:$B,Dashboard_FS!$G$4,'Rate Sheet Input'!$D:$D,$C7)+SUMIFS(OFFSET('Rate Sheet Input'!$L:$L,0,MATCH('Rate Sheet Input'!$K$1,'Rate Sheet Input'!$L$5:$AJ$5,0)-1),'Rate Sheet Input'!$B:$B,"BGS-1 (Residential)",'Rate Sheet Input'!$D:$D,$C7)</f>
        <v>0.18</v>
      </c>
      <c r="F7" s="144">
        <f ca="1">SUMIFS(OFFSET('Rate Sheet Input'!$L:$L,0,MATCH('Rate Sheet Input'!$K$1,'Rate Sheet Input'!$L$5:$AJ$5,0)-1),'Rate Sheet Input'!$B:$B,Dashboard_FS!$G$4,'Rate Sheet Input'!$D:$D,$C7)+SUMIFS(OFFSET('Rate Sheet Input'!$L:$L,0,MATCH('Rate Sheet Input'!$K$1,'Rate Sheet Input'!$L$5:$AJ$5,0)-1),'Rate Sheet Input'!$B:$B,"BGS-1 (Residential)",'Rate Sheet Input'!$D:$D,$C7)</f>
        <v>0.18</v>
      </c>
      <c r="H7" s="14"/>
    </row>
    <row r="8" spans="1:23" x14ac:dyDescent="0.25">
      <c r="E8" s="145"/>
      <c r="F8" s="145"/>
      <c r="G8" s="4"/>
      <c r="H8" s="4"/>
      <c r="I8" s="5"/>
      <c r="R8" s="5"/>
      <c r="T8" s="14"/>
      <c r="U8" s="14"/>
      <c r="V8" s="14"/>
      <c r="W8" s="14"/>
    </row>
    <row r="9" spans="1:23" x14ac:dyDescent="0.25">
      <c r="B9" s="12" t="s">
        <v>563</v>
      </c>
      <c r="C9" s="12" t="s">
        <v>563</v>
      </c>
      <c r="D9" s="12" t="s">
        <v>564</v>
      </c>
      <c r="E9" s="144">
        <f>SUMIFS('Rate Sheet Input'!$AM:$AM,'Rate Sheet Input'!$B:$B,Dashboard_FS!$G$4,'Rate Sheet Input'!$D:$D,$C9)+SUMIFS('Rate Sheet Input'!$AM:$AM,'Rate Sheet Input'!$B:$B,"BGS-1 (Residential)",'Rate Sheet Input'!$D:$D,$C9)</f>
        <v>6.7738333333333303E-2</v>
      </c>
      <c r="F9" s="10"/>
      <c r="G9" s="7"/>
      <c r="H9" s="7"/>
      <c r="I9" s="6"/>
      <c r="R9" s="6"/>
      <c r="T9" s="14"/>
      <c r="U9" s="14"/>
      <c r="V9" s="14"/>
      <c r="W9" s="14"/>
    </row>
    <row r="10" spans="1:23" x14ac:dyDescent="0.25">
      <c r="B10" s="12" t="s">
        <v>565</v>
      </c>
      <c r="C10" s="12" t="s">
        <v>565</v>
      </c>
      <c r="D10" s="12" t="s">
        <v>564</v>
      </c>
      <c r="E10" s="10"/>
      <c r="F10" s="144">
        <f>SUMIFS('Rate Sheet Input'!$AM:$AM,'Rate Sheet Input'!$B:$B,Dashboard_FS!$G$4,'Rate Sheet Input'!$D:$D,$C10)+SUMIFS('Rate Sheet Input'!$AM:$AM,'Rate Sheet Input'!$B:$B,"BGS-1 (Residential)",'Rate Sheet Input'!$D:$D,$C10)</f>
        <v>3.964999999999997E-2</v>
      </c>
      <c r="G10" s="7"/>
      <c r="H10" s="7"/>
      <c r="I10" s="6"/>
      <c r="R10" s="6"/>
      <c r="T10" s="14"/>
      <c r="U10" s="14"/>
      <c r="V10" s="14"/>
      <c r="W10" s="14"/>
    </row>
    <row r="11" spans="1:23" x14ac:dyDescent="0.25">
      <c r="B11" s="12" t="s">
        <v>566</v>
      </c>
      <c r="C11" s="12" t="s">
        <v>566</v>
      </c>
      <c r="D11" s="12" t="s">
        <v>564</v>
      </c>
      <c r="E11" s="10"/>
      <c r="F11" s="144">
        <f>SUMIFS('Rate Sheet Input'!$AM:$AM,'Rate Sheet Input'!$B:$B,Dashboard_FS!$G$4,'Rate Sheet Input'!$D:$D,$C11)+SUMIFS('Rate Sheet Input'!$AM:$AM,'Rate Sheet Input'!$B:$B,"BGS-1 (Residential)",'Rate Sheet Input'!$D:$D,$C11)</f>
        <v>2.1041666666666667E-2</v>
      </c>
      <c r="G11" s="7"/>
      <c r="H11" s="7"/>
      <c r="I11" s="6"/>
      <c r="R11" s="6"/>
      <c r="T11" s="14"/>
      <c r="U11" s="14"/>
      <c r="V11" s="14"/>
      <c r="W11" s="14"/>
    </row>
    <row r="12" spans="1:23" x14ac:dyDescent="0.25">
      <c r="B12" s="12" t="s">
        <v>567</v>
      </c>
      <c r="C12" s="12" t="s">
        <v>567</v>
      </c>
      <c r="D12" s="12" t="s">
        <v>564</v>
      </c>
      <c r="E12" s="144">
        <f>SUMIFS('Rate Sheet Input'!$AM:$AM,'Rate Sheet Input'!$B:$B,Dashboard_FS!$G$4,'Rate Sheet Input'!$D:$D,$C12)+SUMIFS('Rate Sheet Input'!$AM:$AM,'Rate Sheet Input'!$B:$B,"BGS-1 (Residential)",'Rate Sheet Input'!$D:$D,$C12)</f>
        <v>1.2531E-3</v>
      </c>
      <c r="F12" s="144">
        <f>SUMIFS('Rate Sheet Input'!$AM:$AM,'Rate Sheet Input'!$B:$B,Dashboard_FS!$G$4,'Rate Sheet Input'!$D:$D,$C12)+SUMIFS('Rate Sheet Input'!$AM:$AM,'Rate Sheet Input'!$B:$B,"BGS-1 (Residential)",'Rate Sheet Input'!$D:$D,$C12)</f>
        <v>1.2531E-3</v>
      </c>
      <c r="G12" s="9"/>
      <c r="H12" s="9"/>
      <c r="I12" s="10"/>
      <c r="R12" s="10"/>
      <c r="T12" s="8"/>
      <c r="U12" s="8"/>
      <c r="V12" s="8"/>
      <c r="W12" s="8"/>
    </row>
    <row r="13" spans="1:23" x14ac:dyDescent="0.25">
      <c r="B13" s="12" t="s">
        <v>568</v>
      </c>
      <c r="C13" s="12" t="s">
        <v>568</v>
      </c>
      <c r="D13" s="12" t="s">
        <v>558</v>
      </c>
      <c r="E13" s="144">
        <f ca="1">(SUMIFS(OFFSET('Rate Sheet Input'!$L:$L,0,MATCH('Rate Sheet Input'!$K$1,'Rate Sheet Input'!$L$5:$AJ$5,0)-1),'Rate Sheet Input'!$B:$B,Dashboard_FS!$G$4,'Rate Sheet Input'!$D:$D,$C13)+SUMIFS(OFFSET('Rate Sheet Input'!$L:$L,0,MATCH('Rate Sheet Input'!$K$1,'Rate Sheet Input'!$L$5:$AJ$5,0)-1),'Rate Sheet Input'!$B:$B,"BGS-1 (Residential)",'Rate Sheet Input'!$D:$D,$C13))*(E9+E12)</f>
        <v>-1.8834661299999991E-3</v>
      </c>
      <c r="F13" s="144">
        <f ca="1">(SUMIFS(OFFSET('Rate Sheet Input'!$L:$L,0,MATCH('Rate Sheet Input'!$K$1,'Rate Sheet Input'!$L$5:$AJ$5,0)-1),'Rate Sheet Input'!$B:$B,Dashboard_FS!$G$4,'Rate Sheet Input'!$D:$D,$C13)+SUMIFS(OFFSET('Rate Sheet Input'!$L:$L,0,MATCH('Rate Sheet Input'!$K$1,'Rate Sheet Input'!$L$5:$AJ$5,0)-1),'Rate Sheet Input'!$B:$B,"BGS-1 (Residential)",'Rate Sheet Input'!$D:$D,$C13))*(F10+F$12)</f>
        <v>-1.1166546299999993E-3</v>
      </c>
      <c r="G13" s="9"/>
      <c r="H13" s="177"/>
      <c r="I13" s="10"/>
      <c r="R13" s="10"/>
      <c r="T13" s="8"/>
      <c r="U13" s="8"/>
      <c r="V13" s="8"/>
      <c r="W13" s="8"/>
    </row>
    <row r="14" spans="1:23" x14ac:dyDescent="0.25">
      <c r="B14" s="12" t="s">
        <v>568</v>
      </c>
      <c r="C14" s="12" t="s">
        <v>568</v>
      </c>
      <c r="D14" s="12" t="s">
        <v>558</v>
      </c>
      <c r="E14"/>
      <c r="F14" s="144">
        <f ca="1">(SUMIFS(OFFSET('Rate Sheet Input'!$L:$L,0,MATCH('Rate Sheet Input'!$K$1,'Rate Sheet Input'!$L$5:$AJ$5,0)-1),'Rate Sheet Input'!$B:$B,Dashboard_FS!$G$4,'Rate Sheet Input'!$D:$D,$C14)+SUMIFS(OFFSET('Rate Sheet Input'!$L:$L,0,MATCH('Rate Sheet Input'!$K$1,'Rate Sheet Input'!$L$5:$AJ$5,0)-1),'Rate Sheet Input'!$B:$B,"BGS-1 (Residential)",'Rate Sheet Input'!$D:$D,$C14))*(F11+F$12)</f>
        <v>-6.0864713000000005E-4</v>
      </c>
      <c r="G14" s="9"/>
      <c r="H14" s="177"/>
      <c r="I14" s="10"/>
      <c r="R14" s="10"/>
      <c r="T14" s="8"/>
      <c r="U14" s="8"/>
      <c r="V14" s="8"/>
      <c r="W14" s="8"/>
    </row>
    <row r="15" spans="1:23" x14ac:dyDescent="0.25">
      <c r="B15" s="16" t="s">
        <v>569</v>
      </c>
      <c r="C15" s="16" t="s">
        <v>569</v>
      </c>
      <c r="D15" s="16"/>
      <c r="E15" s="139">
        <f ca="1">E9+E12+E13</f>
        <v>6.7107967203333299E-2</v>
      </c>
      <c r="F15" s="17"/>
      <c r="G15" s="9"/>
      <c r="H15" s="9"/>
      <c r="I15" s="10"/>
      <c r="R15" s="10"/>
      <c r="T15" s="8"/>
      <c r="U15" s="8"/>
      <c r="V15" s="8"/>
      <c r="W15" s="8"/>
    </row>
    <row r="16" spans="1:23" x14ac:dyDescent="0.25">
      <c r="B16" s="16" t="s">
        <v>570</v>
      </c>
      <c r="C16" s="16" t="s">
        <v>570</v>
      </c>
      <c r="D16" s="16"/>
      <c r="E16" s="17"/>
      <c r="F16" s="139">
        <f ca="1">F10+F$12+F13</f>
        <v>3.9786445369999972E-2</v>
      </c>
      <c r="G16" s="9"/>
      <c r="H16" s="9"/>
      <c r="I16" s="10"/>
      <c r="R16" s="10"/>
      <c r="T16" s="8"/>
      <c r="U16" s="8"/>
      <c r="V16" s="8"/>
      <c r="W16" s="8"/>
    </row>
    <row r="17" spans="1:23" x14ac:dyDescent="0.25">
      <c r="B17" s="16" t="s">
        <v>571</v>
      </c>
      <c r="C17" s="16" t="s">
        <v>571</v>
      </c>
      <c r="D17" s="16"/>
      <c r="E17" s="17"/>
      <c r="F17" s="139">
        <f ca="1">F11+F$12+F14</f>
        <v>2.1686119536666666E-2</v>
      </c>
      <c r="G17" s="9"/>
      <c r="H17" s="9"/>
      <c r="I17" s="10"/>
      <c r="R17" s="10"/>
      <c r="T17" s="8"/>
      <c r="U17" s="8"/>
      <c r="V17" s="8"/>
      <c r="W17" s="8"/>
    </row>
    <row r="18" spans="1:23" x14ac:dyDescent="0.25">
      <c r="E18" s="17"/>
      <c r="F18" s="17"/>
      <c r="G18" s="9"/>
      <c r="H18" s="9"/>
      <c r="I18" s="10"/>
      <c r="R18" s="10"/>
      <c r="T18" s="8"/>
      <c r="U18" s="8"/>
      <c r="V18" s="8"/>
      <c r="W18" s="8"/>
    </row>
    <row r="19" spans="1:23" x14ac:dyDescent="0.25">
      <c r="E19" s="17"/>
      <c r="F19" s="9"/>
      <c r="G19" s="9"/>
      <c r="H19" s="9"/>
      <c r="I19" s="10"/>
      <c r="R19" s="10"/>
      <c r="T19" s="8"/>
      <c r="U19" s="8"/>
      <c r="V19" s="8"/>
      <c r="W19" s="8"/>
    </row>
    <row r="20" spans="1:23" x14ac:dyDescent="0.25">
      <c r="A20" s="22" t="s">
        <v>572</v>
      </c>
      <c r="E20" s="17"/>
      <c r="F20" s="9"/>
      <c r="G20" s="9"/>
      <c r="H20" s="9"/>
      <c r="I20" s="10"/>
      <c r="R20" s="10"/>
      <c r="T20" s="8"/>
      <c r="U20" s="8"/>
      <c r="V20" s="8"/>
      <c r="W20" s="8"/>
    </row>
    <row r="21" spans="1:23" x14ac:dyDescent="0.25">
      <c r="B21" s="12" t="s">
        <v>573</v>
      </c>
      <c r="C21" s="12" t="s">
        <v>573</v>
      </c>
      <c r="D21" s="12" t="s">
        <v>558</v>
      </c>
      <c r="E21" s="144">
        <f ca="1">SUMIFS(OFFSET('Rate Sheet Input'!$L:$L,0,MATCH('Rate Sheet Input'!$K$1,'Rate Sheet Input'!$L$5:$AJ$5,0)-1),'Rate Sheet Input'!$B:$B,Dashboard_FS!$G$4,'Rate Sheet Input'!$D:$D,$C21)+SUMIFS(OFFSET('Rate Sheet Input'!$L:$L,0,MATCH('Rate Sheet Input'!$K$1,'Rate Sheet Input'!$L$5:$AJ$5,0)-1),'Rate Sheet Input'!$B:$B,"BGS-1 (Residential)",'Rate Sheet Input'!$D:$D,$C21)</f>
        <v>5.5530000000000003E-2</v>
      </c>
      <c r="F21" s="9"/>
      <c r="G21" s="9"/>
      <c r="H21" s="9"/>
      <c r="I21" s="10"/>
      <c r="R21" s="10"/>
      <c r="T21" s="8"/>
      <c r="U21" s="8"/>
      <c r="V21" s="8"/>
      <c r="W21" s="8"/>
    </row>
    <row r="22" spans="1:23" x14ac:dyDescent="0.25">
      <c r="B22" s="12" t="s">
        <v>574</v>
      </c>
      <c r="C22" s="12" t="s">
        <v>574</v>
      </c>
      <c r="D22" s="12" t="s">
        <v>558</v>
      </c>
      <c r="E22" s="17"/>
      <c r="F22" s="144">
        <f ca="1">SUMIFS(OFFSET('Rate Sheet Input'!$L:$L,0,MATCH('Rate Sheet Input'!$K$1,'Rate Sheet Input'!$L$5:$AJ$5,0)-1),'Rate Sheet Input'!$B:$B,Dashboard_FS!$G$4,'Rate Sheet Input'!$D:$D,$C22)+SUMIFS(OFFSET('Rate Sheet Input'!$L:$L,0,MATCH('Rate Sheet Input'!$K$1,'Rate Sheet Input'!$L$5:$AJ$5,0)-1),'Rate Sheet Input'!$B:$B,"BGS-1 (Residential)",'Rate Sheet Input'!$D:$D,$C22)</f>
        <v>5.5079999999999997E-2</v>
      </c>
      <c r="G22" s="9"/>
      <c r="H22" s="9"/>
      <c r="I22" s="10"/>
      <c r="R22" s="10"/>
      <c r="T22" s="8"/>
      <c r="U22" s="8"/>
      <c r="V22" s="8"/>
      <c r="W22" s="8"/>
    </row>
    <row r="23" spans="1:23" x14ac:dyDescent="0.25">
      <c r="B23" s="12" t="s">
        <v>575</v>
      </c>
      <c r="C23" s="12" t="s">
        <v>575</v>
      </c>
      <c r="D23" s="12" t="s">
        <v>558</v>
      </c>
      <c r="E23" s="17"/>
      <c r="F23" s="144">
        <f ca="1">SUMIFS(OFFSET('Rate Sheet Input'!$L:$L,0,MATCH('Rate Sheet Input'!$K$1,'Rate Sheet Input'!$L$5:$AJ$5,0)-1),'Rate Sheet Input'!$B:$B,Dashboard_FS!$G$4,'Rate Sheet Input'!$D:$D,$C23)+SUMIFS(OFFSET('Rate Sheet Input'!$L:$L,0,MATCH('Rate Sheet Input'!$K$1,'Rate Sheet Input'!$L$5:$AJ$5,0)-1),'Rate Sheet Input'!$B:$B,"BGS-1 (Residential)",'Rate Sheet Input'!$D:$D,$C23)</f>
        <v>4.9239999999999999E-2</v>
      </c>
      <c r="G23" s="9"/>
      <c r="H23" s="9"/>
      <c r="I23" s="10"/>
      <c r="R23" s="10"/>
      <c r="T23" s="8"/>
      <c r="U23" s="8"/>
      <c r="V23" s="8"/>
      <c r="W23" s="8"/>
    </row>
    <row r="24" spans="1:23" x14ac:dyDescent="0.25">
      <c r="B24" s="23" t="s">
        <v>576</v>
      </c>
      <c r="C24" s="23" t="s">
        <v>576</v>
      </c>
      <c r="D24" s="23" t="s">
        <v>577</v>
      </c>
      <c r="E24" s="144">
        <f>SUMIFS('Rate Sheet Input'!$AL:$AL,'Rate Sheet Input'!$B:$B,Dashboard_FS!$G$4,'Rate Sheet Input'!$D:$D,$C24)+SUMIFS('Rate Sheet Input'!$AL:$AL,'Rate Sheet Input'!$B:$B,"BGS-1 (Residential)",'Rate Sheet Input'!$D:$D,$C24)</f>
        <v>2.4000000000000002E-3</v>
      </c>
      <c r="F24" s="144">
        <f>SUMIFS('Rate Sheet Input'!$AL:$AL,'Rate Sheet Input'!$B:$B,Dashboard_FS!$G$4,'Rate Sheet Input'!$D:$D,$C24)+SUMIFS('Rate Sheet Input'!$AL:$AL,'Rate Sheet Input'!$B:$B,"BGS-1 (Residential)",'Rate Sheet Input'!$D:$D,$C24)</f>
        <v>2.4000000000000002E-3</v>
      </c>
      <c r="G24" s="9"/>
      <c r="H24" s="9"/>
      <c r="I24" s="10"/>
      <c r="R24" s="10"/>
      <c r="T24" s="8"/>
      <c r="U24" s="8"/>
      <c r="V24" s="8"/>
      <c r="W24" s="8"/>
    </row>
    <row r="25" spans="1:23" x14ac:dyDescent="0.25">
      <c r="B25" s="16" t="s">
        <v>578</v>
      </c>
      <c r="C25" s="16" t="s">
        <v>578</v>
      </c>
      <c r="D25" s="16" t="s">
        <v>577</v>
      </c>
      <c r="E25" s="144">
        <f>SUMIFS('Rate Sheet Input'!$AL:$AL,'Rate Sheet Input'!$B:$B,Dashboard_FS!$G$4,'Rate Sheet Input'!$D:$D,$C25)+SUMIFS('Rate Sheet Input'!$AL:$AL,'Rate Sheet Input'!$B:$B,"BGS-1 (Residential)",'Rate Sheet Input'!$D:$D,$C25)</f>
        <v>0</v>
      </c>
      <c r="F25" s="144">
        <f>SUMIFS('Rate Sheet Input'!$AL:$AL,'Rate Sheet Input'!$B:$B,Dashboard_FS!$G$4,'Rate Sheet Input'!$D:$D,$C25)+SUMIFS('Rate Sheet Input'!$AL:$AL,'Rate Sheet Input'!$B:$B,"BGS-1 (Residential)",'Rate Sheet Input'!$D:$D,$C25)</f>
        <v>0</v>
      </c>
      <c r="G25" s="9"/>
      <c r="H25" s="9"/>
      <c r="I25" s="10"/>
      <c r="R25" s="10"/>
      <c r="T25" s="8"/>
      <c r="U25" s="8"/>
      <c r="V25" s="8"/>
      <c r="W25" s="8"/>
    </row>
    <row r="26" spans="1:23" x14ac:dyDescent="0.25">
      <c r="B26" s="16" t="s">
        <v>579</v>
      </c>
      <c r="C26" s="16" t="s">
        <v>579</v>
      </c>
      <c r="D26" s="16" t="s">
        <v>558</v>
      </c>
      <c r="E26" s="144">
        <f ca="1">SUMIFS(OFFSET('Rate Sheet Input'!$L:$L,0,MATCH('Rate Sheet Input'!$K$1,'Rate Sheet Input'!$L$5:$AJ$5,0)-1),'Rate Sheet Input'!$B:$B,Dashboard_FS!$G$4,'Rate Sheet Input'!$D:$D,$C26)+SUMIFS(OFFSET('Rate Sheet Input'!$L:$L,0,MATCH('Rate Sheet Input'!$K$1,'Rate Sheet Input'!$L$5:$AJ$5,0)-1),'Rate Sheet Input'!$B:$B,"BGS-1 (Residential)",'Rate Sheet Input'!$D:$D,$C26)</f>
        <v>0.02</v>
      </c>
      <c r="F26" s="144">
        <f ca="1">SUMIFS(OFFSET('Rate Sheet Input'!$L:$L,0,MATCH('Rate Sheet Input'!$K$1,'Rate Sheet Input'!$L$5:$AJ$5,0)-1),'Rate Sheet Input'!$B:$B,Dashboard_FS!$G$4,'Rate Sheet Input'!$D:$D,$C26)+SUMIFS(OFFSET('Rate Sheet Input'!$L:$L,0,MATCH('Rate Sheet Input'!$K$1,'Rate Sheet Input'!$L$5:$AJ$5,0)-1),'Rate Sheet Input'!$B:$B,"BGS-1 (Residential)",'Rate Sheet Input'!$D:$D,$C26)</f>
        <v>0.02</v>
      </c>
      <c r="G26" s="9"/>
      <c r="H26" s="9"/>
      <c r="I26" s="10"/>
      <c r="R26" s="10"/>
      <c r="T26" s="8"/>
      <c r="U26" s="8"/>
      <c r="V26" s="8"/>
      <c r="W26" s="8"/>
    </row>
    <row r="27" spans="1:23" x14ac:dyDescent="0.25">
      <c r="B27" s="16" t="s">
        <v>580</v>
      </c>
      <c r="C27" s="16" t="s">
        <v>580</v>
      </c>
      <c r="D27" s="16"/>
      <c r="E27" s="139">
        <f ca="1">E21+E24+E25+E26</f>
        <v>7.7929999999999999E-2</v>
      </c>
      <c r="F27" s="9"/>
      <c r="G27" s="9"/>
      <c r="H27" s="9"/>
      <c r="I27" s="10"/>
      <c r="R27" s="10"/>
      <c r="T27" s="8"/>
      <c r="U27" s="8"/>
      <c r="V27" s="8"/>
      <c r="W27" s="8"/>
    </row>
    <row r="28" spans="1:23" x14ac:dyDescent="0.25">
      <c r="B28" s="16" t="s">
        <v>581</v>
      </c>
      <c r="C28" s="16" t="s">
        <v>581</v>
      </c>
      <c r="D28" s="16"/>
      <c r="E28" s="17"/>
      <c r="F28" s="139">
        <f ca="1">F22+F$24+F$25+F$26</f>
        <v>7.7479999999999993E-2</v>
      </c>
      <c r="G28" s="9"/>
      <c r="H28" s="9"/>
      <c r="I28" s="10"/>
      <c r="R28" s="10"/>
      <c r="T28" s="8"/>
      <c r="U28" s="8"/>
      <c r="V28" s="8"/>
      <c r="W28" s="8"/>
    </row>
    <row r="29" spans="1:23" x14ac:dyDescent="0.25">
      <c r="B29" s="16" t="s">
        <v>582</v>
      </c>
      <c r="C29" s="16" t="s">
        <v>582</v>
      </c>
      <c r="D29" s="16"/>
      <c r="E29" s="17"/>
      <c r="F29" s="139">
        <f ca="1">F23+F$24+F$25+F$26</f>
        <v>7.1639999999999995E-2</v>
      </c>
      <c r="G29" s="9"/>
      <c r="H29" s="9"/>
      <c r="I29" s="10"/>
      <c r="R29" s="10"/>
      <c r="T29" s="8"/>
      <c r="U29" s="8"/>
      <c r="V29" s="8"/>
      <c r="W29" s="8"/>
    </row>
    <row r="30" spans="1:23" x14ac:dyDescent="0.25">
      <c r="B30" s="16"/>
      <c r="C30" s="16"/>
      <c r="D30" s="16"/>
      <c r="E30" s="17"/>
      <c r="F30" s="17"/>
      <c r="G30" s="9"/>
      <c r="H30" s="9"/>
      <c r="I30" s="10"/>
      <c r="R30" s="10"/>
      <c r="T30" s="8"/>
      <c r="U30" s="8"/>
      <c r="V30" s="8"/>
      <c r="W30" s="8"/>
    </row>
    <row r="31" spans="1:23" x14ac:dyDescent="0.25">
      <c r="A31" s="22" t="s">
        <v>583</v>
      </c>
      <c r="E31" s="17"/>
      <c r="F31" s="9"/>
      <c r="G31" s="9"/>
      <c r="H31" s="9"/>
      <c r="I31" s="10"/>
      <c r="R31" s="10"/>
      <c r="T31" s="8"/>
      <c r="U31" s="8"/>
      <c r="V31" s="8"/>
      <c r="W31" s="8"/>
    </row>
    <row r="32" spans="1:23" x14ac:dyDescent="0.25">
      <c r="B32" s="12" t="s">
        <v>584</v>
      </c>
      <c r="C32" s="12" t="s">
        <v>584</v>
      </c>
      <c r="E32" s="162">
        <v>3.3E-3</v>
      </c>
      <c r="F32" s="162">
        <v>3.3E-3</v>
      </c>
      <c r="G32" s="9"/>
      <c r="H32" s="9"/>
      <c r="I32" s="10"/>
      <c r="R32" s="10"/>
      <c r="T32" s="8"/>
      <c r="U32" s="8"/>
      <c r="V32" s="8"/>
      <c r="W32" s="8"/>
    </row>
    <row r="33" spans="1:23" x14ac:dyDescent="0.25">
      <c r="B33" s="12" t="s">
        <v>585</v>
      </c>
      <c r="C33" s="12" t="s">
        <v>585</v>
      </c>
      <c r="D33" s="12" t="s">
        <v>558</v>
      </c>
      <c r="E33" s="144">
        <f ca="1">SUMIFS(OFFSET('Rate Sheet Input'!$L:$L,0,MATCH('Rate Sheet Input'!$K$1,'Rate Sheet Input'!$L$5:$AJ$5,0)-1),'Rate Sheet Input'!$B:$B,Dashboard_FS!$G$4,'Rate Sheet Input'!$D:$D,$C33)+SUMIFS(OFFSET('Rate Sheet Input'!$L:$L,0,MATCH('Rate Sheet Input'!$K$1,'Rate Sheet Input'!$L$5:$AJ$5,0)-1),'Rate Sheet Input'!$B:$B,"BGS-1 (Residential)",'Rate Sheet Input'!$D:$D,$C33)</f>
        <v>4.15E-3</v>
      </c>
      <c r="F33" s="144">
        <f ca="1">SUMIFS(OFFSET('Rate Sheet Input'!$L:$L,0,MATCH('Rate Sheet Input'!$K$1,'Rate Sheet Input'!$L$5:$AJ$5,0)-1),'Rate Sheet Input'!$B:$B,Dashboard_FS!$G$4,'Rate Sheet Input'!$D:$D,$C33)+SUMIFS(OFFSET('Rate Sheet Input'!$L:$L,0,MATCH('Rate Sheet Input'!$K$1,'Rate Sheet Input'!$L$5:$AJ$5,0)-1),'Rate Sheet Input'!$B:$B,"BGS-1 (Residential)",'Rate Sheet Input'!$D:$D,$C33)</f>
        <v>4.15E-3</v>
      </c>
      <c r="G33" s="9"/>
      <c r="H33" s="9"/>
      <c r="I33" s="10"/>
      <c r="R33" s="10"/>
      <c r="T33" s="8"/>
      <c r="U33" s="8"/>
      <c r="V33" s="8"/>
      <c r="W33" s="8"/>
    </row>
    <row r="34" spans="1:23" x14ac:dyDescent="0.25">
      <c r="B34" s="18" t="s">
        <v>586</v>
      </c>
      <c r="C34" s="18" t="s">
        <v>586</v>
      </c>
      <c r="D34" s="18" t="s">
        <v>558</v>
      </c>
      <c r="E34" s="144">
        <f ca="1">SUMIFS(OFFSET('Rate Sheet Input'!$L:$L,0,MATCH('Rate Sheet Input'!$K$1,'Rate Sheet Input'!$L$5:$AJ$5,0)-1),'Rate Sheet Input'!$B:$B,Dashboard_FS!$G$4,'Rate Sheet Input'!$D:$D,$C34)+SUMIFS(OFFSET('Rate Sheet Input'!$L:$L,0,MATCH('Rate Sheet Input'!$K$1,'Rate Sheet Input'!$L$5:$AJ$5,0)-1),'Rate Sheet Input'!$B:$B,"BGS-1 (Residential)",'Rate Sheet Input'!$D:$D,$C34)</f>
        <v>1.89E-3</v>
      </c>
      <c r="F34" s="144">
        <f ca="1">SUMIFS(OFFSET('Rate Sheet Input'!$L:$L,0,MATCH('Rate Sheet Input'!$K$1,'Rate Sheet Input'!$L$5:$AJ$5,0)-1),'Rate Sheet Input'!$B:$B,Dashboard_FS!$G$4,'Rate Sheet Input'!$D:$D,$C34)+SUMIFS(OFFSET('Rate Sheet Input'!$L:$L,0,MATCH('Rate Sheet Input'!$K$1,'Rate Sheet Input'!$L$5:$AJ$5,0)-1),'Rate Sheet Input'!$B:$B,"BGS-1 (Residential)",'Rate Sheet Input'!$D:$D,$C34)</f>
        <v>1.89E-3</v>
      </c>
      <c r="G34" s="9"/>
      <c r="H34" s="9"/>
      <c r="I34" s="10"/>
      <c r="R34" s="10"/>
      <c r="T34" s="8"/>
      <c r="U34" s="8"/>
      <c r="V34" s="8"/>
      <c r="W34" s="8"/>
    </row>
    <row r="35" spans="1:23" x14ac:dyDescent="0.25">
      <c r="B35" s="18" t="s">
        <v>587</v>
      </c>
      <c r="C35" s="18" t="s">
        <v>587</v>
      </c>
      <c r="D35" s="18" t="s">
        <v>558</v>
      </c>
      <c r="E35" s="144">
        <f ca="1">SUMIFS(OFFSET('Rate Sheet Input'!$L:$L,0,MATCH('Rate Sheet Input'!$K$1,'Rate Sheet Input'!$L$5:$AJ$5,0)-1),'Rate Sheet Input'!$B:$B,Dashboard_FS!$G$4,'Rate Sheet Input'!$D:$D,$C35)+SUMIFS(OFFSET('Rate Sheet Input'!$L:$L,0,MATCH('Rate Sheet Input'!$K$1,'Rate Sheet Input'!$L$5:$AJ$5,0)-1),'Rate Sheet Input'!$B:$B,"BGS-1 (Residential)",'Rate Sheet Input'!$D:$D,$C35)</f>
        <v>4.5799999999999999E-3</v>
      </c>
      <c r="F35" s="144">
        <f ca="1">SUMIFS(OFFSET('Rate Sheet Input'!$L:$L,0,MATCH('Rate Sheet Input'!$K$1,'Rate Sheet Input'!$L$5:$AJ$5,0)-1),'Rate Sheet Input'!$B:$B,Dashboard_FS!$G$4,'Rate Sheet Input'!$D:$D,$C35)+SUMIFS(OFFSET('Rate Sheet Input'!$L:$L,0,MATCH('Rate Sheet Input'!$K$1,'Rate Sheet Input'!$L$5:$AJ$5,0)-1),'Rate Sheet Input'!$B:$B,"BGS-1 (Residential)",'Rate Sheet Input'!$D:$D,$C35)</f>
        <v>4.5799999999999999E-3</v>
      </c>
      <c r="G35" s="9"/>
      <c r="H35" s="9"/>
      <c r="I35" s="10"/>
      <c r="R35" s="10"/>
      <c r="T35" s="8"/>
      <c r="U35" s="8"/>
      <c r="V35" s="8"/>
      <c r="W35" s="8"/>
    </row>
    <row r="36" spans="1:23" x14ac:dyDescent="0.25">
      <c r="B36" s="12" t="s">
        <v>588</v>
      </c>
      <c r="C36" s="12" t="s">
        <v>588</v>
      </c>
      <c r="D36" s="12" t="s">
        <v>558</v>
      </c>
      <c r="E36" s="144">
        <f ca="1">SUMIFS(OFFSET('Rate Sheet Input'!$L:$L,0,MATCH('Rate Sheet Input'!$K$1,'Rate Sheet Input'!$L$5:$AJ$5,0)-1),'Rate Sheet Input'!$B:$B,Dashboard_FS!$G$4,'Rate Sheet Input'!$D:$D,$C36)+SUMIFS(OFFSET('Rate Sheet Input'!$L:$L,0,MATCH('Rate Sheet Input'!$K$1,'Rate Sheet Input'!$L$5:$AJ$5,0)-1),'Rate Sheet Input'!$B:$B,"BGS-1 (Residential)",'Rate Sheet Input'!$D:$D,$C36)</f>
        <v>7.2000000000000005E-4</v>
      </c>
      <c r="F36" s="144">
        <f ca="1">SUMIFS(OFFSET('Rate Sheet Input'!$L:$L,0,MATCH('Rate Sheet Input'!$K$1,'Rate Sheet Input'!$L$5:$AJ$5,0)-1),'Rate Sheet Input'!$B:$B,Dashboard_FS!$G$4,'Rate Sheet Input'!$D:$D,$C36)+SUMIFS(OFFSET('Rate Sheet Input'!$L:$L,0,MATCH('Rate Sheet Input'!$K$1,'Rate Sheet Input'!$L$5:$AJ$5,0)-1),'Rate Sheet Input'!$B:$B,"BGS-1 (Residential)",'Rate Sheet Input'!$D:$D,$C36)</f>
        <v>7.2000000000000005E-4</v>
      </c>
      <c r="G36" s="9"/>
      <c r="H36" s="9"/>
      <c r="I36" s="10"/>
      <c r="R36" s="10"/>
      <c r="T36" s="8"/>
      <c r="U36" s="8"/>
      <c r="V36" s="8"/>
      <c r="W36" s="8"/>
    </row>
    <row r="37" spans="1:23" x14ac:dyDescent="0.25">
      <c r="B37" s="12" t="s">
        <v>589</v>
      </c>
      <c r="C37" s="12" t="s">
        <v>589</v>
      </c>
      <c r="D37" s="12" t="s">
        <v>558</v>
      </c>
      <c r="E37" s="144">
        <f ca="1">SUMIFS(OFFSET('Rate Sheet Input'!$L:$L,0,MATCH('Rate Sheet Input'!$K$1,'Rate Sheet Input'!$L$5:$AJ$5,0)-1),'Rate Sheet Input'!$B:$B,Dashboard_FS!$G$4,'Rate Sheet Input'!$D:$D,$C37)+SUMIFS(OFFSET('Rate Sheet Input'!$L:$L,0,MATCH('Rate Sheet Input'!$K$1,'Rate Sheet Input'!$L$5:$AJ$5,0)-1),'Rate Sheet Input'!$B:$B,"BGS-1 (Residential)",'Rate Sheet Input'!$D:$D,$C37)</f>
        <v>2.0000000000000002E-5</v>
      </c>
      <c r="F37" s="144">
        <f ca="1">SUMIFS(OFFSET('Rate Sheet Input'!$L:$L,0,MATCH('Rate Sheet Input'!$K$1,'Rate Sheet Input'!$L$5:$AJ$5,0)-1),'Rate Sheet Input'!$B:$B,Dashboard_FS!$G$4,'Rate Sheet Input'!$D:$D,$C37)+SUMIFS(OFFSET('Rate Sheet Input'!$L:$L,0,MATCH('Rate Sheet Input'!$K$1,'Rate Sheet Input'!$L$5:$AJ$5,0)-1),'Rate Sheet Input'!$B:$B,"BGS-1 (Residential)",'Rate Sheet Input'!$D:$D,$C37)</f>
        <v>2.0000000000000002E-5</v>
      </c>
      <c r="G37" s="9"/>
      <c r="H37" s="9"/>
      <c r="I37" s="10"/>
      <c r="R37" s="10"/>
      <c r="T37" s="8"/>
      <c r="U37" s="8"/>
      <c r="V37" s="8"/>
      <c r="W37" s="8"/>
    </row>
    <row r="38" spans="1:23" x14ac:dyDescent="0.25">
      <c r="B38" s="12" t="s">
        <v>590</v>
      </c>
      <c r="C38" s="12" t="s">
        <v>590</v>
      </c>
      <c r="E38" s="140">
        <f ca="1">SUM(E32:E37)</f>
        <v>1.4659999999999998E-2</v>
      </c>
      <c r="F38" s="140">
        <f ca="1">SUM(F32:F37)</f>
        <v>1.4659999999999998E-2</v>
      </c>
    </row>
    <row r="39" spans="1:23" x14ac:dyDescent="0.25">
      <c r="E39" s="146"/>
      <c r="F39" s="146"/>
    </row>
    <row r="40" spans="1:23" ht="15.75" thickBot="1" x14ac:dyDescent="0.3">
      <c r="A40" s="22" t="s">
        <v>591</v>
      </c>
      <c r="E40" s="146"/>
      <c r="F40" s="146"/>
    </row>
    <row r="41" spans="1:23" x14ac:dyDescent="0.25">
      <c r="A41" s="24"/>
      <c r="B41" s="25" t="s">
        <v>592</v>
      </c>
      <c r="C41" s="25"/>
      <c r="D41" s="25"/>
      <c r="E41" s="141">
        <f ca="1">E15+E27+E38</f>
        <v>0.15969796720333329</v>
      </c>
      <c r="F41" s="147"/>
    </row>
    <row r="42" spans="1:23" x14ac:dyDescent="0.25">
      <c r="A42" s="26"/>
      <c r="B42" s="12" t="s">
        <v>593</v>
      </c>
      <c r="E42" s="148"/>
      <c r="F42" s="142">
        <f ca="1">F16+F28+F$38</f>
        <v>0.13192644536999998</v>
      </c>
    </row>
    <row r="43" spans="1:23" ht="15.75" thickBot="1" x14ac:dyDescent="0.3">
      <c r="A43" s="27"/>
      <c r="B43" s="28" t="s">
        <v>594</v>
      </c>
      <c r="C43" s="28"/>
      <c r="D43" s="28"/>
      <c r="E43" s="149"/>
      <c r="F43" s="143">
        <f ca="1">F17+F29+F$38</f>
        <v>0.10798611953666666</v>
      </c>
    </row>
  </sheetData>
  <printOptions headings="1"/>
  <pageMargins left="0.7" right="0.7" top="0.75" bottom="0.75" header="0.3" footer="0.3"/>
  <pageSetup scale="41" fitToHeight="0" orientation="portrait" r:id="rId1"/>
  <headerFooter>
    <oddFooter>&amp;Z&amp;F</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C645-DB86-4CBC-B4DC-56D724DD4AEC}">
  <sheetPr>
    <tabColor rgb="FFFFFFCC"/>
  </sheetPr>
  <dimension ref="A1:D22"/>
  <sheetViews>
    <sheetView zoomScale="145" zoomScaleNormal="145" workbookViewId="0">
      <selection activeCell="D20" sqref="D20"/>
    </sheetView>
  </sheetViews>
  <sheetFormatPr defaultColWidth="9.140625" defaultRowHeight="15" x14ac:dyDescent="0.25"/>
  <cols>
    <col min="1" max="1" width="29" bestFit="1" customWidth="1"/>
    <col min="2" max="3" width="29" customWidth="1"/>
    <col min="4" max="4" width="12.5703125" customWidth="1"/>
  </cols>
  <sheetData>
    <row r="1" spans="1:4" x14ac:dyDescent="0.25">
      <c r="A1" s="1" t="s">
        <v>595</v>
      </c>
      <c r="B1" s="1"/>
      <c r="C1" s="1"/>
    </row>
    <row r="3" spans="1:4" x14ac:dyDescent="0.25">
      <c r="A3" s="1" t="s">
        <v>596</v>
      </c>
      <c r="B3" s="161" t="s">
        <v>597</v>
      </c>
      <c r="C3" s="161" t="s">
        <v>555</v>
      </c>
    </row>
    <row r="4" spans="1:4" ht="18.600000000000001" customHeight="1" x14ac:dyDescent="0.25">
      <c r="A4" s="15" t="s">
        <v>557</v>
      </c>
      <c r="B4" t="s">
        <v>557</v>
      </c>
      <c r="C4" t="s">
        <v>558</v>
      </c>
      <c r="D4" s="144">
        <f ca="1">SUMIFS(OFFSET('Rate Sheet Input'!$L:$L,0,MATCH('Rate Sheet Input'!$K$1,'Rate Sheet Input'!$L$5:$AJ$5,0)-1),'Rate Sheet Input'!$B:$B,Dashboard_FS!$G$5,'Rate Sheet Input'!$D:$D,$B4)</f>
        <v>22.829999999999995</v>
      </c>
    </row>
    <row r="5" spans="1:4" x14ac:dyDescent="0.25">
      <c r="A5" s="1" t="s">
        <v>598</v>
      </c>
      <c r="B5" s="1"/>
      <c r="C5" s="1"/>
      <c r="D5" s="155">
        <f ca="1">SUM(D4:D4)</f>
        <v>22.829999999999995</v>
      </c>
    </row>
    <row r="7" spans="1:4" x14ac:dyDescent="0.25">
      <c r="A7" s="1" t="s">
        <v>599</v>
      </c>
      <c r="B7" s="1"/>
      <c r="C7" s="1"/>
    </row>
    <row r="8" spans="1:4" x14ac:dyDescent="0.25">
      <c r="A8" t="s">
        <v>600</v>
      </c>
      <c r="B8" t="s">
        <v>600</v>
      </c>
      <c r="C8" t="s">
        <v>558</v>
      </c>
      <c r="D8" s="144">
        <f ca="1">SUMIFS(OFFSET('Rate Sheet Input'!$L:$L,0,MATCH('Rate Sheet Input'!$K$1,'Rate Sheet Input'!$L$5:$AJ$5,0)-1),'Rate Sheet Input'!$B:$B,Dashboard_FS!$G$5,'Rate Sheet Input'!$D:$D,$B8)</f>
        <v>0.43775999999999998</v>
      </c>
    </row>
    <row r="9" spans="1:4" x14ac:dyDescent="0.25">
      <c r="A9" t="s">
        <v>601</v>
      </c>
      <c r="D9" s="157">
        <f ca="1">D8*D20</f>
        <v>5.9097599999999991E-3</v>
      </c>
    </row>
    <row r="10" spans="1:4" x14ac:dyDescent="0.25">
      <c r="A10" t="s">
        <v>602</v>
      </c>
      <c r="D10" s="157">
        <f ca="1">D8*D21</f>
        <v>4.1587199999999994E-3</v>
      </c>
    </row>
    <row r="11" spans="1:4" x14ac:dyDescent="0.25">
      <c r="A11" t="s">
        <v>603</v>
      </c>
      <c r="B11" t="s">
        <v>603</v>
      </c>
      <c r="C11" t="s">
        <v>577</v>
      </c>
      <c r="D11" s="144">
        <f>SUMIFS('Rate Sheet Input'!$AL:$AL,'Rate Sheet Input'!$B:$B,Dashboard_FS!$G$5,'Rate Sheet Input'!$D:$D,$B11)</f>
        <v>0.49311999999999995</v>
      </c>
    </row>
    <row r="12" spans="1:4" x14ac:dyDescent="0.25">
      <c r="A12" t="s">
        <v>604</v>
      </c>
      <c r="B12" t="s">
        <v>604</v>
      </c>
      <c r="C12" t="s">
        <v>558</v>
      </c>
      <c r="D12" s="144">
        <f ca="1">SUMIFS(OFFSET('Rate Sheet Input'!$L:$L,0,MATCH('Rate Sheet Input'!$K$1,'Rate Sheet Input'!$L$5:$AJ$5,0)-1),'Rate Sheet Input'!$B:$B,Dashboard_FS!$G$5,'Rate Sheet Input'!$D:$D,$B12)</f>
        <v>0.16350000000000001</v>
      </c>
    </row>
    <row r="13" spans="1:4" x14ac:dyDescent="0.25">
      <c r="A13" t="s">
        <v>605</v>
      </c>
      <c r="B13" t="s">
        <v>605</v>
      </c>
      <c r="C13" t="s">
        <v>558</v>
      </c>
      <c r="D13" s="144">
        <f ca="1">SUMIFS(OFFSET('Rate Sheet Input'!$L:$L,0,MATCH('Rate Sheet Input'!$K$1,'Rate Sheet Input'!$L$5:$AJ$5,0)-1),'Rate Sheet Input'!$B:$B,Dashboard_FS!$G$5,'Rate Sheet Input'!$D:$D,$B13)</f>
        <v>2.4379999999999999E-2</v>
      </c>
    </row>
    <row r="14" spans="1:4" x14ac:dyDescent="0.25">
      <c r="A14" t="s">
        <v>606</v>
      </c>
      <c r="B14" t="s">
        <v>606</v>
      </c>
      <c r="C14" t="s">
        <v>558</v>
      </c>
      <c r="D14" s="162">
        <f>0.55/23</f>
        <v>2.391304347826087E-2</v>
      </c>
    </row>
    <row r="15" spans="1:4" x14ac:dyDescent="0.25">
      <c r="A15" t="s">
        <v>607</v>
      </c>
      <c r="D15" s="157">
        <f ca="1">SUM(D8:D14)*D22</f>
        <v>1.1527415234782608E-3</v>
      </c>
    </row>
    <row r="16" spans="1:4" x14ac:dyDescent="0.25">
      <c r="A16" s="1" t="s">
        <v>608</v>
      </c>
      <c r="B16" s="1"/>
      <c r="C16" s="1"/>
      <c r="D16" s="157">
        <f ca="1">SUM(D8:D15)</f>
        <v>1.153894265001739</v>
      </c>
    </row>
    <row r="20" spans="1:4" x14ac:dyDescent="0.25">
      <c r="A20" t="s">
        <v>609</v>
      </c>
      <c r="B20" t="s">
        <v>609</v>
      </c>
      <c r="C20" t="s">
        <v>577</v>
      </c>
      <c r="D20" s="158">
        <f>SUMIFS('Rate Sheet Input'!$AL:$AL,'Rate Sheet Input'!$B:$B,Dashboard_FS!$G$5,'Rate Sheet Input'!$D:$D,$B20)/100</f>
        <v>1.3499999999999998E-2</v>
      </c>
    </row>
    <row r="21" spans="1:4" x14ac:dyDescent="0.25">
      <c r="A21" t="s">
        <v>602</v>
      </c>
      <c r="B21" t="s">
        <v>602</v>
      </c>
      <c r="C21" t="s">
        <v>558</v>
      </c>
      <c r="D21" s="158">
        <f ca="1">SUMIFS(OFFSET('Rate Sheet Input'!$L:$L,0,MATCH('Rate Sheet Input'!$K$1,'Rate Sheet Input'!$L$5:$AJ$5,0)-1),'Rate Sheet Input'!$B:$B,Dashboard_FS!$G$5,'Rate Sheet Input'!$D:$D,$B21)/100</f>
        <v>9.4999999999999998E-3</v>
      </c>
    </row>
    <row r="22" spans="1:4" x14ac:dyDescent="0.25">
      <c r="A22" t="s">
        <v>610</v>
      </c>
      <c r="C22" t="s">
        <v>558</v>
      </c>
      <c r="D22" s="156">
        <v>1E-3</v>
      </c>
    </row>
  </sheetData>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DDBD1-ABBB-4482-9F52-10DF649C2D95}">
  <sheetPr codeName="Sheet2">
    <tabColor rgb="FFFFFFCC"/>
  </sheetPr>
  <dimension ref="A1:BT662"/>
  <sheetViews>
    <sheetView zoomScale="80" zoomScaleNormal="80" workbookViewId="0">
      <pane xSplit="3" ySplit="5" topLeftCell="R623" activePane="bottomRight" state="frozen"/>
      <selection pane="topRight" activeCell="C1" sqref="C1"/>
      <selection pane="bottomLeft" activeCell="A6" sqref="A6"/>
      <selection pane="bottomRight" activeCell="V658" sqref="V658"/>
    </sheetView>
  </sheetViews>
  <sheetFormatPr defaultColWidth="9.140625" defaultRowHeight="14.25" x14ac:dyDescent="0.2"/>
  <cols>
    <col min="1" max="1" width="9.140625" style="55"/>
    <col min="2" max="2" width="36.140625" style="55" customWidth="1"/>
    <col min="3" max="3" width="60.85546875" style="55" bestFit="1" customWidth="1"/>
    <col min="4" max="4" width="23.42578125" style="55" customWidth="1"/>
    <col min="5" max="5" width="16.42578125" style="55" customWidth="1"/>
    <col min="6" max="6" width="13.5703125" style="55" customWidth="1"/>
    <col min="7" max="7" width="8" style="55" customWidth="1"/>
    <col min="8" max="8" width="10.5703125" style="55" customWidth="1"/>
    <col min="9" max="9" width="15.85546875" style="55" customWidth="1"/>
    <col min="10" max="10" width="25.5703125" style="57" customWidth="1"/>
    <col min="11" max="11" width="16.5703125" style="55" customWidth="1"/>
    <col min="12" max="12" width="13.5703125" style="55" customWidth="1"/>
    <col min="13" max="13" width="10.42578125" style="55" customWidth="1"/>
    <col min="14" max="22" width="13.5703125" style="55" customWidth="1"/>
    <col min="23" max="23" width="12.42578125" style="55" customWidth="1"/>
    <col min="24" max="24" width="15.140625" style="55" customWidth="1"/>
    <col min="25" max="26" width="15.42578125" style="55" customWidth="1"/>
    <col min="27" max="27" width="16" style="55" customWidth="1"/>
    <col min="28" max="28" width="17" style="55" customWidth="1"/>
    <col min="29" max="40" width="13.5703125" style="55" customWidth="1"/>
    <col min="41" max="41" width="55.85546875" style="55" bestFit="1" customWidth="1"/>
    <col min="42" max="42" width="13.140625" style="55" bestFit="1" customWidth="1"/>
    <col min="43" max="43" width="51.42578125" style="55" bestFit="1" customWidth="1"/>
    <col min="44" max="44" width="14.5703125" style="58" bestFit="1" customWidth="1"/>
    <col min="45" max="45" width="11" style="55" customWidth="1"/>
    <col min="46" max="57" width="13.5703125" style="55" customWidth="1"/>
    <col min="58" max="58" width="17.140625" style="55" customWidth="1"/>
    <col min="59" max="59" width="21.42578125" style="55" customWidth="1"/>
    <col min="60" max="60" width="18.85546875" style="55" customWidth="1"/>
    <col min="61" max="61" width="17.140625" style="55" customWidth="1"/>
    <col min="62" max="70" width="13.5703125" style="55" customWidth="1"/>
    <col min="71" max="72" width="51.42578125" style="55" customWidth="1"/>
    <col min="73" max="16384" width="9.140625" style="55"/>
  </cols>
  <sheetData>
    <row r="1" spans="1:72" ht="16.5" thickBot="1" x14ac:dyDescent="0.3">
      <c r="B1" s="54" t="s">
        <v>611</v>
      </c>
      <c r="H1" s="56"/>
      <c r="I1" s="56"/>
      <c r="J1" s="176" t="s">
        <v>612</v>
      </c>
      <c r="K1" s="137">
        <f ca="1">Dashboard_FS!G3-DAY(Dashboard_FS!G3)+1</f>
        <v>45717</v>
      </c>
    </row>
    <row r="2" spans="1:72" ht="25.5" customHeight="1" x14ac:dyDescent="0.35">
      <c r="H2" s="56"/>
      <c r="I2" s="56"/>
      <c r="L2" s="175" t="s">
        <v>613</v>
      </c>
      <c r="M2" s="174"/>
      <c r="N2" s="174"/>
      <c r="O2" s="174"/>
      <c r="P2" s="174"/>
      <c r="Q2" s="174"/>
      <c r="R2" s="174"/>
      <c r="S2" s="174"/>
      <c r="T2" s="174"/>
      <c r="U2" s="174"/>
      <c r="V2" s="174"/>
      <c r="W2" s="174"/>
      <c r="X2" s="174"/>
      <c r="Y2" s="174"/>
      <c r="Z2" s="174"/>
      <c r="AA2" s="174"/>
      <c r="AB2" s="174"/>
      <c r="AC2" s="174"/>
      <c r="AD2" s="174"/>
      <c r="AE2" s="174"/>
      <c r="AF2" s="174"/>
      <c r="AG2" s="174"/>
      <c r="AH2" s="174"/>
      <c r="AI2" s="174"/>
      <c r="AJ2" s="173"/>
      <c r="AK2" s="173"/>
      <c r="AL2" s="173"/>
      <c r="AM2" s="173"/>
      <c r="AO2" s="175" t="s">
        <v>614</v>
      </c>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3"/>
    </row>
    <row r="3" spans="1:72" ht="26.25" thickBot="1" x14ac:dyDescent="0.4">
      <c r="H3" s="56"/>
      <c r="I3" s="56"/>
      <c r="L3" s="172"/>
      <c r="M3" s="171"/>
      <c r="N3" s="171"/>
      <c r="O3" s="171"/>
      <c r="P3" s="171"/>
      <c r="Q3" s="171"/>
      <c r="R3" s="171"/>
      <c r="S3" s="171"/>
      <c r="T3" s="171"/>
      <c r="U3" s="171"/>
      <c r="V3" s="171"/>
      <c r="W3" s="171"/>
      <c r="X3" s="171"/>
      <c r="Y3" s="171"/>
      <c r="Z3" s="171"/>
      <c r="AA3" s="171"/>
      <c r="AB3" s="171"/>
      <c r="AC3" s="171"/>
      <c r="AD3" s="171"/>
      <c r="AE3" s="171"/>
      <c r="AF3" s="171"/>
      <c r="AG3" s="171"/>
      <c r="AH3" s="171"/>
      <c r="AI3" s="171"/>
      <c r="AJ3" s="170"/>
      <c r="AK3" s="170"/>
      <c r="AL3" s="170"/>
      <c r="AM3" s="170"/>
      <c r="AO3" s="172"/>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0"/>
    </row>
    <row r="4" spans="1:72" ht="16.5" thickBot="1" x14ac:dyDescent="0.3">
      <c r="L4" s="59" t="s">
        <v>615</v>
      </c>
      <c r="M4" s="134"/>
      <c r="N4" s="134"/>
      <c r="O4" s="134"/>
      <c r="P4" s="134"/>
      <c r="Q4" s="134"/>
      <c r="R4" s="134"/>
      <c r="S4" s="134"/>
      <c r="T4" s="134"/>
      <c r="U4" s="134"/>
      <c r="V4" s="134"/>
      <c r="W4" s="134"/>
      <c r="X4" s="134"/>
      <c r="Y4" s="134"/>
      <c r="Z4" s="134"/>
      <c r="AA4" s="134"/>
      <c r="AB4" s="134"/>
      <c r="AC4" s="134"/>
      <c r="AD4" s="134"/>
      <c r="AE4" s="134"/>
      <c r="AF4" s="134"/>
      <c r="AG4" s="134"/>
      <c r="AH4" s="134"/>
      <c r="AI4" s="134"/>
      <c r="AJ4" s="135"/>
      <c r="AK4" s="135"/>
      <c r="AL4" s="135"/>
      <c r="AM4" s="135"/>
      <c r="AO4" s="59"/>
      <c r="AP4" s="59"/>
      <c r="AQ4" s="59"/>
      <c r="AR4" s="59"/>
      <c r="AS4" s="59"/>
      <c r="AT4" s="59" t="s">
        <v>616</v>
      </c>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5"/>
      <c r="BS4" s="59"/>
      <c r="BT4" s="59"/>
    </row>
    <row r="5" spans="1:72" s="69" customFormat="1" ht="30.75" thickBot="1" x14ac:dyDescent="0.3">
      <c r="B5" s="60" t="s">
        <v>617</v>
      </c>
      <c r="C5" s="61" t="s">
        <v>618</v>
      </c>
      <c r="D5" s="153" t="s">
        <v>554</v>
      </c>
      <c r="E5" s="62" t="s">
        <v>619</v>
      </c>
      <c r="F5" s="61" t="s">
        <v>620</v>
      </c>
      <c r="G5" s="61" t="s">
        <v>621</v>
      </c>
      <c r="H5" s="61" t="s">
        <v>622</v>
      </c>
      <c r="I5" s="61" t="s">
        <v>623</v>
      </c>
      <c r="J5" s="63" t="s">
        <v>624</v>
      </c>
      <c r="K5" s="61" t="s">
        <v>625</v>
      </c>
      <c r="L5" s="64">
        <v>45261</v>
      </c>
      <c r="M5" s="65">
        <f>EOMONTH(L5,0)+1</f>
        <v>45292</v>
      </c>
      <c r="N5" s="65">
        <f t="shared" ref="N5:AI5" si="0">EOMONTH(M5,0)+1</f>
        <v>45323</v>
      </c>
      <c r="O5" s="65">
        <f t="shared" si="0"/>
        <v>45352</v>
      </c>
      <c r="P5" s="65">
        <f t="shared" si="0"/>
        <v>45383</v>
      </c>
      <c r="Q5" s="65">
        <f t="shared" si="0"/>
        <v>45413</v>
      </c>
      <c r="R5" s="65">
        <f t="shared" si="0"/>
        <v>45444</v>
      </c>
      <c r="S5" s="65">
        <f t="shared" si="0"/>
        <v>45474</v>
      </c>
      <c r="T5" s="65">
        <f t="shared" si="0"/>
        <v>45505</v>
      </c>
      <c r="U5" s="65">
        <f t="shared" si="0"/>
        <v>45536</v>
      </c>
      <c r="V5" s="65">
        <f t="shared" si="0"/>
        <v>45566</v>
      </c>
      <c r="W5" s="65">
        <f t="shared" si="0"/>
        <v>45597</v>
      </c>
      <c r="X5" s="65">
        <f t="shared" si="0"/>
        <v>45627</v>
      </c>
      <c r="Y5" s="65">
        <f t="shared" si="0"/>
        <v>45658</v>
      </c>
      <c r="Z5" s="65">
        <f t="shared" si="0"/>
        <v>45689</v>
      </c>
      <c r="AA5" s="65">
        <f t="shared" si="0"/>
        <v>45717</v>
      </c>
      <c r="AB5" s="65">
        <f t="shared" si="0"/>
        <v>45748</v>
      </c>
      <c r="AC5" s="66">
        <f t="shared" si="0"/>
        <v>45778</v>
      </c>
      <c r="AD5" s="65">
        <f t="shared" si="0"/>
        <v>45809</v>
      </c>
      <c r="AE5" s="67">
        <f t="shared" si="0"/>
        <v>45839</v>
      </c>
      <c r="AF5" s="65">
        <f t="shared" si="0"/>
        <v>45870</v>
      </c>
      <c r="AG5" s="65">
        <f t="shared" si="0"/>
        <v>45901</v>
      </c>
      <c r="AH5" s="65">
        <f t="shared" si="0"/>
        <v>45931</v>
      </c>
      <c r="AI5" s="65">
        <f t="shared" si="0"/>
        <v>45962</v>
      </c>
      <c r="AJ5" s="65">
        <f>EOMONTH(AI5,0)+1</f>
        <v>45992</v>
      </c>
      <c r="AK5" s="65">
        <f>EOMONTH(AJ5,0)+1</f>
        <v>46023</v>
      </c>
      <c r="AL5" s="65" t="s">
        <v>626</v>
      </c>
      <c r="AM5" s="65" t="s">
        <v>627</v>
      </c>
      <c r="AN5" s="68"/>
      <c r="AO5" s="65" t="s">
        <v>617</v>
      </c>
      <c r="AP5" s="65" t="s">
        <v>628</v>
      </c>
      <c r="AQ5" s="65" t="s">
        <v>629</v>
      </c>
      <c r="AR5" s="65" t="s">
        <v>620</v>
      </c>
      <c r="AS5" s="65" t="s">
        <v>622</v>
      </c>
      <c r="AT5" s="65" t="str">
        <f t="shared" ref="AT5:BR5" si="1">"Current - "&amp;TEXT(L5,"yyyymm")</f>
        <v>Current - 202312</v>
      </c>
      <c r="AU5" s="65" t="str">
        <f t="shared" si="1"/>
        <v>Current - 202401</v>
      </c>
      <c r="AV5" s="65" t="str">
        <f t="shared" si="1"/>
        <v>Current - 202402</v>
      </c>
      <c r="AW5" s="65" t="str">
        <f t="shared" si="1"/>
        <v>Current - 202403</v>
      </c>
      <c r="AX5" s="65" t="str">
        <f t="shared" si="1"/>
        <v>Current - 202404</v>
      </c>
      <c r="AY5" s="65" t="str">
        <f t="shared" si="1"/>
        <v>Current - 202405</v>
      </c>
      <c r="AZ5" s="65" t="str">
        <f t="shared" si="1"/>
        <v>Current - 202406</v>
      </c>
      <c r="BA5" s="65" t="str">
        <f t="shared" si="1"/>
        <v>Current - 202407</v>
      </c>
      <c r="BB5" s="65" t="str">
        <f t="shared" si="1"/>
        <v>Current - 202408</v>
      </c>
      <c r="BC5" s="65" t="str">
        <f t="shared" si="1"/>
        <v>Current - 202409</v>
      </c>
      <c r="BD5" s="65" t="str">
        <f t="shared" si="1"/>
        <v>Current - 202410</v>
      </c>
      <c r="BE5" s="65" t="str">
        <f t="shared" si="1"/>
        <v>Current - 202411</v>
      </c>
      <c r="BF5" s="65" t="str">
        <f t="shared" si="1"/>
        <v>Current - 202412</v>
      </c>
      <c r="BG5" s="65" t="str">
        <f t="shared" si="1"/>
        <v>Current - 202501</v>
      </c>
      <c r="BH5" s="65" t="str">
        <f t="shared" si="1"/>
        <v>Current - 202502</v>
      </c>
      <c r="BI5" s="65" t="str">
        <f t="shared" si="1"/>
        <v>Current - 202503</v>
      </c>
      <c r="BJ5" s="65" t="str">
        <f t="shared" si="1"/>
        <v>Current - 202504</v>
      </c>
      <c r="BK5" s="65" t="str">
        <f t="shared" si="1"/>
        <v>Current - 202505</v>
      </c>
      <c r="BL5" s="65" t="str">
        <f t="shared" si="1"/>
        <v>Current - 202506</v>
      </c>
      <c r="BM5" s="65" t="str">
        <f t="shared" si="1"/>
        <v>Current - 202507</v>
      </c>
      <c r="BN5" s="65" t="str">
        <f t="shared" si="1"/>
        <v>Current - 202508</v>
      </c>
      <c r="BO5" s="65" t="str">
        <f t="shared" si="1"/>
        <v>Current - 202509</v>
      </c>
      <c r="BP5" s="65" t="str">
        <f t="shared" si="1"/>
        <v>Current - 202510</v>
      </c>
      <c r="BQ5" s="65" t="str">
        <f t="shared" si="1"/>
        <v>Current - 202511</v>
      </c>
      <c r="BR5" s="65" t="str">
        <f t="shared" si="1"/>
        <v>Current - 202512</v>
      </c>
      <c r="BS5" s="65" t="s">
        <v>630</v>
      </c>
      <c r="BT5" s="65" t="s">
        <v>631</v>
      </c>
    </row>
    <row r="6" spans="1:72" ht="14.1" customHeight="1" x14ac:dyDescent="0.2">
      <c r="A6" s="55" t="str">
        <f t="shared" ref="A6:A69" si="2">B6&amp;"_"&amp;C6</f>
        <v>RTP-1 (Residential) Summer - All kWh_Ancillary Service (part of Day Ahead Energy Charge)</v>
      </c>
      <c r="B6" s="70" t="s">
        <v>632</v>
      </c>
      <c r="C6" s="71" t="s">
        <v>633</v>
      </c>
      <c r="D6" s="150"/>
      <c r="E6" s="72"/>
      <c r="F6" s="73"/>
      <c r="G6" s="73"/>
      <c r="H6" s="73"/>
      <c r="I6" s="74"/>
      <c r="J6" s="75"/>
      <c r="K6" s="74"/>
      <c r="L6" s="76">
        <v>0</v>
      </c>
      <c r="M6" s="138">
        <v>0</v>
      </c>
      <c r="N6" s="138">
        <v>0</v>
      </c>
      <c r="O6" s="138">
        <v>0</v>
      </c>
      <c r="P6" s="138">
        <v>0</v>
      </c>
      <c r="Q6" s="138">
        <v>0</v>
      </c>
      <c r="R6" s="138">
        <v>0</v>
      </c>
      <c r="S6" s="138">
        <v>0</v>
      </c>
      <c r="T6" s="138">
        <v>0</v>
      </c>
      <c r="U6" s="138">
        <v>0</v>
      </c>
      <c r="V6" s="138">
        <v>0</v>
      </c>
      <c r="W6" s="138">
        <v>0</v>
      </c>
      <c r="X6" s="138">
        <v>0</v>
      </c>
      <c r="Y6" s="138">
        <f t="shared" ref="Y6:AJ6" si="3">X6</f>
        <v>0</v>
      </c>
      <c r="Z6" s="138">
        <f t="shared" si="3"/>
        <v>0</v>
      </c>
      <c r="AA6" s="138">
        <f t="shared" si="3"/>
        <v>0</v>
      </c>
      <c r="AB6" s="138">
        <f t="shared" si="3"/>
        <v>0</v>
      </c>
      <c r="AC6" s="138">
        <f t="shared" si="3"/>
        <v>0</v>
      </c>
      <c r="AD6" s="138">
        <f t="shared" si="3"/>
        <v>0</v>
      </c>
      <c r="AE6" s="138">
        <f t="shared" si="3"/>
        <v>0</v>
      </c>
      <c r="AF6" s="138">
        <f t="shared" si="3"/>
        <v>0</v>
      </c>
      <c r="AG6" s="138">
        <f t="shared" si="3"/>
        <v>0</v>
      </c>
      <c r="AH6" s="138">
        <f t="shared" si="3"/>
        <v>0</v>
      </c>
      <c r="AI6" s="138">
        <f t="shared" si="3"/>
        <v>0</v>
      </c>
      <c r="AJ6" s="138">
        <f t="shared" si="3"/>
        <v>0</v>
      </c>
      <c r="AK6" s="138">
        <f>AJ6</f>
        <v>0</v>
      </c>
      <c r="AL6" s="138">
        <f>AVERAGE(Z6:AK6)</f>
        <v>0</v>
      </c>
      <c r="AM6" s="138">
        <f>AVERAGE(N6:AK6)</f>
        <v>0</v>
      </c>
      <c r="AO6" s="77" t="str">
        <f t="shared" ref="AO6:AO69" si="4">IF(B6="","",B6)</f>
        <v>RTP-1 (Residential) Summer - All kWh</v>
      </c>
      <c r="AP6" s="78" t="s">
        <v>634</v>
      </c>
      <c r="AQ6" s="77" t="str">
        <f t="shared" ref="AQ6:AQ69" si="5">IF(B6="","",C6)</f>
        <v>Ancillary Service (part of Day Ahead Energy Charge)</v>
      </c>
      <c r="AR6" s="78">
        <f t="shared" ref="AR6:AR69" si="6">IF(B6="","",F6)</f>
        <v>0</v>
      </c>
      <c r="AS6" s="79">
        <f t="shared" ref="AS6:AS69" si="7">IF(B6="","",H6)</f>
        <v>0</v>
      </c>
      <c r="AT6" s="78">
        <f t="shared" ref="AT6:AT69" si="8">IF(B6="","",ROUND(L6,$H$6))</f>
        <v>0</v>
      </c>
      <c r="AU6" s="78">
        <f t="shared" ref="AU6:AU69" si="9">IF($B6="","",ROUND(IF(M6="",AT6,M6),$H6))</f>
        <v>0</v>
      </c>
      <c r="AV6" s="78">
        <f t="shared" ref="AV6:AV69" si="10">IF($B6="","",ROUND(IF(N6="",AU6,N6),$H6))</f>
        <v>0</v>
      </c>
      <c r="AW6" s="78">
        <f t="shared" ref="AW6:AW69" si="11">IF($B6="","",ROUND(IF(O6="",AV6,O6),$H6))</f>
        <v>0</v>
      </c>
      <c r="AX6" s="78">
        <f t="shared" ref="AX6:AX69" si="12">IF($B6="","",ROUND(IF(P6="",AW6,P6),$H6))</f>
        <v>0</v>
      </c>
      <c r="AY6" s="78">
        <f t="shared" ref="AY6:AY69" si="13">IF($B6="","",ROUND(IF(Q6="",AX6,Q6),$H6))</f>
        <v>0</v>
      </c>
      <c r="AZ6" s="78">
        <f t="shared" ref="AZ6:AZ69" si="14">IF($B6="","",ROUND(IF(R6="",AY6,R6),$H6))</f>
        <v>0</v>
      </c>
      <c r="BA6" s="78">
        <f t="shared" ref="BA6:BA69" si="15">IF($B6="","",ROUND(IF(S6="",AZ6,S6),$H6))</f>
        <v>0</v>
      </c>
      <c r="BB6" s="78">
        <f t="shared" ref="BB6:BB69" si="16">IF($B6="","",ROUND(IF(T6="",BA6,T6),$H6))</f>
        <v>0</v>
      </c>
      <c r="BC6" s="78">
        <f t="shared" ref="BC6:BC69" si="17">IF($B6="","",ROUND(IF(U6="",BB6,U6),$H6))</f>
        <v>0</v>
      </c>
      <c r="BD6" s="78">
        <f t="shared" ref="BD6:BD69" si="18">IF($B6="","",ROUND(IF(V6="",BC6,V6),$H6))</f>
        <v>0</v>
      </c>
      <c r="BE6" s="78">
        <f t="shared" ref="BE6:BE69" si="19">IF($B6="","",ROUND(IF(W6="",BD6,W6),$H6))</f>
        <v>0</v>
      </c>
      <c r="BF6" s="78">
        <f t="shared" ref="BF6:BF69" si="20">IF($B6="","",ROUND(IF(X6="",BE6,X6),$H6))</f>
        <v>0</v>
      </c>
      <c r="BG6" s="78">
        <f t="shared" ref="BG6:BG69" si="21">IF($B6="","",ROUND(IF(Y6="",BF6,Y6),$H6))</f>
        <v>0</v>
      </c>
      <c r="BH6" s="78">
        <f t="shared" ref="BH6:BH69" si="22">IF($B6="","",ROUND(IF(Z6="",BG6,Z6),$H6))</f>
        <v>0</v>
      </c>
      <c r="BI6" s="78">
        <f t="shared" ref="BI6:BI69" si="23">IF($B6="","",ROUND(IF(AA6="",BH6,AA6),$H6))</f>
        <v>0</v>
      </c>
      <c r="BJ6" s="78">
        <f t="shared" ref="BJ6:BJ69" si="24">IF($B6="","",ROUND(IF(AB6="",BI6,AB6),$H6))</f>
        <v>0</v>
      </c>
      <c r="BK6" s="78">
        <f t="shared" ref="BK6:BK69" si="25">IF($B6="","",ROUND(IF(AC6="",BJ6,AC6),$H6))</f>
        <v>0</v>
      </c>
      <c r="BL6" s="78">
        <f t="shared" ref="BL6:BL69" si="26">IF($B6="","",ROUND(IF(AD6="",BK6,AD6),$H6))</f>
        <v>0</v>
      </c>
      <c r="BM6" s="78">
        <f t="shared" ref="BM6:BM69" si="27">IF($B6="","",ROUND(IF(AE6="",BL6,AE6),$H6))</f>
        <v>0</v>
      </c>
      <c r="BN6" s="78">
        <f t="shared" ref="BN6:BN69" si="28">IF($B6="","",ROUND(IF(AF6="",BM6,AF6),$H6))</f>
        <v>0</v>
      </c>
      <c r="BO6" s="78">
        <f t="shared" ref="BO6:BO69" si="29">IF($B6="","",ROUND(IF(AG6="",BN6,AG6),$H6))</f>
        <v>0</v>
      </c>
      <c r="BP6" s="78">
        <f t="shared" ref="BP6:BP69" si="30">IF($B6="","",ROUND(IF(AH6="",BO6,AH6),$H6))</f>
        <v>0</v>
      </c>
      <c r="BQ6" s="78">
        <f t="shared" ref="BQ6:BQ69" si="31">IF($B6="","",ROUND(IF(AI6="",BP6,AI6),$H6))</f>
        <v>0</v>
      </c>
      <c r="BR6" s="78">
        <f t="shared" ref="BR6:BR69" si="32">IF($B6="","",ROUND(IF(AJ6="",BQ6,AJ6),$H6))</f>
        <v>0</v>
      </c>
      <c r="BS6" s="77"/>
      <c r="BT6" s="77"/>
    </row>
    <row r="7" spans="1:72" ht="14.1" customHeight="1" x14ac:dyDescent="0.2">
      <c r="A7" s="55" t="str">
        <f t="shared" si="2"/>
        <v>RTP-1 (Residential) Non-Summer 0-800 kWh_Ancillary Service (part of Day Ahead Energy Charge)</v>
      </c>
      <c r="B7" s="80" t="s">
        <v>635</v>
      </c>
      <c r="C7" s="71" t="s">
        <v>633</v>
      </c>
      <c r="D7" s="150"/>
      <c r="E7" s="81"/>
      <c r="F7" s="73"/>
      <c r="G7" s="73"/>
      <c r="H7" s="73"/>
      <c r="I7" s="74"/>
      <c r="J7" s="75"/>
      <c r="K7" s="74"/>
      <c r="L7" s="82">
        <v>0</v>
      </c>
      <c r="M7" s="138">
        <v>0</v>
      </c>
      <c r="N7" s="138">
        <v>0</v>
      </c>
      <c r="O7" s="138">
        <v>0</v>
      </c>
      <c r="P7" s="138">
        <v>0</v>
      </c>
      <c r="Q7" s="138">
        <v>0</v>
      </c>
      <c r="R7" s="138">
        <v>0</v>
      </c>
      <c r="S7" s="138">
        <v>0</v>
      </c>
      <c r="T7" s="138">
        <v>0</v>
      </c>
      <c r="U7" s="138">
        <v>0</v>
      </c>
      <c r="V7" s="138">
        <v>0</v>
      </c>
      <c r="W7" s="138">
        <v>0</v>
      </c>
      <c r="X7" s="138">
        <v>0</v>
      </c>
      <c r="Y7" s="138">
        <f t="shared" ref="Y7:Y70" si="33">X7</f>
        <v>0</v>
      </c>
      <c r="Z7" s="138">
        <f t="shared" ref="Z7:Z70" si="34">Y7</f>
        <v>0</v>
      </c>
      <c r="AA7" s="138">
        <f t="shared" ref="AA7:AA70" si="35">Z7</f>
        <v>0</v>
      </c>
      <c r="AB7" s="138">
        <f t="shared" ref="AB7:AB70" si="36">AA7</f>
        <v>0</v>
      </c>
      <c r="AC7" s="138">
        <f t="shared" ref="AC7:AC70" si="37">AB7</f>
        <v>0</v>
      </c>
      <c r="AD7" s="138">
        <f t="shared" ref="AD7:AD70" si="38">AC7</f>
        <v>0</v>
      </c>
      <c r="AE7" s="138">
        <f t="shared" ref="AE7:AE70" si="39">AD7</f>
        <v>0</v>
      </c>
      <c r="AF7" s="138">
        <f t="shared" ref="AF7:AF70" si="40">AE7</f>
        <v>0</v>
      </c>
      <c r="AG7" s="138">
        <f t="shared" ref="AG7:AG70" si="41">AF7</f>
        <v>0</v>
      </c>
      <c r="AH7" s="138">
        <f t="shared" ref="AH7:AH70" si="42">AG7</f>
        <v>0</v>
      </c>
      <c r="AI7" s="138">
        <f t="shared" ref="AI7:AI70" si="43">AH7</f>
        <v>0</v>
      </c>
      <c r="AJ7" s="138">
        <f t="shared" ref="AJ7:AJ70" si="44">AI7</f>
        <v>0</v>
      </c>
      <c r="AK7" s="138">
        <f t="shared" ref="AK7:AK70" si="45">AJ7</f>
        <v>0</v>
      </c>
      <c r="AL7" s="138">
        <f t="shared" ref="AL7:AL70" si="46">AVERAGE(Z7:AK7)</f>
        <v>0</v>
      </c>
      <c r="AM7" s="138">
        <f t="shared" ref="AM7:AM70" si="47">AVERAGE(N7:AK7)</f>
        <v>0</v>
      </c>
      <c r="AO7" s="77" t="str">
        <f t="shared" si="4"/>
        <v>RTP-1 (Residential) Non-Summer 0-800 kWh</v>
      </c>
      <c r="AP7" s="78" t="s">
        <v>634</v>
      </c>
      <c r="AQ7" s="77" t="str">
        <f t="shared" si="5"/>
        <v>Ancillary Service (part of Day Ahead Energy Charge)</v>
      </c>
      <c r="AR7" s="78">
        <f t="shared" si="6"/>
        <v>0</v>
      </c>
      <c r="AS7" s="79">
        <f t="shared" si="7"/>
        <v>0</v>
      </c>
      <c r="AT7" s="78">
        <f t="shared" si="8"/>
        <v>0</v>
      </c>
      <c r="AU7" s="78">
        <f t="shared" si="9"/>
        <v>0</v>
      </c>
      <c r="AV7" s="78">
        <f t="shared" si="10"/>
        <v>0</v>
      </c>
      <c r="AW7" s="78">
        <f t="shared" si="11"/>
        <v>0</v>
      </c>
      <c r="AX7" s="78">
        <f t="shared" si="12"/>
        <v>0</v>
      </c>
      <c r="AY7" s="78">
        <f t="shared" si="13"/>
        <v>0</v>
      </c>
      <c r="AZ7" s="78">
        <f t="shared" si="14"/>
        <v>0</v>
      </c>
      <c r="BA7" s="78">
        <f t="shared" si="15"/>
        <v>0</v>
      </c>
      <c r="BB7" s="78">
        <f t="shared" si="16"/>
        <v>0</v>
      </c>
      <c r="BC7" s="78">
        <f t="shared" si="17"/>
        <v>0</v>
      </c>
      <c r="BD7" s="78">
        <f t="shared" si="18"/>
        <v>0</v>
      </c>
      <c r="BE7" s="78">
        <f t="shared" si="19"/>
        <v>0</v>
      </c>
      <c r="BF7" s="78">
        <f t="shared" si="20"/>
        <v>0</v>
      </c>
      <c r="BG7" s="78">
        <f t="shared" si="21"/>
        <v>0</v>
      </c>
      <c r="BH7" s="78">
        <f t="shared" si="22"/>
        <v>0</v>
      </c>
      <c r="BI7" s="78">
        <f t="shared" si="23"/>
        <v>0</v>
      </c>
      <c r="BJ7" s="78">
        <f t="shared" si="24"/>
        <v>0</v>
      </c>
      <c r="BK7" s="78">
        <f t="shared" si="25"/>
        <v>0</v>
      </c>
      <c r="BL7" s="78">
        <f t="shared" si="26"/>
        <v>0</v>
      </c>
      <c r="BM7" s="78">
        <f t="shared" si="27"/>
        <v>0</v>
      </c>
      <c r="BN7" s="78">
        <f t="shared" si="28"/>
        <v>0</v>
      </c>
      <c r="BO7" s="78">
        <f t="shared" si="29"/>
        <v>0</v>
      </c>
      <c r="BP7" s="78">
        <f t="shared" si="30"/>
        <v>0</v>
      </c>
      <c r="BQ7" s="78">
        <f t="shared" si="31"/>
        <v>0</v>
      </c>
      <c r="BR7" s="78">
        <f t="shared" si="32"/>
        <v>0</v>
      </c>
      <c r="BS7" s="77"/>
      <c r="BT7" s="77"/>
    </row>
    <row r="8" spans="1:72" ht="14.1" customHeight="1" x14ac:dyDescent="0.2">
      <c r="A8" s="55" t="str">
        <f t="shared" si="2"/>
        <v>RTP-1 (Residential) Non-Summer - +800_Ancillary Service (part of Day Ahead Energy Charge)</v>
      </c>
      <c r="B8" s="80" t="s">
        <v>636</v>
      </c>
      <c r="C8" s="71" t="s">
        <v>633</v>
      </c>
      <c r="D8" s="150"/>
      <c r="E8" s="81"/>
      <c r="F8" s="73"/>
      <c r="G8" s="73"/>
      <c r="H8" s="73"/>
      <c r="I8" s="74"/>
      <c r="J8" s="75"/>
      <c r="K8" s="74"/>
      <c r="L8" s="82">
        <v>0</v>
      </c>
      <c r="M8" s="138">
        <v>0</v>
      </c>
      <c r="N8" s="138">
        <v>0</v>
      </c>
      <c r="O8" s="138">
        <v>0</v>
      </c>
      <c r="P8" s="138">
        <v>0</v>
      </c>
      <c r="Q8" s="138">
        <v>0</v>
      </c>
      <c r="R8" s="138">
        <v>0</v>
      </c>
      <c r="S8" s="138">
        <v>0</v>
      </c>
      <c r="T8" s="138">
        <v>0</v>
      </c>
      <c r="U8" s="138">
        <v>0</v>
      </c>
      <c r="V8" s="138">
        <v>0</v>
      </c>
      <c r="W8" s="138">
        <v>0</v>
      </c>
      <c r="X8" s="138">
        <v>0</v>
      </c>
      <c r="Y8" s="138">
        <f t="shared" si="33"/>
        <v>0</v>
      </c>
      <c r="Z8" s="138">
        <f t="shared" si="34"/>
        <v>0</v>
      </c>
      <c r="AA8" s="138">
        <f t="shared" si="35"/>
        <v>0</v>
      </c>
      <c r="AB8" s="138">
        <f t="shared" si="36"/>
        <v>0</v>
      </c>
      <c r="AC8" s="138">
        <f t="shared" si="37"/>
        <v>0</v>
      </c>
      <c r="AD8" s="138">
        <f t="shared" si="38"/>
        <v>0</v>
      </c>
      <c r="AE8" s="138">
        <f t="shared" si="39"/>
        <v>0</v>
      </c>
      <c r="AF8" s="138">
        <f t="shared" si="40"/>
        <v>0</v>
      </c>
      <c r="AG8" s="138">
        <f t="shared" si="41"/>
        <v>0</v>
      </c>
      <c r="AH8" s="138">
        <f t="shared" si="42"/>
        <v>0</v>
      </c>
      <c r="AI8" s="138">
        <f t="shared" si="43"/>
        <v>0</v>
      </c>
      <c r="AJ8" s="138">
        <f t="shared" si="44"/>
        <v>0</v>
      </c>
      <c r="AK8" s="138">
        <f t="shared" si="45"/>
        <v>0</v>
      </c>
      <c r="AL8" s="138">
        <f t="shared" si="46"/>
        <v>0</v>
      </c>
      <c r="AM8" s="138">
        <f t="shared" si="47"/>
        <v>0</v>
      </c>
      <c r="AO8" s="77" t="str">
        <f t="shared" si="4"/>
        <v>RTP-1 (Residential) Non-Summer - +800</v>
      </c>
      <c r="AP8" s="78" t="s">
        <v>634</v>
      </c>
      <c r="AQ8" s="77" t="str">
        <f t="shared" si="5"/>
        <v>Ancillary Service (part of Day Ahead Energy Charge)</v>
      </c>
      <c r="AR8" s="78">
        <f t="shared" si="6"/>
        <v>0</v>
      </c>
      <c r="AS8" s="79">
        <f t="shared" si="7"/>
        <v>0</v>
      </c>
      <c r="AT8" s="78">
        <f t="shared" si="8"/>
        <v>0</v>
      </c>
      <c r="AU8" s="78">
        <f t="shared" si="9"/>
        <v>0</v>
      </c>
      <c r="AV8" s="78">
        <f t="shared" si="10"/>
        <v>0</v>
      </c>
      <c r="AW8" s="78">
        <f t="shared" si="11"/>
        <v>0</v>
      </c>
      <c r="AX8" s="78">
        <f t="shared" si="12"/>
        <v>0</v>
      </c>
      <c r="AY8" s="78">
        <f t="shared" si="13"/>
        <v>0</v>
      </c>
      <c r="AZ8" s="78">
        <f t="shared" si="14"/>
        <v>0</v>
      </c>
      <c r="BA8" s="78">
        <f t="shared" si="15"/>
        <v>0</v>
      </c>
      <c r="BB8" s="78">
        <f t="shared" si="16"/>
        <v>0</v>
      </c>
      <c r="BC8" s="78">
        <f t="shared" si="17"/>
        <v>0</v>
      </c>
      <c r="BD8" s="78">
        <f t="shared" si="18"/>
        <v>0</v>
      </c>
      <c r="BE8" s="78">
        <f t="shared" si="19"/>
        <v>0</v>
      </c>
      <c r="BF8" s="78">
        <f t="shared" si="20"/>
        <v>0</v>
      </c>
      <c r="BG8" s="78">
        <f t="shared" si="21"/>
        <v>0</v>
      </c>
      <c r="BH8" s="78">
        <f t="shared" si="22"/>
        <v>0</v>
      </c>
      <c r="BI8" s="78">
        <f t="shared" si="23"/>
        <v>0</v>
      </c>
      <c r="BJ8" s="78">
        <f t="shared" si="24"/>
        <v>0</v>
      </c>
      <c r="BK8" s="78">
        <f t="shared" si="25"/>
        <v>0</v>
      </c>
      <c r="BL8" s="78">
        <f t="shared" si="26"/>
        <v>0</v>
      </c>
      <c r="BM8" s="78">
        <f t="shared" si="27"/>
        <v>0</v>
      </c>
      <c r="BN8" s="78">
        <f t="shared" si="28"/>
        <v>0</v>
      </c>
      <c r="BO8" s="78">
        <f t="shared" si="29"/>
        <v>0</v>
      </c>
      <c r="BP8" s="78">
        <f t="shared" si="30"/>
        <v>0</v>
      </c>
      <c r="BQ8" s="78">
        <f t="shared" si="31"/>
        <v>0</v>
      </c>
      <c r="BR8" s="78">
        <f t="shared" si="32"/>
        <v>0</v>
      </c>
      <c r="BS8" s="77"/>
      <c r="BT8" s="77"/>
    </row>
    <row r="9" spans="1:72" ht="14.1" customHeight="1" x14ac:dyDescent="0.2">
      <c r="A9" s="55" t="str">
        <f t="shared" si="2"/>
        <v>RTP-2 (Non-Residential) Summer - All kWh_Ancillary Service (part of Day Ahead Energy Charge)</v>
      </c>
      <c r="B9" s="80" t="s">
        <v>637</v>
      </c>
      <c r="C9" s="71" t="s">
        <v>633</v>
      </c>
      <c r="D9" s="150"/>
      <c r="E9" s="81"/>
      <c r="F9" s="73"/>
      <c r="G9" s="73"/>
      <c r="H9" s="73"/>
      <c r="I9" s="74"/>
      <c r="J9" s="75"/>
      <c r="K9" s="74"/>
      <c r="L9" s="82">
        <v>0</v>
      </c>
      <c r="M9" s="138">
        <v>0</v>
      </c>
      <c r="N9" s="138">
        <v>0</v>
      </c>
      <c r="O9" s="138">
        <v>0</v>
      </c>
      <c r="P9" s="138">
        <v>0</v>
      </c>
      <c r="Q9" s="138">
        <v>0</v>
      </c>
      <c r="R9" s="138">
        <v>0</v>
      </c>
      <c r="S9" s="138">
        <v>0</v>
      </c>
      <c r="T9" s="138">
        <v>0</v>
      </c>
      <c r="U9" s="138">
        <v>0</v>
      </c>
      <c r="V9" s="138">
        <v>0</v>
      </c>
      <c r="W9" s="138">
        <v>0</v>
      </c>
      <c r="X9" s="138">
        <v>0</v>
      </c>
      <c r="Y9" s="138">
        <f t="shared" si="33"/>
        <v>0</v>
      </c>
      <c r="Z9" s="138">
        <f t="shared" si="34"/>
        <v>0</v>
      </c>
      <c r="AA9" s="138">
        <f t="shared" si="35"/>
        <v>0</v>
      </c>
      <c r="AB9" s="138">
        <f t="shared" si="36"/>
        <v>0</v>
      </c>
      <c r="AC9" s="138">
        <f t="shared" si="37"/>
        <v>0</v>
      </c>
      <c r="AD9" s="138">
        <f t="shared" si="38"/>
        <v>0</v>
      </c>
      <c r="AE9" s="138">
        <f t="shared" si="39"/>
        <v>0</v>
      </c>
      <c r="AF9" s="138">
        <f t="shared" si="40"/>
        <v>0</v>
      </c>
      <c r="AG9" s="138">
        <f t="shared" si="41"/>
        <v>0</v>
      </c>
      <c r="AH9" s="138">
        <f t="shared" si="42"/>
        <v>0</v>
      </c>
      <c r="AI9" s="138">
        <f t="shared" si="43"/>
        <v>0</v>
      </c>
      <c r="AJ9" s="138">
        <f t="shared" si="44"/>
        <v>0</v>
      </c>
      <c r="AK9" s="138">
        <f t="shared" si="45"/>
        <v>0</v>
      </c>
      <c r="AL9" s="138">
        <f t="shared" si="46"/>
        <v>0</v>
      </c>
      <c r="AM9" s="138">
        <f t="shared" si="47"/>
        <v>0</v>
      </c>
      <c r="AO9" s="77" t="str">
        <f t="shared" si="4"/>
        <v>RTP-2 (Non-Residential) Summer - All kWh</v>
      </c>
      <c r="AP9" s="78" t="s">
        <v>634</v>
      </c>
      <c r="AQ9" s="77" t="str">
        <f t="shared" si="5"/>
        <v>Ancillary Service (part of Day Ahead Energy Charge)</v>
      </c>
      <c r="AR9" s="78">
        <f t="shared" si="6"/>
        <v>0</v>
      </c>
      <c r="AS9" s="79">
        <f t="shared" si="7"/>
        <v>0</v>
      </c>
      <c r="AT9" s="78">
        <f t="shared" si="8"/>
        <v>0</v>
      </c>
      <c r="AU9" s="78">
        <f t="shared" si="9"/>
        <v>0</v>
      </c>
      <c r="AV9" s="78">
        <f t="shared" si="10"/>
        <v>0</v>
      </c>
      <c r="AW9" s="78">
        <f t="shared" si="11"/>
        <v>0</v>
      </c>
      <c r="AX9" s="78">
        <f t="shared" si="12"/>
        <v>0</v>
      </c>
      <c r="AY9" s="78">
        <f t="shared" si="13"/>
        <v>0</v>
      </c>
      <c r="AZ9" s="78">
        <f t="shared" si="14"/>
        <v>0</v>
      </c>
      <c r="BA9" s="78">
        <f t="shared" si="15"/>
        <v>0</v>
      </c>
      <c r="BB9" s="78">
        <f t="shared" si="16"/>
        <v>0</v>
      </c>
      <c r="BC9" s="78">
        <f t="shared" si="17"/>
        <v>0</v>
      </c>
      <c r="BD9" s="78">
        <f t="shared" si="18"/>
        <v>0</v>
      </c>
      <c r="BE9" s="78">
        <f t="shared" si="19"/>
        <v>0</v>
      </c>
      <c r="BF9" s="78">
        <f t="shared" si="20"/>
        <v>0</v>
      </c>
      <c r="BG9" s="78">
        <f t="shared" si="21"/>
        <v>0</v>
      </c>
      <c r="BH9" s="78">
        <f t="shared" si="22"/>
        <v>0</v>
      </c>
      <c r="BI9" s="78">
        <f t="shared" si="23"/>
        <v>0</v>
      </c>
      <c r="BJ9" s="78">
        <f t="shared" si="24"/>
        <v>0</v>
      </c>
      <c r="BK9" s="78">
        <f t="shared" si="25"/>
        <v>0</v>
      </c>
      <c r="BL9" s="78">
        <f t="shared" si="26"/>
        <v>0</v>
      </c>
      <c r="BM9" s="78">
        <f t="shared" si="27"/>
        <v>0</v>
      </c>
      <c r="BN9" s="78">
        <f t="shared" si="28"/>
        <v>0</v>
      </c>
      <c r="BO9" s="78">
        <f t="shared" si="29"/>
        <v>0</v>
      </c>
      <c r="BP9" s="78">
        <f t="shared" si="30"/>
        <v>0</v>
      </c>
      <c r="BQ9" s="78">
        <f t="shared" si="31"/>
        <v>0</v>
      </c>
      <c r="BR9" s="78">
        <f t="shared" si="32"/>
        <v>0</v>
      </c>
      <c r="BS9" s="77"/>
      <c r="BT9" s="77"/>
    </row>
    <row r="10" spans="1:72" ht="14.1" customHeight="1" x14ac:dyDescent="0.2">
      <c r="A10" s="55" t="str">
        <f t="shared" si="2"/>
        <v>RTP-2 (Non-Residential) Non-Summer - All kWh_Ancillary Service (part of Day Ahead Energy Charge)</v>
      </c>
      <c r="B10" s="80" t="s">
        <v>638</v>
      </c>
      <c r="C10" s="71" t="s">
        <v>633</v>
      </c>
      <c r="D10" s="150"/>
      <c r="E10" s="81"/>
      <c r="F10" s="73"/>
      <c r="G10" s="73"/>
      <c r="H10" s="73"/>
      <c r="I10" s="74"/>
      <c r="J10" s="75"/>
      <c r="K10" s="74"/>
      <c r="L10" s="82">
        <v>0</v>
      </c>
      <c r="M10" s="138">
        <v>0</v>
      </c>
      <c r="N10" s="138">
        <v>0</v>
      </c>
      <c r="O10" s="138">
        <v>0</v>
      </c>
      <c r="P10" s="138">
        <v>0</v>
      </c>
      <c r="Q10" s="138">
        <v>0</v>
      </c>
      <c r="R10" s="138">
        <v>0</v>
      </c>
      <c r="S10" s="138">
        <v>0</v>
      </c>
      <c r="T10" s="138">
        <v>0</v>
      </c>
      <c r="U10" s="138">
        <v>0</v>
      </c>
      <c r="V10" s="138">
        <v>0</v>
      </c>
      <c r="W10" s="138">
        <v>0</v>
      </c>
      <c r="X10" s="138">
        <v>0</v>
      </c>
      <c r="Y10" s="138">
        <f t="shared" si="33"/>
        <v>0</v>
      </c>
      <c r="Z10" s="138">
        <f t="shared" si="34"/>
        <v>0</v>
      </c>
      <c r="AA10" s="138">
        <f t="shared" si="35"/>
        <v>0</v>
      </c>
      <c r="AB10" s="138">
        <f t="shared" si="36"/>
        <v>0</v>
      </c>
      <c r="AC10" s="138">
        <f t="shared" si="37"/>
        <v>0</v>
      </c>
      <c r="AD10" s="138">
        <f t="shared" si="38"/>
        <v>0</v>
      </c>
      <c r="AE10" s="138">
        <f t="shared" si="39"/>
        <v>0</v>
      </c>
      <c r="AF10" s="138">
        <f t="shared" si="40"/>
        <v>0</v>
      </c>
      <c r="AG10" s="138">
        <f t="shared" si="41"/>
        <v>0</v>
      </c>
      <c r="AH10" s="138">
        <f t="shared" si="42"/>
        <v>0</v>
      </c>
      <c r="AI10" s="138">
        <f t="shared" si="43"/>
        <v>0</v>
      </c>
      <c r="AJ10" s="138">
        <f t="shared" si="44"/>
        <v>0</v>
      </c>
      <c r="AK10" s="138">
        <f t="shared" si="45"/>
        <v>0</v>
      </c>
      <c r="AL10" s="138">
        <f t="shared" si="46"/>
        <v>0</v>
      </c>
      <c r="AM10" s="138">
        <f t="shared" si="47"/>
        <v>0</v>
      </c>
      <c r="AO10" s="77" t="str">
        <f t="shared" si="4"/>
        <v>RTP-2 (Non-Residential) Non-Summer - All kWh</v>
      </c>
      <c r="AP10" s="78" t="s">
        <v>634</v>
      </c>
      <c r="AQ10" s="77" t="str">
        <f t="shared" si="5"/>
        <v>Ancillary Service (part of Day Ahead Energy Charge)</v>
      </c>
      <c r="AR10" s="78">
        <f t="shared" si="6"/>
        <v>0</v>
      </c>
      <c r="AS10" s="79">
        <f t="shared" si="7"/>
        <v>0</v>
      </c>
      <c r="AT10" s="78">
        <f t="shared" si="8"/>
        <v>0</v>
      </c>
      <c r="AU10" s="78">
        <f t="shared" si="9"/>
        <v>0</v>
      </c>
      <c r="AV10" s="78">
        <f t="shared" si="10"/>
        <v>0</v>
      </c>
      <c r="AW10" s="78">
        <f t="shared" si="11"/>
        <v>0</v>
      </c>
      <c r="AX10" s="78">
        <f t="shared" si="12"/>
        <v>0</v>
      </c>
      <c r="AY10" s="78">
        <f t="shared" si="13"/>
        <v>0</v>
      </c>
      <c r="AZ10" s="78">
        <f t="shared" si="14"/>
        <v>0</v>
      </c>
      <c r="BA10" s="78">
        <f t="shared" si="15"/>
        <v>0</v>
      </c>
      <c r="BB10" s="78">
        <f t="shared" si="16"/>
        <v>0</v>
      </c>
      <c r="BC10" s="78">
        <f t="shared" si="17"/>
        <v>0</v>
      </c>
      <c r="BD10" s="78">
        <f t="shared" si="18"/>
        <v>0</v>
      </c>
      <c r="BE10" s="78">
        <f t="shared" si="19"/>
        <v>0</v>
      </c>
      <c r="BF10" s="78">
        <f t="shared" si="20"/>
        <v>0</v>
      </c>
      <c r="BG10" s="78">
        <f t="shared" si="21"/>
        <v>0</v>
      </c>
      <c r="BH10" s="78">
        <f t="shared" si="22"/>
        <v>0</v>
      </c>
      <c r="BI10" s="78">
        <f t="shared" si="23"/>
        <v>0</v>
      </c>
      <c r="BJ10" s="78">
        <f t="shared" si="24"/>
        <v>0</v>
      </c>
      <c r="BK10" s="78">
        <f t="shared" si="25"/>
        <v>0</v>
      </c>
      <c r="BL10" s="78">
        <f t="shared" si="26"/>
        <v>0</v>
      </c>
      <c r="BM10" s="78">
        <f t="shared" si="27"/>
        <v>0</v>
      </c>
      <c r="BN10" s="78">
        <f t="shared" si="28"/>
        <v>0</v>
      </c>
      <c r="BO10" s="78">
        <f t="shared" si="29"/>
        <v>0</v>
      </c>
      <c r="BP10" s="78">
        <f t="shared" si="30"/>
        <v>0</v>
      </c>
      <c r="BQ10" s="78">
        <f t="shared" si="31"/>
        <v>0</v>
      </c>
      <c r="BR10" s="78">
        <f t="shared" si="32"/>
        <v>0</v>
      </c>
      <c r="BS10" s="77"/>
      <c r="BT10" s="77"/>
    </row>
    <row r="11" spans="1:72" ht="14.1" customHeight="1" x14ac:dyDescent="0.2">
      <c r="A11" s="55" t="str">
        <f t="shared" si="2"/>
        <v>DS-4 (Large General Service)_Ancillary Service (part of Day Ahead Energy Charge)</v>
      </c>
      <c r="B11" s="80" t="s">
        <v>639</v>
      </c>
      <c r="C11" s="71" t="s">
        <v>633</v>
      </c>
      <c r="D11" s="150"/>
      <c r="E11" s="81"/>
      <c r="F11" s="73" t="s">
        <v>640</v>
      </c>
      <c r="G11" s="73">
        <v>0</v>
      </c>
      <c r="H11" s="73">
        <v>6</v>
      </c>
      <c r="I11" s="74" t="s">
        <v>641</v>
      </c>
      <c r="J11" s="75" t="s">
        <v>634</v>
      </c>
      <c r="K11" s="74"/>
      <c r="L11" s="82">
        <v>0</v>
      </c>
      <c r="M11" s="138">
        <v>0</v>
      </c>
      <c r="N11" s="138">
        <v>0</v>
      </c>
      <c r="O11" s="138">
        <v>0</v>
      </c>
      <c r="P11" s="138">
        <v>0</v>
      </c>
      <c r="Q11" s="138">
        <v>0</v>
      </c>
      <c r="R11" s="138">
        <v>0</v>
      </c>
      <c r="S11" s="138">
        <v>0</v>
      </c>
      <c r="T11" s="138">
        <v>0</v>
      </c>
      <c r="U11" s="138">
        <v>0</v>
      </c>
      <c r="V11" s="138">
        <v>0</v>
      </c>
      <c r="W11" s="138">
        <v>0</v>
      </c>
      <c r="X11" s="138">
        <v>0</v>
      </c>
      <c r="Y11" s="138">
        <f t="shared" si="33"/>
        <v>0</v>
      </c>
      <c r="Z11" s="138">
        <f t="shared" si="34"/>
        <v>0</v>
      </c>
      <c r="AA11" s="138">
        <f t="shared" si="35"/>
        <v>0</v>
      </c>
      <c r="AB11" s="138">
        <f t="shared" si="36"/>
        <v>0</v>
      </c>
      <c r="AC11" s="138">
        <f t="shared" si="37"/>
        <v>0</v>
      </c>
      <c r="AD11" s="138">
        <f t="shared" si="38"/>
        <v>0</v>
      </c>
      <c r="AE11" s="138">
        <f t="shared" si="39"/>
        <v>0</v>
      </c>
      <c r="AF11" s="138">
        <f t="shared" si="40"/>
        <v>0</v>
      </c>
      <c r="AG11" s="138">
        <f t="shared" si="41"/>
        <v>0</v>
      </c>
      <c r="AH11" s="138">
        <f t="shared" si="42"/>
        <v>0</v>
      </c>
      <c r="AI11" s="138">
        <f t="shared" si="43"/>
        <v>0</v>
      </c>
      <c r="AJ11" s="138">
        <f t="shared" si="44"/>
        <v>0</v>
      </c>
      <c r="AK11" s="138">
        <f t="shared" si="45"/>
        <v>0</v>
      </c>
      <c r="AL11" s="138">
        <f>AVERAGE(Z11:AK11)</f>
        <v>0</v>
      </c>
      <c r="AM11" s="138">
        <f t="shared" si="47"/>
        <v>0</v>
      </c>
      <c r="AO11" s="77" t="str">
        <f t="shared" si="4"/>
        <v>DS-4 (Large General Service)</v>
      </c>
      <c r="AP11" s="78" t="s">
        <v>642</v>
      </c>
      <c r="AQ11" s="77" t="str">
        <f t="shared" si="5"/>
        <v>Ancillary Service (part of Day Ahead Energy Charge)</v>
      </c>
      <c r="AR11" s="78" t="str">
        <f t="shared" si="6"/>
        <v>Prorated</v>
      </c>
      <c r="AS11" s="79">
        <f t="shared" si="7"/>
        <v>6</v>
      </c>
      <c r="AT11" s="78">
        <f t="shared" si="8"/>
        <v>0</v>
      </c>
      <c r="AU11" s="78">
        <f t="shared" si="9"/>
        <v>0</v>
      </c>
      <c r="AV11" s="78">
        <f t="shared" si="10"/>
        <v>0</v>
      </c>
      <c r="AW11" s="78">
        <f t="shared" si="11"/>
        <v>0</v>
      </c>
      <c r="AX11" s="78">
        <f t="shared" si="12"/>
        <v>0</v>
      </c>
      <c r="AY11" s="78">
        <f t="shared" si="13"/>
        <v>0</v>
      </c>
      <c r="AZ11" s="78">
        <f t="shared" si="14"/>
        <v>0</v>
      </c>
      <c r="BA11" s="78">
        <f t="shared" si="15"/>
        <v>0</v>
      </c>
      <c r="BB11" s="78">
        <f t="shared" si="16"/>
        <v>0</v>
      </c>
      <c r="BC11" s="78">
        <f t="shared" si="17"/>
        <v>0</v>
      </c>
      <c r="BD11" s="78">
        <f t="shared" si="18"/>
        <v>0</v>
      </c>
      <c r="BE11" s="78">
        <f t="shared" si="19"/>
        <v>0</v>
      </c>
      <c r="BF11" s="78">
        <f t="shared" si="20"/>
        <v>0</v>
      </c>
      <c r="BG11" s="78">
        <f t="shared" si="21"/>
        <v>0</v>
      </c>
      <c r="BH11" s="78">
        <f t="shared" si="22"/>
        <v>0</v>
      </c>
      <c r="BI11" s="78">
        <f t="shared" si="23"/>
        <v>0</v>
      </c>
      <c r="BJ11" s="78">
        <f t="shared" si="24"/>
        <v>0</v>
      </c>
      <c r="BK11" s="78">
        <f t="shared" si="25"/>
        <v>0</v>
      </c>
      <c r="BL11" s="78">
        <f t="shared" si="26"/>
        <v>0</v>
      </c>
      <c r="BM11" s="78">
        <f t="shared" si="27"/>
        <v>0</v>
      </c>
      <c r="BN11" s="78">
        <f t="shared" si="28"/>
        <v>0</v>
      </c>
      <c r="BO11" s="78">
        <f t="shared" si="29"/>
        <v>0</v>
      </c>
      <c r="BP11" s="78">
        <f t="shared" si="30"/>
        <v>0</v>
      </c>
      <c r="BQ11" s="78">
        <f t="shared" si="31"/>
        <v>0</v>
      </c>
      <c r="BR11" s="78">
        <f t="shared" si="32"/>
        <v>0</v>
      </c>
      <c r="BS11" s="77"/>
      <c r="BT11" s="77"/>
    </row>
    <row r="12" spans="1:72" ht="14.1" customHeight="1" x14ac:dyDescent="0.2">
      <c r="A12" s="55" t="str">
        <f t="shared" si="2"/>
        <v>DS-6 (DS-3) Temp. Sensitive DS_Ancillary Service (part of Day Ahead Energy Charge)</v>
      </c>
      <c r="B12" s="80" t="s">
        <v>643</v>
      </c>
      <c r="C12" s="71" t="s">
        <v>633</v>
      </c>
      <c r="D12" s="150"/>
      <c r="E12" s="81"/>
      <c r="F12" s="73" t="s">
        <v>640</v>
      </c>
      <c r="G12" s="73">
        <v>0</v>
      </c>
      <c r="H12" s="73">
        <v>6</v>
      </c>
      <c r="I12" s="74" t="s">
        <v>641</v>
      </c>
      <c r="J12" s="75" t="s">
        <v>634</v>
      </c>
      <c r="K12" s="74"/>
      <c r="L12" s="82">
        <v>0</v>
      </c>
      <c r="M12" s="138">
        <v>0</v>
      </c>
      <c r="N12" s="138">
        <v>0</v>
      </c>
      <c r="O12" s="138">
        <v>0</v>
      </c>
      <c r="P12" s="138">
        <v>0</v>
      </c>
      <c r="Q12" s="138">
        <v>0</v>
      </c>
      <c r="R12" s="138">
        <v>0</v>
      </c>
      <c r="S12" s="138">
        <v>0</v>
      </c>
      <c r="T12" s="138">
        <v>0</v>
      </c>
      <c r="U12" s="138">
        <v>0</v>
      </c>
      <c r="V12" s="138">
        <v>0</v>
      </c>
      <c r="W12" s="138">
        <v>0</v>
      </c>
      <c r="X12" s="138">
        <v>0</v>
      </c>
      <c r="Y12" s="138">
        <f t="shared" si="33"/>
        <v>0</v>
      </c>
      <c r="Z12" s="138">
        <f t="shared" si="34"/>
        <v>0</v>
      </c>
      <c r="AA12" s="138">
        <f t="shared" si="35"/>
        <v>0</v>
      </c>
      <c r="AB12" s="138">
        <f t="shared" si="36"/>
        <v>0</v>
      </c>
      <c r="AC12" s="138">
        <f t="shared" si="37"/>
        <v>0</v>
      </c>
      <c r="AD12" s="138">
        <f t="shared" si="38"/>
        <v>0</v>
      </c>
      <c r="AE12" s="138">
        <f t="shared" si="39"/>
        <v>0</v>
      </c>
      <c r="AF12" s="138">
        <f t="shared" si="40"/>
        <v>0</v>
      </c>
      <c r="AG12" s="138">
        <f t="shared" si="41"/>
        <v>0</v>
      </c>
      <c r="AH12" s="138">
        <f t="shared" si="42"/>
        <v>0</v>
      </c>
      <c r="AI12" s="138">
        <f t="shared" si="43"/>
        <v>0</v>
      </c>
      <c r="AJ12" s="138">
        <f t="shared" si="44"/>
        <v>0</v>
      </c>
      <c r="AK12" s="138">
        <f t="shared" si="45"/>
        <v>0</v>
      </c>
      <c r="AL12" s="138">
        <f t="shared" si="46"/>
        <v>0</v>
      </c>
      <c r="AM12" s="138">
        <f t="shared" si="47"/>
        <v>0</v>
      </c>
      <c r="AO12" s="77" t="str">
        <f t="shared" si="4"/>
        <v>DS-6 (DS-3) Temp. Sensitive DS</v>
      </c>
      <c r="AP12" s="78" t="s">
        <v>644</v>
      </c>
      <c r="AQ12" s="77" t="str">
        <f t="shared" si="5"/>
        <v>Ancillary Service (part of Day Ahead Energy Charge)</v>
      </c>
      <c r="AR12" s="78" t="str">
        <f t="shared" si="6"/>
        <v>Prorated</v>
      </c>
      <c r="AS12" s="79">
        <f t="shared" si="7"/>
        <v>6</v>
      </c>
      <c r="AT12" s="78">
        <f t="shared" si="8"/>
        <v>0</v>
      </c>
      <c r="AU12" s="78">
        <f t="shared" si="9"/>
        <v>0</v>
      </c>
      <c r="AV12" s="78">
        <f t="shared" si="10"/>
        <v>0</v>
      </c>
      <c r="AW12" s="78">
        <f t="shared" si="11"/>
        <v>0</v>
      </c>
      <c r="AX12" s="78">
        <f t="shared" si="12"/>
        <v>0</v>
      </c>
      <c r="AY12" s="78">
        <f t="shared" si="13"/>
        <v>0</v>
      </c>
      <c r="AZ12" s="78">
        <f t="shared" si="14"/>
        <v>0</v>
      </c>
      <c r="BA12" s="78">
        <f t="shared" si="15"/>
        <v>0</v>
      </c>
      <c r="BB12" s="78">
        <f t="shared" si="16"/>
        <v>0</v>
      </c>
      <c r="BC12" s="78">
        <f t="shared" si="17"/>
        <v>0</v>
      </c>
      <c r="BD12" s="78">
        <f t="shared" si="18"/>
        <v>0</v>
      </c>
      <c r="BE12" s="78">
        <f t="shared" si="19"/>
        <v>0</v>
      </c>
      <c r="BF12" s="78">
        <f t="shared" si="20"/>
        <v>0</v>
      </c>
      <c r="BG12" s="78">
        <f t="shared" si="21"/>
        <v>0</v>
      </c>
      <c r="BH12" s="78">
        <f t="shared" si="22"/>
        <v>0</v>
      </c>
      <c r="BI12" s="78">
        <f t="shared" si="23"/>
        <v>0</v>
      </c>
      <c r="BJ12" s="78">
        <f t="shared" si="24"/>
        <v>0</v>
      </c>
      <c r="BK12" s="78">
        <f t="shared" si="25"/>
        <v>0</v>
      </c>
      <c r="BL12" s="78">
        <f t="shared" si="26"/>
        <v>0</v>
      </c>
      <c r="BM12" s="78">
        <f t="shared" si="27"/>
        <v>0</v>
      </c>
      <c r="BN12" s="78">
        <f t="shared" si="28"/>
        <v>0</v>
      </c>
      <c r="BO12" s="78">
        <f t="shared" si="29"/>
        <v>0</v>
      </c>
      <c r="BP12" s="78">
        <f t="shared" si="30"/>
        <v>0</v>
      </c>
      <c r="BQ12" s="78">
        <f t="shared" si="31"/>
        <v>0</v>
      </c>
      <c r="BR12" s="78">
        <f t="shared" si="32"/>
        <v>0</v>
      </c>
      <c r="BS12" s="77"/>
      <c r="BT12" s="77"/>
    </row>
    <row r="13" spans="1:72" ht="14.1" customHeight="1" x14ac:dyDescent="0.2">
      <c r="A13" s="55" t="str">
        <f t="shared" si="2"/>
        <v>DS-6 (DS-4) Temp. Sensitive DS_Ancillary Service (part of Day Ahead Energy Charge)</v>
      </c>
      <c r="B13" s="80" t="s">
        <v>645</v>
      </c>
      <c r="C13" s="71" t="s">
        <v>633</v>
      </c>
      <c r="D13" s="150"/>
      <c r="E13" s="81"/>
      <c r="F13" s="73" t="s">
        <v>640</v>
      </c>
      <c r="G13" s="73">
        <v>0</v>
      </c>
      <c r="H13" s="73">
        <v>6</v>
      </c>
      <c r="I13" s="74" t="s">
        <v>641</v>
      </c>
      <c r="J13" s="75" t="s">
        <v>634</v>
      </c>
      <c r="K13" s="74"/>
      <c r="L13" s="82">
        <v>0</v>
      </c>
      <c r="M13" s="138">
        <v>0</v>
      </c>
      <c r="N13" s="138">
        <v>0</v>
      </c>
      <c r="O13" s="138">
        <v>0</v>
      </c>
      <c r="P13" s="138">
        <v>0</v>
      </c>
      <c r="Q13" s="138">
        <v>0</v>
      </c>
      <c r="R13" s="138">
        <v>0</v>
      </c>
      <c r="S13" s="138">
        <v>0</v>
      </c>
      <c r="T13" s="138">
        <v>0</v>
      </c>
      <c r="U13" s="138">
        <v>0</v>
      </c>
      <c r="V13" s="138">
        <v>0</v>
      </c>
      <c r="W13" s="138">
        <v>0</v>
      </c>
      <c r="X13" s="138">
        <v>0</v>
      </c>
      <c r="Y13" s="138">
        <f t="shared" si="33"/>
        <v>0</v>
      </c>
      <c r="Z13" s="138">
        <f t="shared" si="34"/>
        <v>0</v>
      </c>
      <c r="AA13" s="138">
        <f t="shared" si="35"/>
        <v>0</v>
      </c>
      <c r="AB13" s="138">
        <f t="shared" si="36"/>
        <v>0</v>
      </c>
      <c r="AC13" s="138">
        <f t="shared" si="37"/>
        <v>0</v>
      </c>
      <c r="AD13" s="138">
        <f t="shared" si="38"/>
        <v>0</v>
      </c>
      <c r="AE13" s="138">
        <f t="shared" si="39"/>
        <v>0</v>
      </c>
      <c r="AF13" s="138">
        <f t="shared" si="40"/>
        <v>0</v>
      </c>
      <c r="AG13" s="138">
        <f t="shared" si="41"/>
        <v>0</v>
      </c>
      <c r="AH13" s="138">
        <f t="shared" si="42"/>
        <v>0</v>
      </c>
      <c r="AI13" s="138">
        <f t="shared" si="43"/>
        <v>0</v>
      </c>
      <c r="AJ13" s="138">
        <f t="shared" si="44"/>
        <v>0</v>
      </c>
      <c r="AK13" s="138">
        <f t="shared" si="45"/>
        <v>0</v>
      </c>
      <c r="AL13" s="138">
        <f t="shared" si="46"/>
        <v>0</v>
      </c>
      <c r="AM13" s="138">
        <f t="shared" si="47"/>
        <v>0</v>
      </c>
      <c r="AO13" s="77" t="str">
        <f t="shared" si="4"/>
        <v>DS-6 (DS-4) Temp. Sensitive DS</v>
      </c>
      <c r="AP13" s="78" t="s">
        <v>646</v>
      </c>
      <c r="AQ13" s="77" t="str">
        <f t="shared" si="5"/>
        <v>Ancillary Service (part of Day Ahead Energy Charge)</v>
      </c>
      <c r="AR13" s="78" t="str">
        <f t="shared" si="6"/>
        <v>Prorated</v>
      </c>
      <c r="AS13" s="79">
        <f t="shared" si="7"/>
        <v>6</v>
      </c>
      <c r="AT13" s="78">
        <f t="shared" si="8"/>
        <v>0</v>
      </c>
      <c r="AU13" s="78">
        <f t="shared" si="9"/>
        <v>0</v>
      </c>
      <c r="AV13" s="78">
        <f t="shared" si="10"/>
        <v>0</v>
      </c>
      <c r="AW13" s="78">
        <f t="shared" si="11"/>
        <v>0</v>
      </c>
      <c r="AX13" s="78">
        <f t="shared" si="12"/>
        <v>0</v>
      </c>
      <c r="AY13" s="78">
        <f t="shared" si="13"/>
        <v>0</v>
      </c>
      <c r="AZ13" s="78">
        <f t="shared" si="14"/>
        <v>0</v>
      </c>
      <c r="BA13" s="78">
        <f t="shared" si="15"/>
        <v>0</v>
      </c>
      <c r="BB13" s="78">
        <f t="shared" si="16"/>
        <v>0</v>
      </c>
      <c r="BC13" s="78">
        <f t="shared" si="17"/>
        <v>0</v>
      </c>
      <c r="BD13" s="78">
        <f t="shared" si="18"/>
        <v>0</v>
      </c>
      <c r="BE13" s="78">
        <f t="shared" si="19"/>
        <v>0</v>
      </c>
      <c r="BF13" s="78">
        <f t="shared" si="20"/>
        <v>0</v>
      </c>
      <c r="BG13" s="78">
        <f t="shared" si="21"/>
        <v>0</v>
      </c>
      <c r="BH13" s="78">
        <f t="shared" si="22"/>
        <v>0</v>
      </c>
      <c r="BI13" s="78">
        <f t="shared" si="23"/>
        <v>0</v>
      </c>
      <c r="BJ13" s="78">
        <f t="shared" si="24"/>
        <v>0</v>
      </c>
      <c r="BK13" s="78">
        <f t="shared" si="25"/>
        <v>0</v>
      </c>
      <c r="BL13" s="78">
        <f t="shared" si="26"/>
        <v>0</v>
      </c>
      <c r="BM13" s="78">
        <f t="shared" si="27"/>
        <v>0</v>
      </c>
      <c r="BN13" s="78">
        <f t="shared" si="28"/>
        <v>0</v>
      </c>
      <c r="BO13" s="78">
        <f t="shared" si="29"/>
        <v>0</v>
      </c>
      <c r="BP13" s="78">
        <f t="shared" si="30"/>
        <v>0</v>
      </c>
      <c r="BQ13" s="78">
        <f t="shared" si="31"/>
        <v>0</v>
      </c>
      <c r="BR13" s="78">
        <f t="shared" si="32"/>
        <v>0</v>
      </c>
      <c r="BS13" s="77"/>
      <c r="BT13" s="77"/>
    </row>
    <row r="14" spans="1:72" ht="14.1" customHeight="1" x14ac:dyDescent="0.2">
      <c r="A14" s="55" t="str">
        <f t="shared" si="2"/>
        <v>DS-5 (Lighting Service)_Area - LED 10 -Zone I</v>
      </c>
      <c r="B14" s="80" t="s">
        <v>647</v>
      </c>
      <c r="C14" s="83" t="s">
        <v>648</v>
      </c>
      <c r="D14" s="150"/>
      <c r="E14" s="81"/>
      <c r="F14" s="73" t="s">
        <v>649</v>
      </c>
      <c r="G14" s="73">
        <v>0</v>
      </c>
      <c r="H14" s="73">
        <v>6</v>
      </c>
      <c r="I14" s="74" t="s">
        <v>641</v>
      </c>
      <c r="J14" s="75" t="s">
        <v>634</v>
      </c>
      <c r="K14" s="74"/>
      <c r="L14" s="82">
        <v>4.1399999999999997</v>
      </c>
      <c r="M14" s="138">
        <v>4.67</v>
      </c>
      <c r="N14" s="138">
        <v>4.67</v>
      </c>
      <c r="O14" s="138">
        <v>4.67</v>
      </c>
      <c r="P14" s="138">
        <v>4.67</v>
      </c>
      <c r="Q14" s="138">
        <v>4.67</v>
      </c>
      <c r="R14" s="138">
        <v>4.67</v>
      </c>
      <c r="S14" s="138">
        <v>4.7699999999999996</v>
      </c>
      <c r="T14" s="138">
        <v>4.7699999999999996</v>
      </c>
      <c r="U14" s="138">
        <v>4.7699999999999996</v>
      </c>
      <c r="V14" s="138">
        <v>4.7699999999999996</v>
      </c>
      <c r="W14" s="138">
        <v>4.7699999999999996</v>
      </c>
      <c r="X14" s="138">
        <v>4.7699999999999996</v>
      </c>
      <c r="Y14" s="138">
        <f t="shared" si="33"/>
        <v>4.7699999999999996</v>
      </c>
      <c r="Z14" s="138">
        <f t="shared" si="34"/>
        <v>4.7699999999999996</v>
      </c>
      <c r="AA14" s="138">
        <f t="shared" si="35"/>
        <v>4.7699999999999996</v>
      </c>
      <c r="AB14" s="138">
        <f t="shared" si="36"/>
        <v>4.7699999999999996</v>
      </c>
      <c r="AC14" s="138">
        <f t="shared" si="37"/>
        <v>4.7699999999999996</v>
      </c>
      <c r="AD14" s="138">
        <f t="shared" si="38"/>
        <v>4.7699999999999996</v>
      </c>
      <c r="AE14" s="138">
        <f t="shared" si="39"/>
        <v>4.7699999999999996</v>
      </c>
      <c r="AF14" s="138">
        <f t="shared" si="40"/>
        <v>4.7699999999999996</v>
      </c>
      <c r="AG14" s="138">
        <f t="shared" si="41"/>
        <v>4.7699999999999996</v>
      </c>
      <c r="AH14" s="138">
        <f t="shared" si="42"/>
        <v>4.7699999999999996</v>
      </c>
      <c r="AI14" s="138">
        <f t="shared" si="43"/>
        <v>4.7699999999999996</v>
      </c>
      <c r="AJ14" s="138">
        <f t="shared" si="44"/>
        <v>4.7699999999999996</v>
      </c>
      <c r="AK14" s="138">
        <f t="shared" si="45"/>
        <v>4.7699999999999996</v>
      </c>
      <c r="AL14" s="138">
        <f t="shared" si="46"/>
        <v>4.7699999999999987</v>
      </c>
      <c r="AM14" s="138">
        <f t="shared" si="47"/>
        <v>4.7491666666666639</v>
      </c>
      <c r="AO14" s="77" t="str">
        <f t="shared" si="4"/>
        <v>DS-5 (Lighting Service)</v>
      </c>
      <c r="AP14" s="78" t="s">
        <v>650</v>
      </c>
      <c r="AQ14" s="77" t="str">
        <f t="shared" si="5"/>
        <v>Area - LED 10 -Zone I</v>
      </c>
      <c r="AR14" s="78" t="str">
        <f t="shared" si="6"/>
        <v>Billing Cycle</v>
      </c>
      <c r="AS14" s="79">
        <f t="shared" si="7"/>
        <v>6</v>
      </c>
      <c r="AT14" s="78">
        <f t="shared" si="8"/>
        <v>4</v>
      </c>
      <c r="AU14" s="78">
        <f t="shared" si="9"/>
        <v>4.67</v>
      </c>
      <c r="AV14" s="78">
        <f t="shared" si="10"/>
        <v>4.67</v>
      </c>
      <c r="AW14" s="78">
        <f t="shared" si="11"/>
        <v>4.67</v>
      </c>
      <c r="AX14" s="78">
        <f t="shared" si="12"/>
        <v>4.67</v>
      </c>
      <c r="AY14" s="78">
        <f t="shared" si="13"/>
        <v>4.67</v>
      </c>
      <c r="AZ14" s="78">
        <f t="shared" si="14"/>
        <v>4.67</v>
      </c>
      <c r="BA14" s="78">
        <f t="shared" si="15"/>
        <v>4.7699999999999996</v>
      </c>
      <c r="BB14" s="78">
        <f t="shared" si="16"/>
        <v>4.7699999999999996</v>
      </c>
      <c r="BC14" s="78">
        <f t="shared" si="17"/>
        <v>4.7699999999999996</v>
      </c>
      <c r="BD14" s="78">
        <f t="shared" si="18"/>
        <v>4.7699999999999996</v>
      </c>
      <c r="BE14" s="78">
        <f t="shared" si="19"/>
        <v>4.7699999999999996</v>
      </c>
      <c r="BF14" s="78">
        <f t="shared" si="20"/>
        <v>4.7699999999999996</v>
      </c>
      <c r="BG14" s="78">
        <f t="shared" si="21"/>
        <v>4.7699999999999996</v>
      </c>
      <c r="BH14" s="78">
        <f t="shared" si="22"/>
        <v>4.7699999999999996</v>
      </c>
      <c r="BI14" s="78">
        <f t="shared" si="23"/>
        <v>4.7699999999999996</v>
      </c>
      <c r="BJ14" s="78">
        <f t="shared" si="24"/>
        <v>4.7699999999999996</v>
      </c>
      <c r="BK14" s="78">
        <f t="shared" si="25"/>
        <v>4.7699999999999996</v>
      </c>
      <c r="BL14" s="78">
        <f t="shared" si="26"/>
        <v>4.7699999999999996</v>
      </c>
      <c r="BM14" s="78">
        <f t="shared" si="27"/>
        <v>4.7699999999999996</v>
      </c>
      <c r="BN14" s="78">
        <f t="shared" si="28"/>
        <v>4.7699999999999996</v>
      </c>
      <c r="BO14" s="78">
        <f t="shared" si="29"/>
        <v>4.7699999999999996</v>
      </c>
      <c r="BP14" s="78">
        <f t="shared" si="30"/>
        <v>4.7699999999999996</v>
      </c>
      <c r="BQ14" s="78">
        <f t="shared" si="31"/>
        <v>4.7699999999999996</v>
      </c>
      <c r="BR14" s="78">
        <f t="shared" si="32"/>
        <v>4.7699999999999996</v>
      </c>
      <c r="BS14" s="77"/>
      <c r="BT14" s="77"/>
    </row>
    <row r="15" spans="1:72" ht="14.1" customHeight="1" x14ac:dyDescent="0.2">
      <c r="A15" s="55" t="str">
        <f t="shared" si="2"/>
        <v>DS-5 (Lighting Service)_Area - LED 10 -Zone II</v>
      </c>
      <c r="B15" s="80" t="s">
        <v>647</v>
      </c>
      <c r="C15" s="83" t="s">
        <v>651</v>
      </c>
      <c r="D15" s="150"/>
      <c r="E15" s="81"/>
      <c r="F15" s="73" t="s">
        <v>649</v>
      </c>
      <c r="G15" s="73">
        <v>0</v>
      </c>
      <c r="H15" s="73">
        <v>6</v>
      </c>
      <c r="I15" s="74" t="s">
        <v>641</v>
      </c>
      <c r="J15" s="75" t="s">
        <v>634</v>
      </c>
      <c r="K15" s="74"/>
      <c r="L15" s="82">
        <v>4.1399999999999997</v>
      </c>
      <c r="M15" s="138">
        <v>4.67</v>
      </c>
      <c r="N15" s="138">
        <v>4.67</v>
      </c>
      <c r="O15" s="138">
        <v>4.67</v>
      </c>
      <c r="P15" s="138">
        <v>4.67</v>
      </c>
      <c r="Q15" s="138">
        <v>4.67</v>
      </c>
      <c r="R15" s="138">
        <v>4.67</v>
      </c>
      <c r="S15" s="138">
        <v>4.7699999999999996</v>
      </c>
      <c r="T15" s="138">
        <v>4.7699999999999996</v>
      </c>
      <c r="U15" s="138">
        <v>4.7699999999999996</v>
      </c>
      <c r="V15" s="138">
        <v>4.7699999999999996</v>
      </c>
      <c r="W15" s="138">
        <v>4.7699999999999996</v>
      </c>
      <c r="X15" s="138">
        <v>4.7699999999999996</v>
      </c>
      <c r="Y15" s="138">
        <f t="shared" si="33"/>
        <v>4.7699999999999996</v>
      </c>
      <c r="Z15" s="138">
        <f t="shared" si="34"/>
        <v>4.7699999999999996</v>
      </c>
      <c r="AA15" s="138">
        <f t="shared" si="35"/>
        <v>4.7699999999999996</v>
      </c>
      <c r="AB15" s="138">
        <f t="shared" si="36"/>
        <v>4.7699999999999996</v>
      </c>
      <c r="AC15" s="138">
        <f t="shared" si="37"/>
        <v>4.7699999999999996</v>
      </c>
      <c r="AD15" s="138">
        <f t="shared" si="38"/>
        <v>4.7699999999999996</v>
      </c>
      <c r="AE15" s="138">
        <f t="shared" si="39"/>
        <v>4.7699999999999996</v>
      </c>
      <c r="AF15" s="138">
        <f t="shared" si="40"/>
        <v>4.7699999999999996</v>
      </c>
      <c r="AG15" s="138">
        <f t="shared" si="41"/>
        <v>4.7699999999999996</v>
      </c>
      <c r="AH15" s="138">
        <f t="shared" si="42"/>
        <v>4.7699999999999996</v>
      </c>
      <c r="AI15" s="138">
        <f t="shared" si="43"/>
        <v>4.7699999999999996</v>
      </c>
      <c r="AJ15" s="138">
        <f t="shared" si="44"/>
        <v>4.7699999999999996</v>
      </c>
      <c r="AK15" s="138">
        <f t="shared" si="45"/>
        <v>4.7699999999999996</v>
      </c>
      <c r="AL15" s="138">
        <f t="shared" si="46"/>
        <v>4.7699999999999987</v>
      </c>
      <c r="AM15" s="138">
        <f t="shared" si="47"/>
        <v>4.7491666666666639</v>
      </c>
      <c r="AO15" s="77" t="str">
        <f t="shared" si="4"/>
        <v>DS-5 (Lighting Service)</v>
      </c>
      <c r="AP15" s="78" t="s">
        <v>650</v>
      </c>
      <c r="AQ15" s="77" t="str">
        <f t="shared" si="5"/>
        <v>Area - LED 10 -Zone II</v>
      </c>
      <c r="AR15" s="78" t="str">
        <f t="shared" si="6"/>
        <v>Billing Cycle</v>
      </c>
      <c r="AS15" s="79">
        <f t="shared" si="7"/>
        <v>6</v>
      </c>
      <c r="AT15" s="78">
        <f t="shared" si="8"/>
        <v>4</v>
      </c>
      <c r="AU15" s="78">
        <f t="shared" si="9"/>
        <v>4.67</v>
      </c>
      <c r="AV15" s="78">
        <f t="shared" si="10"/>
        <v>4.67</v>
      </c>
      <c r="AW15" s="78">
        <f t="shared" si="11"/>
        <v>4.67</v>
      </c>
      <c r="AX15" s="78">
        <f t="shared" si="12"/>
        <v>4.67</v>
      </c>
      <c r="AY15" s="78">
        <f t="shared" si="13"/>
        <v>4.67</v>
      </c>
      <c r="AZ15" s="78">
        <f t="shared" si="14"/>
        <v>4.67</v>
      </c>
      <c r="BA15" s="78">
        <f t="shared" si="15"/>
        <v>4.7699999999999996</v>
      </c>
      <c r="BB15" s="78">
        <f t="shared" si="16"/>
        <v>4.7699999999999996</v>
      </c>
      <c r="BC15" s="78">
        <f t="shared" si="17"/>
        <v>4.7699999999999996</v>
      </c>
      <c r="BD15" s="78">
        <f t="shared" si="18"/>
        <v>4.7699999999999996</v>
      </c>
      <c r="BE15" s="78">
        <f t="shared" si="19"/>
        <v>4.7699999999999996</v>
      </c>
      <c r="BF15" s="78">
        <f t="shared" si="20"/>
        <v>4.7699999999999996</v>
      </c>
      <c r="BG15" s="78">
        <f t="shared" si="21"/>
        <v>4.7699999999999996</v>
      </c>
      <c r="BH15" s="78">
        <f t="shared" si="22"/>
        <v>4.7699999999999996</v>
      </c>
      <c r="BI15" s="78">
        <f t="shared" si="23"/>
        <v>4.7699999999999996</v>
      </c>
      <c r="BJ15" s="78">
        <f t="shared" si="24"/>
        <v>4.7699999999999996</v>
      </c>
      <c r="BK15" s="78">
        <f t="shared" si="25"/>
        <v>4.7699999999999996</v>
      </c>
      <c r="BL15" s="78">
        <f t="shared" si="26"/>
        <v>4.7699999999999996</v>
      </c>
      <c r="BM15" s="78">
        <f t="shared" si="27"/>
        <v>4.7699999999999996</v>
      </c>
      <c r="BN15" s="78">
        <f t="shared" si="28"/>
        <v>4.7699999999999996</v>
      </c>
      <c r="BO15" s="78">
        <f t="shared" si="29"/>
        <v>4.7699999999999996</v>
      </c>
      <c r="BP15" s="78">
        <f t="shared" si="30"/>
        <v>4.7699999999999996</v>
      </c>
      <c r="BQ15" s="78">
        <f t="shared" si="31"/>
        <v>4.7699999999999996</v>
      </c>
      <c r="BR15" s="78">
        <f t="shared" si="32"/>
        <v>4.7699999999999996</v>
      </c>
      <c r="BS15" s="77"/>
      <c r="BT15" s="77"/>
    </row>
    <row r="16" spans="1:72" ht="14.1" customHeight="1" x14ac:dyDescent="0.2">
      <c r="A16" s="55" t="str">
        <f t="shared" si="2"/>
        <v>DS-5 (Lighting Service)_Area - LED 10 -Zone III</v>
      </c>
      <c r="B16" s="80" t="s">
        <v>647</v>
      </c>
      <c r="C16" s="83" t="s">
        <v>652</v>
      </c>
      <c r="D16" s="150"/>
      <c r="E16" s="81"/>
      <c r="F16" s="73" t="s">
        <v>649</v>
      </c>
      <c r="G16" s="73">
        <v>0</v>
      </c>
      <c r="H16" s="73">
        <v>6</v>
      </c>
      <c r="I16" s="74" t="s">
        <v>641</v>
      </c>
      <c r="J16" s="75" t="s">
        <v>634</v>
      </c>
      <c r="K16" s="74"/>
      <c r="L16" s="82">
        <v>4.1399999999999997</v>
      </c>
      <c r="M16" s="138">
        <v>4.67</v>
      </c>
      <c r="N16" s="138">
        <v>4.67</v>
      </c>
      <c r="O16" s="138">
        <v>4.67</v>
      </c>
      <c r="P16" s="138">
        <v>4.67</v>
      </c>
      <c r="Q16" s="138">
        <v>4.67</v>
      </c>
      <c r="R16" s="138">
        <v>4.67</v>
      </c>
      <c r="S16" s="138">
        <v>4.7699999999999996</v>
      </c>
      <c r="T16" s="138">
        <v>4.7699999999999996</v>
      </c>
      <c r="U16" s="138">
        <v>4.7699999999999996</v>
      </c>
      <c r="V16" s="138">
        <v>4.7699999999999996</v>
      </c>
      <c r="W16" s="138">
        <v>4.7699999999999996</v>
      </c>
      <c r="X16" s="138">
        <v>4.7699999999999996</v>
      </c>
      <c r="Y16" s="138">
        <f t="shared" si="33"/>
        <v>4.7699999999999996</v>
      </c>
      <c r="Z16" s="138">
        <f t="shared" si="34"/>
        <v>4.7699999999999996</v>
      </c>
      <c r="AA16" s="138">
        <f t="shared" si="35"/>
        <v>4.7699999999999996</v>
      </c>
      <c r="AB16" s="138">
        <f t="shared" si="36"/>
        <v>4.7699999999999996</v>
      </c>
      <c r="AC16" s="138">
        <f t="shared" si="37"/>
        <v>4.7699999999999996</v>
      </c>
      <c r="AD16" s="138">
        <f t="shared" si="38"/>
        <v>4.7699999999999996</v>
      </c>
      <c r="AE16" s="138">
        <f t="shared" si="39"/>
        <v>4.7699999999999996</v>
      </c>
      <c r="AF16" s="138">
        <f t="shared" si="40"/>
        <v>4.7699999999999996</v>
      </c>
      <c r="AG16" s="138">
        <f t="shared" si="41"/>
        <v>4.7699999999999996</v>
      </c>
      <c r="AH16" s="138">
        <f t="shared" si="42"/>
        <v>4.7699999999999996</v>
      </c>
      <c r="AI16" s="138">
        <f t="shared" si="43"/>
        <v>4.7699999999999996</v>
      </c>
      <c r="AJ16" s="138">
        <f t="shared" si="44"/>
        <v>4.7699999999999996</v>
      </c>
      <c r="AK16" s="138">
        <f t="shared" si="45"/>
        <v>4.7699999999999996</v>
      </c>
      <c r="AL16" s="138">
        <f t="shared" si="46"/>
        <v>4.7699999999999987</v>
      </c>
      <c r="AM16" s="138">
        <f t="shared" si="47"/>
        <v>4.7491666666666639</v>
      </c>
      <c r="AO16" s="77" t="str">
        <f t="shared" si="4"/>
        <v>DS-5 (Lighting Service)</v>
      </c>
      <c r="AP16" s="78" t="s">
        <v>650</v>
      </c>
      <c r="AQ16" s="77" t="str">
        <f t="shared" si="5"/>
        <v>Area - LED 10 -Zone III</v>
      </c>
      <c r="AR16" s="78" t="str">
        <f t="shared" si="6"/>
        <v>Billing Cycle</v>
      </c>
      <c r="AS16" s="79">
        <f t="shared" si="7"/>
        <v>6</v>
      </c>
      <c r="AT16" s="78">
        <f t="shared" si="8"/>
        <v>4</v>
      </c>
      <c r="AU16" s="78">
        <f t="shared" si="9"/>
        <v>4.67</v>
      </c>
      <c r="AV16" s="78">
        <f t="shared" si="10"/>
        <v>4.67</v>
      </c>
      <c r="AW16" s="78">
        <f t="shared" si="11"/>
        <v>4.67</v>
      </c>
      <c r="AX16" s="78">
        <f t="shared" si="12"/>
        <v>4.67</v>
      </c>
      <c r="AY16" s="78">
        <f t="shared" si="13"/>
        <v>4.67</v>
      </c>
      <c r="AZ16" s="78">
        <f t="shared" si="14"/>
        <v>4.67</v>
      </c>
      <c r="BA16" s="78">
        <f t="shared" si="15"/>
        <v>4.7699999999999996</v>
      </c>
      <c r="BB16" s="78">
        <f t="shared" si="16"/>
        <v>4.7699999999999996</v>
      </c>
      <c r="BC16" s="78">
        <f t="shared" si="17"/>
        <v>4.7699999999999996</v>
      </c>
      <c r="BD16" s="78">
        <f t="shared" si="18"/>
        <v>4.7699999999999996</v>
      </c>
      <c r="BE16" s="78">
        <f t="shared" si="19"/>
        <v>4.7699999999999996</v>
      </c>
      <c r="BF16" s="78">
        <f t="shared" si="20"/>
        <v>4.7699999999999996</v>
      </c>
      <c r="BG16" s="78">
        <f t="shared" si="21"/>
        <v>4.7699999999999996</v>
      </c>
      <c r="BH16" s="78">
        <f t="shared" si="22"/>
        <v>4.7699999999999996</v>
      </c>
      <c r="BI16" s="78">
        <f t="shared" si="23"/>
        <v>4.7699999999999996</v>
      </c>
      <c r="BJ16" s="78">
        <f t="shared" si="24"/>
        <v>4.7699999999999996</v>
      </c>
      <c r="BK16" s="78">
        <f t="shared" si="25"/>
        <v>4.7699999999999996</v>
      </c>
      <c r="BL16" s="78">
        <f t="shared" si="26"/>
        <v>4.7699999999999996</v>
      </c>
      <c r="BM16" s="78">
        <f t="shared" si="27"/>
        <v>4.7699999999999996</v>
      </c>
      <c r="BN16" s="78">
        <f t="shared" si="28"/>
        <v>4.7699999999999996</v>
      </c>
      <c r="BO16" s="78">
        <f t="shared" si="29"/>
        <v>4.7699999999999996</v>
      </c>
      <c r="BP16" s="78">
        <f t="shared" si="30"/>
        <v>4.7699999999999996</v>
      </c>
      <c r="BQ16" s="78">
        <f t="shared" si="31"/>
        <v>4.7699999999999996</v>
      </c>
      <c r="BR16" s="78">
        <f t="shared" si="32"/>
        <v>4.7699999999999996</v>
      </c>
      <c r="BS16" s="77"/>
      <c r="BT16" s="77"/>
    </row>
    <row r="17" spans="1:72" ht="14.1" customHeight="1" x14ac:dyDescent="0.2">
      <c r="A17" s="55" t="str">
        <f t="shared" si="2"/>
        <v>DS-5 (Lighting Service)_Area - LED 25 -Zone I</v>
      </c>
      <c r="B17" s="80" t="s">
        <v>647</v>
      </c>
      <c r="C17" s="83" t="s">
        <v>653</v>
      </c>
      <c r="D17" s="150"/>
      <c r="E17" s="81"/>
      <c r="F17" s="73" t="s">
        <v>649</v>
      </c>
      <c r="G17" s="73">
        <v>0</v>
      </c>
      <c r="H17" s="73">
        <v>6</v>
      </c>
      <c r="I17" s="74" t="s">
        <v>641</v>
      </c>
      <c r="J17" s="75" t="s">
        <v>634</v>
      </c>
      <c r="K17" s="74"/>
      <c r="L17" s="82">
        <v>5.16</v>
      </c>
      <c r="M17" s="138">
        <v>5.83</v>
      </c>
      <c r="N17" s="138">
        <v>5.83</v>
      </c>
      <c r="O17" s="138">
        <v>5.83</v>
      </c>
      <c r="P17" s="138">
        <v>5.83</v>
      </c>
      <c r="Q17" s="138">
        <v>5.83</v>
      </c>
      <c r="R17" s="138">
        <v>5.83</v>
      </c>
      <c r="S17" s="138">
        <v>5.93</v>
      </c>
      <c r="T17" s="138">
        <v>5.93</v>
      </c>
      <c r="U17" s="138">
        <v>5.93</v>
      </c>
      <c r="V17" s="138">
        <v>5.93</v>
      </c>
      <c r="W17" s="138">
        <v>5.93</v>
      </c>
      <c r="X17" s="138">
        <v>5.93</v>
      </c>
      <c r="Y17" s="138">
        <f t="shared" si="33"/>
        <v>5.93</v>
      </c>
      <c r="Z17" s="138">
        <f t="shared" si="34"/>
        <v>5.93</v>
      </c>
      <c r="AA17" s="138">
        <f t="shared" si="35"/>
        <v>5.93</v>
      </c>
      <c r="AB17" s="138">
        <f t="shared" si="36"/>
        <v>5.93</v>
      </c>
      <c r="AC17" s="138">
        <f t="shared" si="37"/>
        <v>5.93</v>
      </c>
      <c r="AD17" s="138">
        <f t="shared" si="38"/>
        <v>5.93</v>
      </c>
      <c r="AE17" s="138">
        <f t="shared" si="39"/>
        <v>5.93</v>
      </c>
      <c r="AF17" s="138">
        <f t="shared" si="40"/>
        <v>5.93</v>
      </c>
      <c r="AG17" s="138">
        <f t="shared" si="41"/>
        <v>5.93</v>
      </c>
      <c r="AH17" s="138">
        <f t="shared" si="42"/>
        <v>5.93</v>
      </c>
      <c r="AI17" s="138">
        <f t="shared" si="43"/>
        <v>5.93</v>
      </c>
      <c r="AJ17" s="138">
        <f t="shared" si="44"/>
        <v>5.93</v>
      </c>
      <c r="AK17" s="138">
        <f t="shared" si="45"/>
        <v>5.93</v>
      </c>
      <c r="AL17" s="138">
        <f t="shared" si="46"/>
        <v>5.93</v>
      </c>
      <c r="AM17" s="138">
        <f t="shared" si="47"/>
        <v>5.9091666666666702</v>
      </c>
      <c r="AO17" s="77" t="str">
        <f t="shared" si="4"/>
        <v>DS-5 (Lighting Service)</v>
      </c>
      <c r="AP17" s="78" t="s">
        <v>650</v>
      </c>
      <c r="AQ17" s="77" t="str">
        <f t="shared" si="5"/>
        <v>Area - LED 25 -Zone I</v>
      </c>
      <c r="AR17" s="78" t="str">
        <f t="shared" si="6"/>
        <v>Billing Cycle</v>
      </c>
      <c r="AS17" s="79">
        <f t="shared" si="7"/>
        <v>6</v>
      </c>
      <c r="AT17" s="78">
        <f t="shared" si="8"/>
        <v>5</v>
      </c>
      <c r="AU17" s="78">
        <f t="shared" si="9"/>
        <v>5.83</v>
      </c>
      <c r="AV17" s="78">
        <f t="shared" si="10"/>
        <v>5.83</v>
      </c>
      <c r="AW17" s="78">
        <f t="shared" si="11"/>
        <v>5.83</v>
      </c>
      <c r="AX17" s="78">
        <f t="shared" si="12"/>
        <v>5.83</v>
      </c>
      <c r="AY17" s="78">
        <f t="shared" si="13"/>
        <v>5.83</v>
      </c>
      <c r="AZ17" s="78">
        <f t="shared" si="14"/>
        <v>5.83</v>
      </c>
      <c r="BA17" s="78">
        <f t="shared" si="15"/>
        <v>5.93</v>
      </c>
      <c r="BB17" s="78">
        <f t="shared" si="16"/>
        <v>5.93</v>
      </c>
      <c r="BC17" s="78">
        <f t="shared" si="17"/>
        <v>5.93</v>
      </c>
      <c r="BD17" s="78">
        <f t="shared" si="18"/>
        <v>5.93</v>
      </c>
      <c r="BE17" s="78">
        <f t="shared" si="19"/>
        <v>5.93</v>
      </c>
      <c r="BF17" s="78">
        <f t="shared" si="20"/>
        <v>5.93</v>
      </c>
      <c r="BG17" s="78">
        <f t="shared" si="21"/>
        <v>5.93</v>
      </c>
      <c r="BH17" s="78">
        <f t="shared" si="22"/>
        <v>5.93</v>
      </c>
      <c r="BI17" s="78">
        <f t="shared" si="23"/>
        <v>5.93</v>
      </c>
      <c r="BJ17" s="78">
        <f t="shared" si="24"/>
        <v>5.93</v>
      </c>
      <c r="BK17" s="78">
        <f t="shared" si="25"/>
        <v>5.93</v>
      </c>
      <c r="BL17" s="78">
        <f t="shared" si="26"/>
        <v>5.93</v>
      </c>
      <c r="BM17" s="78">
        <f t="shared" si="27"/>
        <v>5.93</v>
      </c>
      <c r="BN17" s="78">
        <f t="shared" si="28"/>
        <v>5.93</v>
      </c>
      <c r="BO17" s="78">
        <f t="shared" si="29"/>
        <v>5.93</v>
      </c>
      <c r="BP17" s="78">
        <f t="shared" si="30"/>
        <v>5.93</v>
      </c>
      <c r="BQ17" s="78">
        <f t="shared" si="31"/>
        <v>5.93</v>
      </c>
      <c r="BR17" s="78">
        <f t="shared" si="32"/>
        <v>5.93</v>
      </c>
      <c r="BS17" s="77">
        <v>800</v>
      </c>
      <c r="BT17" s="77" t="s">
        <v>654</v>
      </c>
    </row>
    <row r="18" spans="1:72" ht="14.1" customHeight="1" x14ac:dyDescent="0.2">
      <c r="A18" s="55" t="str">
        <f t="shared" si="2"/>
        <v>DS-5 (Lighting Service)_Area - LED 25 -Zone II</v>
      </c>
      <c r="B18" s="80" t="s">
        <v>647</v>
      </c>
      <c r="C18" s="83" t="s">
        <v>655</v>
      </c>
      <c r="D18" s="150"/>
      <c r="E18" s="81"/>
      <c r="F18" s="73" t="s">
        <v>649</v>
      </c>
      <c r="G18" s="73">
        <v>0</v>
      </c>
      <c r="H18" s="73">
        <v>6</v>
      </c>
      <c r="I18" s="74" t="s">
        <v>641</v>
      </c>
      <c r="J18" s="75" t="s">
        <v>634</v>
      </c>
      <c r="K18" s="74"/>
      <c r="L18" s="82">
        <v>5.16</v>
      </c>
      <c r="M18" s="138">
        <v>5.83</v>
      </c>
      <c r="N18" s="138">
        <v>5.83</v>
      </c>
      <c r="O18" s="138">
        <v>5.83</v>
      </c>
      <c r="P18" s="138">
        <v>5.83</v>
      </c>
      <c r="Q18" s="138">
        <v>5.83</v>
      </c>
      <c r="R18" s="138">
        <v>5.83</v>
      </c>
      <c r="S18" s="138">
        <v>5.93</v>
      </c>
      <c r="T18" s="138">
        <v>5.93</v>
      </c>
      <c r="U18" s="138">
        <v>5.93</v>
      </c>
      <c r="V18" s="138">
        <v>5.93</v>
      </c>
      <c r="W18" s="138">
        <v>5.93</v>
      </c>
      <c r="X18" s="138">
        <v>5.93</v>
      </c>
      <c r="Y18" s="138">
        <f t="shared" si="33"/>
        <v>5.93</v>
      </c>
      <c r="Z18" s="138">
        <f t="shared" si="34"/>
        <v>5.93</v>
      </c>
      <c r="AA18" s="138">
        <f t="shared" si="35"/>
        <v>5.93</v>
      </c>
      <c r="AB18" s="138">
        <f t="shared" si="36"/>
        <v>5.93</v>
      </c>
      <c r="AC18" s="138">
        <f t="shared" si="37"/>
        <v>5.93</v>
      </c>
      <c r="AD18" s="138">
        <f t="shared" si="38"/>
        <v>5.93</v>
      </c>
      <c r="AE18" s="138">
        <f t="shared" si="39"/>
        <v>5.93</v>
      </c>
      <c r="AF18" s="138">
        <f t="shared" si="40"/>
        <v>5.93</v>
      </c>
      <c r="AG18" s="138">
        <f t="shared" si="41"/>
        <v>5.93</v>
      </c>
      <c r="AH18" s="138">
        <f t="shared" si="42"/>
        <v>5.93</v>
      </c>
      <c r="AI18" s="138">
        <f t="shared" si="43"/>
        <v>5.93</v>
      </c>
      <c r="AJ18" s="138">
        <f t="shared" si="44"/>
        <v>5.93</v>
      </c>
      <c r="AK18" s="138">
        <f t="shared" si="45"/>
        <v>5.93</v>
      </c>
      <c r="AL18" s="138">
        <f t="shared" si="46"/>
        <v>5.93</v>
      </c>
      <c r="AM18" s="138">
        <f t="shared" si="47"/>
        <v>5.9091666666666702</v>
      </c>
      <c r="AO18" s="77" t="str">
        <f t="shared" si="4"/>
        <v>DS-5 (Lighting Service)</v>
      </c>
      <c r="AP18" s="78" t="s">
        <v>650</v>
      </c>
      <c r="AQ18" s="77" t="str">
        <f t="shared" si="5"/>
        <v>Area - LED 25 -Zone II</v>
      </c>
      <c r="AR18" s="78" t="str">
        <f t="shared" si="6"/>
        <v>Billing Cycle</v>
      </c>
      <c r="AS18" s="79">
        <f t="shared" si="7"/>
        <v>6</v>
      </c>
      <c r="AT18" s="78">
        <f t="shared" si="8"/>
        <v>5</v>
      </c>
      <c r="AU18" s="78">
        <f t="shared" si="9"/>
        <v>5.83</v>
      </c>
      <c r="AV18" s="78">
        <f t="shared" si="10"/>
        <v>5.83</v>
      </c>
      <c r="AW18" s="78">
        <f t="shared" si="11"/>
        <v>5.83</v>
      </c>
      <c r="AX18" s="78">
        <f t="shared" si="12"/>
        <v>5.83</v>
      </c>
      <c r="AY18" s="78">
        <f t="shared" si="13"/>
        <v>5.83</v>
      </c>
      <c r="AZ18" s="78">
        <f t="shared" si="14"/>
        <v>5.83</v>
      </c>
      <c r="BA18" s="78">
        <f t="shared" si="15"/>
        <v>5.93</v>
      </c>
      <c r="BB18" s="78">
        <f t="shared" si="16"/>
        <v>5.93</v>
      </c>
      <c r="BC18" s="78">
        <f t="shared" si="17"/>
        <v>5.93</v>
      </c>
      <c r="BD18" s="78">
        <f t="shared" si="18"/>
        <v>5.93</v>
      </c>
      <c r="BE18" s="78">
        <f t="shared" si="19"/>
        <v>5.93</v>
      </c>
      <c r="BF18" s="78">
        <f t="shared" si="20"/>
        <v>5.93</v>
      </c>
      <c r="BG18" s="78">
        <f t="shared" si="21"/>
        <v>5.93</v>
      </c>
      <c r="BH18" s="78">
        <f t="shared" si="22"/>
        <v>5.93</v>
      </c>
      <c r="BI18" s="78">
        <f t="shared" si="23"/>
        <v>5.93</v>
      </c>
      <c r="BJ18" s="78">
        <f t="shared" si="24"/>
        <v>5.93</v>
      </c>
      <c r="BK18" s="78">
        <f t="shared" si="25"/>
        <v>5.93</v>
      </c>
      <c r="BL18" s="78">
        <f t="shared" si="26"/>
        <v>5.93</v>
      </c>
      <c r="BM18" s="78">
        <f t="shared" si="27"/>
        <v>5.93</v>
      </c>
      <c r="BN18" s="78">
        <f t="shared" si="28"/>
        <v>5.93</v>
      </c>
      <c r="BO18" s="78">
        <f t="shared" si="29"/>
        <v>5.93</v>
      </c>
      <c r="BP18" s="78">
        <f t="shared" si="30"/>
        <v>5.93</v>
      </c>
      <c r="BQ18" s="78">
        <f t="shared" si="31"/>
        <v>5.93</v>
      </c>
      <c r="BR18" s="78">
        <f t="shared" si="32"/>
        <v>5.93</v>
      </c>
      <c r="BS18" s="77">
        <v>800</v>
      </c>
      <c r="BT18" s="77" t="s">
        <v>656</v>
      </c>
    </row>
    <row r="19" spans="1:72" ht="14.1" customHeight="1" x14ac:dyDescent="0.2">
      <c r="A19" s="55" t="str">
        <f t="shared" si="2"/>
        <v>DS-5 (Lighting Service)_Area - LED 25 -Zone III</v>
      </c>
      <c r="B19" s="80" t="s">
        <v>647</v>
      </c>
      <c r="C19" s="83" t="s">
        <v>657</v>
      </c>
      <c r="D19" s="150"/>
      <c r="E19" s="81"/>
      <c r="F19" s="73" t="s">
        <v>649</v>
      </c>
      <c r="G19" s="73">
        <v>0</v>
      </c>
      <c r="H19" s="73">
        <v>6</v>
      </c>
      <c r="I19" s="74" t="s">
        <v>641</v>
      </c>
      <c r="J19" s="75" t="s">
        <v>634</v>
      </c>
      <c r="K19" s="74"/>
      <c r="L19" s="82">
        <v>5.16</v>
      </c>
      <c r="M19" s="138">
        <v>5.83</v>
      </c>
      <c r="N19" s="138">
        <v>5.83</v>
      </c>
      <c r="O19" s="138">
        <v>5.83</v>
      </c>
      <c r="P19" s="138">
        <v>5.83</v>
      </c>
      <c r="Q19" s="138">
        <v>5.83</v>
      </c>
      <c r="R19" s="138">
        <v>5.83</v>
      </c>
      <c r="S19" s="138">
        <v>5.93</v>
      </c>
      <c r="T19" s="138">
        <v>5.93</v>
      </c>
      <c r="U19" s="138">
        <v>5.93</v>
      </c>
      <c r="V19" s="138">
        <v>5.93</v>
      </c>
      <c r="W19" s="138">
        <v>5.93</v>
      </c>
      <c r="X19" s="138">
        <v>5.93</v>
      </c>
      <c r="Y19" s="138">
        <f t="shared" si="33"/>
        <v>5.93</v>
      </c>
      <c r="Z19" s="138">
        <f t="shared" si="34"/>
        <v>5.93</v>
      </c>
      <c r="AA19" s="138">
        <f t="shared" si="35"/>
        <v>5.93</v>
      </c>
      <c r="AB19" s="138">
        <f t="shared" si="36"/>
        <v>5.93</v>
      </c>
      <c r="AC19" s="138">
        <f t="shared" si="37"/>
        <v>5.93</v>
      </c>
      <c r="AD19" s="138">
        <f t="shared" si="38"/>
        <v>5.93</v>
      </c>
      <c r="AE19" s="138">
        <f t="shared" si="39"/>
        <v>5.93</v>
      </c>
      <c r="AF19" s="138">
        <f t="shared" si="40"/>
        <v>5.93</v>
      </c>
      <c r="AG19" s="138">
        <f t="shared" si="41"/>
        <v>5.93</v>
      </c>
      <c r="AH19" s="138">
        <f t="shared" si="42"/>
        <v>5.93</v>
      </c>
      <c r="AI19" s="138">
        <f t="shared" si="43"/>
        <v>5.93</v>
      </c>
      <c r="AJ19" s="138">
        <f t="shared" si="44"/>
        <v>5.93</v>
      </c>
      <c r="AK19" s="138">
        <f t="shared" si="45"/>
        <v>5.93</v>
      </c>
      <c r="AL19" s="138">
        <f t="shared" si="46"/>
        <v>5.93</v>
      </c>
      <c r="AM19" s="138">
        <f t="shared" si="47"/>
        <v>5.9091666666666702</v>
      </c>
      <c r="AO19" s="77" t="str">
        <f t="shared" si="4"/>
        <v>DS-5 (Lighting Service)</v>
      </c>
      <c r="AP19" s="78" t="s">
        <v>650</v>
      </c>
      <c r="AQ19" s="77" t="str">
        <f t="shared" si="5"/>
        <v>Area - LED 25 -Zone III</v>
      </c>
      <c r="AR19" s="78" t="str">
        <f t="shared" si="6"/>
        <v>Billing Cycle</v>
      </c>
      <c r="AS19" s="79">
        <f t="shared" si="7"/>
        <v>6</v>
      </c>
      <c r="AT19" s="78">
        <f t="shared" si="8"/>
        <v>5</v>
      </c>
      <c r="AU19" s="78">
        <f t="shared" si="9"/>
        <v>5.83</v>
      </c>
      <c r="AV19" s="78">
        <f t="shared" si="10"/>
        <v>5.83</v>
      </c>
      <c r="AW19" s="78">
        <f t="shared" si="11"/>
        <v>5.83</v>
      </c>
      <c r="AX19" s="78">
        <f t="shared" si="12"/>
        <v>5.83</v>
      </c>
      <c r="AY19" s="78">
        <f t="shared" si="13"/>
        <v>5.83</v>
      </c>
      <c r="AZ19" s="78">
        <f t="shared" si="14"/>
        <v>5.83</v>
      </c>
      <c r="BA19" s="78">
        <f t="shared" si="15"/>
        <v>5.93</v>
      </c>
      <c r="BB19" s="78">
        <f t="shared" si="16"/>
        <v>5.93</v>
      </c>
      <c r="BC19" s="78">
        <f t="shared" si="17"/>
        <v>5.93</v>
      </c>
      <c r="BD19" s="78">
        <f t="shared" si="18"/>
        <v>5.93</v>
      </c>
      <c r="BE19" s="78">
        <f t="shared" si="19"/>
        <v>5.93</v>
      </c>
      <c r="BF19" s="78">
        <f t="shared" si="20"/>
        <v>5.93</v>
      </c>
      <c r="BG19" s="78">
        <f t="shared" si="21"/>
        <v>5.93</v>
      </c>
      <c r="BH19" s="78">
        <f t="shared" si="22"/>
        <v>5.93</v>
      </c>
      <c r="BI19" s="78">
        <f t="shared" si="23"/>
        <v>5.93</v>
      </c>
      <c r="BJ19" s="78">
        <f t="shared" si="24"/>
        <v>5.93</v>
      </c>
      <c r="BK19" s="78">
        <f t="shared" si="25"/>
        <v>5.93</v>
      </c>
      <c r="BL19" s="78">
        <f t="shared" si="26"/>
        <v>5.93</v>
      </c>
      <c r="BM19" s="78">
        <f t="shared" si="27"/>
        <v>5.93</v>
      </c>
      <c r="BN19" s="78">
        <f t="shared" si="28"/>
        <v>5.93</v>
      </c>
      <c r="BO19" s="78">
        <f t="shared" si="29"/>
        <v>5.93</v>
      </c>
      <c r="BP19" s="78">
        <f t="shared" si="30"/>
        <v>5.93</v>
      </c>
      <c r="BQ19" s="78">
        <f t="shared" si="31"/>
        <v>5.93</v>
      </c>
      <c r="BR19" s="78">
        <f t="shared" si="32"/>
        <v>5.93</v>
      </c>
      <c r="BS19" s="77"/>
      <c r="BT19" s="77"/>
    </row>
    <row r="20" spans="1:72" ht="14.1" customHeight="1" x14ac:dyDescent="0.2">
      <c r="A20" s="55" t="str">
        <f t="shared" si="2"/>
        <v>DS-5 (Lighting Service)_Area - LED 40 -Zone I</v>
      </c>
      <c r="B20" s="80" t="s">
        <v>647</v>
      </c>
      <c r="C20" s="83" t="s">
        <v>658</v>
      </c>
      <c r="D20" s="150"/>
      <c r="E20" s="81"/>
      <c r="F20" s="73" t="s">
        <v>649</v>
      </c>
      <c r="G20" s="73">
        <v>0</v>
      </c>
      <c r="H20" s="73">
        <v>6</v>
      </c>
      <c r="I20" s="74" t="s">
        <v>641</v>
      </c>
      <c r="J20" s="75"/>
      <c r="K20" s="74"/>
      <c r="L20" s="82">
        <v>5.91</v>
      </c>
      <c r="M20" s="138">
        <v>6.68</v>
      </c>
      <c r="N20" s="138">
        <v>6.68</v>
      </c>
      <c r="O20" s="138">
        <v>6.68</v>
      </c>
      <c r="P20" s="138">
        <v>6.68</v>
      </c>
      <c r="Q20" s="138">
        <v>6.68</v>
      </c>
      <c r="R20" s="138">
        <v>6.68</v>
      </c>
      <c r="S20" s="138">
        <v>6.8</v>
      </c>
      <c r="T20" s="138">
        <v>6.8</v>
      </c>
      <c r="U20" s="138">
        <v>6.8</v>
      </c>
      <c r="V20" s="138">
        <v>6.8</v>
      </c>
      <c r="W20" s="138">
        <v>6.8</v>
      </c>
      <c r="X20" s="138">
        <v>6.8</v>
      </c>
      <c r="Y20" s="138">
        <f t="shared" si="33"/>
        <v>6.8</v>
      </c>
      <c r="Z20" s="138">
        <f t="shared" si="34"/>
        <v>6.8</v>
      </c>
      <c r="AA20" s="138">
        <f t="shared" si="35"/>
        <v>6.8</v>
      </c>
      <c r="AB20" s="138">
        <f t="shared" si="36"/>
        <v>6.8</v>
      </c>
      <c r="AC20" s="138">
        <f t="shared" si="37"/>
        <v>6.8</v>
      </c>
      <c r="AD20" s="138">
        <f t="shared" si="38"/>
        <v>6.8</v>
      </c>
      <c r="AE20" s="138">
        <f t="shared" si="39"/>
        <v>6.8</v>
      </c>
      <c r="AF20" s="138">
        <f t="shared" si="40"/>
        <v>6.8</v>
      </c>
      <c r="AG20" s="138">
        <f t="shared" si="41"/>
        <v>6.8</v>
      </c>
      <c r="AH20" s="138">
        <f t="shared" si="42"/>
        <v>6.8</v>
      </c>
      <c r="AI20" s="138">
        <f t="shared" si="43"/>
        <v>6.8</v>
      </c>
      <c r="AJ20" s="138">
        <f t="shared" si="44"/>
        <v>6.8</v>
      </c>
      <c r="AK20" s="138">
        <f t="shared" si="45"/>
        <v>6.8</v>
      </c>
      <c r="AL20" s="138">
        <f t="shared" si="46"/>
        <v>6.799999999999998</v>
      </c>
      <c r="AM20" s="138">
        <f t="shared" si="47"/>
        <v>6.7750000000000012</v>
      </c>
      <c r="AO20" s="77" t="str">
        <f t="shared" si="4"/>
        <v>DS-5 (Lighting Service)</v>
      </c>
      <c r="AP20" s="78" t="s">
        <v>650</v>
      </c>
      <c r="AQ20" s="77" t="str">
        <f t="shared" si="5"/>
        <v>Area - LED 40 -Zone I</v>
      </c>
      <c r="AR20" s="78" t="str">
        <f t="shared" si="6"/>
        <v>Billing Cycle</v>
      </c>
      <c r="AS20" s="79">
        <f t="shared" si="7"/>
        <v>6</v>
      </c>
      <c r="AT20" s="78">
        <f t="shared" si="8"/>
        <v>6</v>
      </c>
      <c r="AU20" s="78">
        <f t="shared" si="9"/>
        <v>6.68</v>
      </c>
      <c r="AV20" s="78">
        <f t="shared" si="10"/>
        <v>6.68</v>
      </c>
      <c r="AW20" s="78">
        <f t="shared" si="11"/>
        <v>6.68</v>
      </c>
      <c r="AX20" s="78">
        <f t="shared" si="12"/>
        <v>6.68</v>
      </c>
      <c r="AY20" s="78">
        <f t="shared" si="13"/>
        <v>6.68</v>
      </c>
      <c r="AZ20" s="78">
        <f t="shared" si="14"/>
        <v>6.68</v>
      </c>
      <c r="BA20" s="78">
        <f t="shared" si="15"/>
        <v>6.8</v>
      </c>
      <c r="BB20" s="78">
        <f t="shared" si="16"/>
        <v>6.8</v>
      </c>
      <c r="BC20" s="78">
        <f t="shared" si="17"/>
        <v>6.8</v>
      </c>
      <c r="BD20" s="78">
        <f t="shared" si="18"/>
        <v>6.8</v>
      </c>
      <c r="BE20" s="78">
        <f t="shared" si="19"/>
        <v>6.8</v>
      </c>
      <c r="BF20" s="78">
        <f t="shared" si="20"/>
        <v>6.8</v>
      </c>
      <c r="BG20" s="78">
        <f t="shared" si="21"/>
        <v>6.8</v>
      </c>
      <c r="BH20" s="78">
        <f t="shared" si="22"/>
        <v>6.8</v>
      </c>
      <c r="BI20" s="78">
        <f t="shared" si="23"/>
        <v>6.8</v>
      </c>
      <c r="BJ20" s="78">
        <f t="shared" si="24"/>
        <v>6.8</v>
      </c>
      <c r="BK20" s="78">
        <f t="shared" si="25"/>
        <v>6.8</v>
      </c>
      <c r="BL20" s="78">
        <f t="shared" si="26"/>
        <v>6.8</v>
      </c>
      <c r="BM20" s="78">
        <f t="shared" si="27"/>
        <v>6.8</v>
      </c>
      <c r="BN20" s="78">
        <f t="shared" si="28"/>
        <v>6.8</v>
      </c>
      <c r="BO20" s="78">
        <f t="shared" si="29"/>
        <v>6.8</v>
      </c>
      <c r="BP20" s="78">
        <f t="shared" si="30"/>
        <v>6.8</v>
      </c>
      <c r="BQ20" s="78">
        <f t="shared" si="31"/>
        <v>6.8</v>
      </c>
      <c r="BR20" s="78">
        <f t="shared" si="32"/>
        <v>6.8</v>
      </c>
      <c r="BS20" s="77"/>
      <c r="BT20" s="77"/>
    </row>
    <row r="21" spans="1:72" ht="14.1" customHeight="1" x14ac:dyDescent="0.2">
      <c r="A21" s="55" t="str">
        <f t="shared" si="2"/>
        <v>DS-5 (Lighting Service)_Area - LED 40 -Zone II</v>
      </c>
      <c r="B21" s="80" t="s">
        <v>647</v>
      </c>
      <c r="C21" s="83" t="s">
        <v>659</v>
      </c>
      <c r="D21" s="150"/>
      <c r="E21" s="81"/>
      <c r="F21" s="73" t="s">
        <v>649</v>
      </c>
      <c r="G21" s="73">
        <v>0</v>
      </c>
      <c r="H21" s="73">
        <v>6</v>
      </c>
      <c r="I21" s="74" t="s">
        <v>641</v>
      </c>
      <c r="J21" s="75"/>
      <c r="K21" s="74"/>
      <c r="L21" s="82">
        <v>5.91</v>
      </c>
      <c r="M21" s="138">
        <v>6.68</v>
      </c>
      <c r="N21" s="138">
        <v>6.68</v>
      </c>
      <c r="O21" s="138">
        <v>6.68</v>
      </c>
      <c r="P21" s="138">
        <v>6.68</v>
      </c>
      <c r="Q21" s="138">
        <v>6.68</v>
      </c>
      <c r="R21" s="138">
        <v>6.68</v>
      </c>
      <c r="S21" s="138">
        <v>6.8</v>
      </c>
      <c r="T21" s="138">
        <v>6.8</v>
      </c>
      <c r="U21" s="138">
        <v>6.8</v>
      </c>
      <c r="V21" s="138">
        <v>6.8</v>
      </c>
      <c r="W21" s="138">
        <v>6.8</v>
      </c>
      <c r="X21" s="138">
        <v>6.8</v>
      </c>
      <c r="Y21" s="138">
        <f t="shared" si="33"/>
        <v>6.8</v>
      </c>
      <c r="Z21" s="138">
        <f t="shared" si="34"/>
        <v>6.8</v>
      </c>
      <c r="AA21" s="138">
        <f t="shared" si="35"/>
        <v>6.8</v>
      </c>
      <c r="AB21" s="138">
        <f t="shared" si="36"/>
        <v>6.8</v>
      </c>
      <c r="AC21" s="138">
        <f t="shared" si="37"/>
        <v>6.8</v>
      </c>
      <c r="AD21" s="138">
        <f t="shared" si="38"/>
        <v>6.8</v>
      </c>
      <c r="AE21" s="138">
        <f t="shared" si="39"/>
        <v>6.8</v>
      </c>
      <c r="AF21" s="138">
        <f t="shared" si="40"/>
        <v>6.8</v>
      </c>
      <c r="AG21" s="138">
        <f t="shared" si="41"/>
        <v>6.8</v>
      </c>
      <c r="AH21" s="138">
        <f t="shared" si="42"/>
        <v>6.8</v>
      </c>
      <c r="AI21" s="138">
        <f t="shared" si="43"/>
        <v>6.8</v>
      </c>
      <c r="AJ21" s="138">
        <f t="shared" si="44"/>
        <v>6.8</v>
      </c>
      <c r="AK21" s="138">
        <f t="shared" si="45"/>
        <v>6.8</v>
      </c>
      <c r="AL21" s="138">
        <f t="shared" si="46"/>
        <v>6.799999999999998</v>
      </c>
      <c r="AM21" s="138">
        <f t="shared" si="47"/>
        <v>6.7750000000000012</v>
      </c>
      <c r="AO21" s="77" t="str">
        <f t="shared" si="4"/>
        <v>DS-5 (Lighting Service)</v>
      </c>
      <c r="AP21" s="78" t="s">
        <v>650</v>
      </c>
      <c r="AQ21" s="77" t="str">
        <f t="shared" si="5"/>
        <v>Area - LED 40 -Zone II</v>
      </c>
      <c r="AR21" s="78" t="str">
        <f t="shared" si="6"/>
        <v>Billing Cycle</v>
      </c>
      <c r="AS21" s="79">
        <f t="shared" si="7"/>
        <v>6</v>
      </c>
      <c r="AT21" s="78">
        <f t="shared" si="8"/>
        <v>6</v>
      </c>
      <c r="AU21" s="78">
        <f t="shared" si="9"/>
        <v>6.68</v>
      </c>
      <c r="AV21" s="78">
        <f t="shared" si="10"/>
        <v>6.68</v>
      </c>
      <c r="AW21" s="78">
        <f t="shared" si="11"/>
        <v>6.68</v>
      </c>
      <c r="AX21" s="78">
        <f t="shared" si="12"/>
        <v>6.68</v>
      </c>
      <c r="AY21" s="78">
        <f t="shared" si="13"/>
        <v>6.68</v>
      </c>
      <c r="AZ21" s="78">
        <f t="shared" si="14"/>
        <v>6.68</v>
      </c>
      <c r="BA21" s="78">
        <f t="shared" si="15"/>
        <v>6.8</v>
      </c>
      <c r="BB21" s="78">
        <f t="shared" si="16"/>
        <v>6.8</v>
      </c>
      <c r="BC21" s="78">
        <f t="shared" si="17"/>
        <v>6.8</v>
      </c>
      <c r="BD21" s="78">
        <f t="shared" si="18"/>
        <v>6.8</v>
      </c>
      <c r="BE21" s="78">
        <f t="shared" si="19"/>
        <v>6.8</v>
      </c>
      <c r="BF21" s="78">
        <f t="shared" si="20"/>
        <v>6.8</v>
      </c>
      <c r="BG21" s="78">
        <f t="shared" si="21"/>
        <v>6.8</v>
      </c>
      <c r="BH21" s="78">
        <f t="shared" si="22"/>
        <v>6.8</v>
      </c>
      <c r="BI21" s="78">
        <f t="shared" si="23"/>
        <v>6.8</v>
      </c>
      <c r="BJ21" s="78">
        <f t="shared" si="24"/>
        <v>6.8</v>
      </c>
      <c r="BK21" s="78">
        <f t="shared" si="25"/>
        <v>6.8</v>
      </c>
      <c r="BL21" s="78">
        <f t="shared" si="26"/>
        <v>6.8</v>
      </c>
      <c r="BM21" s="78">
        <f t="shared" si="27"/>
        <v>6.8</v>
      </c>
      <c r="BN21" s="78">
        <f t="shared" si="28"/>
        <v>6.8</v>
      </c>
      <c r="BO21" s="78">
        <f t="shared" si="29"/>
        <v>6.8</v>
      </c>
      <c r="BP21" s="78">
        <f t="shared" si="30"/>
        <v>6.8</v>
      </c>
      <c r="BQ21" s="78">
        <f t="shared" si="31"/>
        <v>6.8</v>
      </c>
      <c r="BR21" s="78">
        <f t="shared" si="32"/>
        <v>6.8</v>
      </c>
      <c r="BS21" s="77"/>
      <c r="BT21" s="77"/>
    </row>
    <row r="22" spans="1:72" ht="14.1" customHeight="1" x14ac:dyDescent="0.2">
      <c r="A22" s="55" t="str">
        <f t="shared" si="2"/>
        <v>DS-5 (Lighting Service)_Area - LED 40 -Zone III</v>
      </c>
      <c r="B22" s="80" t="s">
        <v>647</v>
      </c>
      <c r="C22" s="83" t="s">
        <v>660</v>
      </c>
      <c r="D22" s="150"/>
      <c r="E22" s="81"/>
      <c r="F22" s="73" t="s">
        <v>649</v>
      </c>
      <c r="G22" s="73">
        <v>0</v>
      </c>
      <c r="H22" s="73">
        <v>6</v>
      </c>
      <c r="I22" s="74" t="s">
        <v>641</v>
      </c>
      <c r="J22" s="75"/>
      <c r="K22" s="74"/>
      <c r="L22" s="82">
        <v>5.91</v>
      </c>
      <c r="M22" s="138">
        <v>6.68</v>
      </c>
      <c r="N22" s="138">
        <v>6.68</v>
      </c>
      <c r="O22" s="138">
        <v>6.68</v>
      </c>
      <c r="P22" s="138">
        <v>6.68</v>
      </c>
      <c r="Q22" s="138">
        <v>6.68</v>
      </c>
      <c r="R22" s="138">
        <v>6.68</v>
      </c>
      <c r="S22" s="138">
        <v>6.8</v>
      </c>
      <c r="T22" s="138">
        <v>6.8</v>
      </c>
      <c r="U22" s="138">
        <v>6.8</v>
      </c>
      <c r="V22" s="138">
        <v>6.8</v>
      </c>
      <c r="W22" s="138">
        <v>6.8</v>
      </c>
      <c r="X22" s="138">
        <v>6.8</v>
      </c>
      <c r="Y22" s="138">
        <f t="shared" si="33"/>
        <v>6.8</v>
      </c>
      <c r="Z22" s="138">
        <f t="shared" si="34"/>
        <v>6.8</v>
      </c>
      <c r="AA22" s="138">
        <f t="shared" si="35"/>
        <v>6.8</v>
      </c>
      <c r="AB22" s="138">
        <f t="shared" si="36"/>
        <v>6.8</v>
      </c>
      <c r="AC22" s="138">
        <f t="shared" si="37"/>
        <v>6.8</v>
      </c>
      <c r="AD22" s="138">
        <f t="shared" si="38"/>
        <v>6.8</v>
      </c>
      <c r="AE22" s="138">
        <f t="shared" si="39"/>
        <v>6.8</v>
      </c>
      <c r="AF22" s="138">
        <f t="shared" si="40"/>
        <v>6.8</v>
      </c>
      <c r="AG22" s="138">
        <f t="shared" si="41"/>
        <v>6.8</v>
      </c>
      <c r="AH22" s="138">
        <f t="shared" si="42"/>
        <v>6.8</v>
      </c>
      <c r="AI22" s="138">
        <f t="shared" si="43"/>
        <v>6.8</v>
      </c>
      <c r="AJ22" s="138">
        <f t="shared" si="44"/>
        <v>6.8</v>
      </c>
      <c r="AK22" s="138">
        <f t="shared" si="45"/>
        <v>6.8</v>
      </c>
      <c r="AL22" s="138">
        <f t="shared" si="46"/>
        <v>6.799999999999998</v>
      </c>
      <c r="AM22" s="138">
        <f t="shared" si="47"/>
        <v>6.7750000000000012</v>
      </c>
      <c r="AO22" s="77" t="str">
        <f t="shared" si="4"/>
        <v>DS-5 (Lighting Service)</v>
      </c>
      <c r="AP22" s="78" t="s">
        <v>650</v>
      </c>
      <c r="AQ22" s="77" t="str">
        <f t="shared" si="5"/>
        <v>Area - LED 40 -Zone III</v>
      </c>
      <c r="AR22" s="78" t="str">
        <f t="shared" si="6"/>
        <v>Billing Cycle</v>
      </c>
      <c r="AS22" s="79">
        <f t="shared" si="7"/>
        <v>6</v>
      </c>
      <c r="AT22" s="78">
        <f t="shared" si="8"/>
        <v>6</v>
      </c>
      <c r="AU22" s="78">
        <f t="shared" si="9"/>
        <v>6.68</v>
      </c>
      <c r="AV22" s="78">
        <f t="shared" si="10"/>
        <v>6.68</v>
      </c>
      <c r="AW22" s="78">
        <f t="shared" si="11"/>
        <v>6.68</v>
      </c>
      <c r="AX22" s="78">
        <f t="shared" si="12"/>
        <v>6.68</v>
      </c>
      <c r="AY22" s="78">
        <f t="shared" si="13"/>
        <v>6.68</v>
      </c>
      <c r="AZ22" s="78">
        <f t="shared" si="14"/>
        <v>6.68</v>
      </c>
      <c r="BA22" s="78">
        <f t="shared" si="15"/>
        <v>6.8</v>
      </c>
      <c r="BB22" s="78">
        <f t="shared" si="16"/>
        <v>6.8</v>
      </c>
      <c r="BC22" s="78">
        <f t="shared" si="17"/>
        <v>6.8</v>
      </c>
      <c r="BD22" s="78">
        <f t="shared" si="18"/>
        <v>6.8</v>
      </c>
      <c r="BE22" s="78">
        <f t="shared" si="19"/>
        <v>6.8</v>
      </c>
      <c r="BF22" s="78">
        <f t="shared" si="20"/>
        <v>6.8</v>
      </c>
      <c r="BG22" s="78">
        <f t="shared" si="21"/>
        <v>6.8</v>
      </c>
      <c r="BH22" s="78">
        <f t="shared" si="22"/>
        <v>6.8</v>
      </c>
      <c r="BI22" s="78">
        <f t="shared" si="23"/>
        <v>6.8</v>
      </c>
      <c r="BJ22" s="78">
        <f t="shared" si="24"/>
        <v>6.8</v>
      </c>
      <c r="BK22" s="78">
        <f t="shared" si="25"/>
        <v>6.8</v>
      </c>
      <c r="BL22" s="78">
        <f t="shared" si="26"/>
        <v>6.8</v>
      </c>
      <c r="BM22" s="78">
        <f t="shared" si="27"/>
        <v>6.8</v>
      </c>
      <c r="BN22" s="78">
        <f t="shared" si="28"/>
        <v>6.8</v>
      </c>
      <c r="BO22" s="78">
        <f t="shared" si="29"/>
        <v>6.8</v>
      </c>
      <c r="BP22" s="78">
        <f t="shared" si="30"/>
        <v>6.8</v>
      </c>
      <c r="BQ22" s="78">
        <f t="shared" si="31"/>
        <v>6.8</v>
      </c>
      <c r="BR22" s="78">
        <f t="shared" si="32"/>
        <v>6.8</v>
      </c>
      <c r="BS22" s="77"/>
      <c r="BT22" s="77"/>
    </row>
    <row r="23" spans="1:72" ht="14.1" customHeight="1" x14ac:dyDescent="0.2">
      <c r="A23" s="55" t="str">
        <f t="shared" si="2"/>
        <v>DS-1 (Residential)_Avg Base Uncollectible</v>
      </c>
      <c r="B23" s="80" t="s">
        <v>90</v>
      </c>
      <c r="C23" s="83" t="s">
        <v>661</v>
      </c>
      <c r="D23" s="150" t="s">
        <v>557</v>
      </c>
      <c r="E23" s="81"/>
      <c r="F23" s="73" t="s">
        <v>649</v>
      </c>
      <c r="G23" s="73">
        <v>0</v>
      </c>
      <c r="H23" s="73">
        <v>6</v>
      </c>
      <c r="I23" s="74" t="s">
        <v>641</v>
      </c>
      <c r="J23" s="75" t="s">
        <v>634</v>
      </c>
      <c r="K23" s="74"/>
      <c r="L23" s="82">
        <v>0.96</v>
      </c>
      <c r="M23" s="138">
        <v>0.44</v>
      </c>
      <c r="N23" s="138">
        <v>0.44</v>
      </c>
      <c r="O23" s="138">
        <v>0.44</v>
      </c>
      <c r="P23" s="138">
        <v>0.44</v>
      </c>
      <c r="Q23" s="138">
        <v>0.44</v>
      </c>
      <c r="R23" s="138">
        <v>0.44</v>
      </c>
      <c r="S23" s="138">
        <v>0.45</v>
      </c>
      <c r="T23" s="138">
        <v>0.45</v>
      </c>
      <c r="U23" s="138">
        <v>0.45</v>
      </c>
      <c r="V23" s="138">
        <v>0.45</v>
      </c>
      <c r="W23" s="138">
        <v>0.45</v>
      </c>
      <c r="X23" s="138">
        <v>0.45</v>
      </c>
      <c r="Y23" s="138">
        <f t="shared" si="33"/>
        <v>0.45</v>
      </c>
      <c r="Z23" s="138">
        <f t="shared" si="34"/>
        <v>0.45</v>
      </c>
      <c r="AA23" s="138">
        <f t="shared" si="35"/>
        <v>0.45</v>
      </c>
      <c r="AB23" s="138">
        <f t="shared" si="36"/>
        <v>0.45</v>
      </c>
      <c r="AC23" s="138">
        <f t="shared" si="37"/>
        <v>0.45</v>
      </c>
      <c r="AD23" s="138">
        <f t="shared" si="38"/>
        <v>0.45</v>
      </c>
      <c r="AE23" s="138">
        <f t="shared" si="39"/>
        <v>0.45</v>
      </c>
      <c r="AF23" s="138">
        <f t="shared" si="40"/>
        <v>0.45</v>
      </c>
      <c r="AG23" s="138">
        <f t="shared" si="41"/>
        <v>0.45</v>
      </c>
      <c r="AH23" s="138">
        <f t="shared" si="42"/>
        <v>0.45</v>
      </c>
      <c r="AI23" s="138">
        <f t="shared" si="43"/>
        <v>0.45</v>
      </c>
      <c r="AJ23" s="138">
        <f t="shared" si="44"/>
        <v>0.45</v>
      </c>
      <c r="AK23" s="138">
        <f t="shared" si="45"/>
        <v>0.45</v>
      </c>
      <c r="AL23" s="138">
        <f t="shared" si="46"/>
        <v>0.45000000000000012</v>
      </c>
      <c r="AM23" s="138">
        <f t="shared" si="47"/>
        <v>0.44791666666666657</v>
      </c>
      <c r="AO23" s="77" t="str">
        <f t="shared" si="4"/>
        <v>DS-1 (Residential)</v>
      </c>
      <c r="AP23" s="78" t="s">
        <v>662</v>
      </c>
      <c r="AQ23" s="77" t="str">
        <f t="shared" si="5"/>
        <v>Avg Base Uncollectible</v>
      </c>
      <c r="AR23" s="78" t="str">
        <f t="shared" si="6"/>
        <v>Billing Cycle</v>
      </c>
      <c r="AS23" s="79">
        <f t="shared" si="7"/>
        <v>6</v>
      </c>
      <c r="AT23" s="78">
        <f t="shared" si="8"/>
        <v>1</v>
      </c>
      <c r="AU23" s="78">
        <f t="shared" si="9"/>
        <v>0.44</v>
      </c>
      <c r="AV23" s="78">
        <f t="shared" si="10"/>
        <v>0.44</v>
      </c>
      <c r="AW23" s="78">
        <f t="shared" si="11"/>
        <v>0.44</v>
      </c>
      <c r="AX23" s="78">
        <f t="shared" si="12"/>
        <v>0.44</v>
      </c>
      <c r="AY23" s="78">
        <f t="shared" si="13"/>
        <v>0.44</v>
      </c>
      <c r="AZ23" s="78">
        <f t="shared" si="14"/>
        <v>0.44</v>
      </c>
      <c r="BA23" s="78">
        <f t="shared" si="15"/>
        <v>0.45</v>
      </c>
      <c r="BB23" s="78">
        <f t="shared" si="16"/>
        <v>0.45</v>
      </c>
      <c r="BC23" s="78">
        <f t="shared" si="17"/>
        <v>0.45</v>
      </c>
      <c r="BD23" s="78">
        <f t="shared" si="18"/>
        <v>0.45</v>
      </c>
      <c r="BE23" s="78">
        <f t="shared" si="19"/>
        <v>0.45</v>
      </c>
      <c r="BF23" s="78">
        <f t="shared" si="20"/>
        <v>0.45</v>
      </c>
      <c r="BG23" s="78">
        <f t="shared" si="21"/>
        <v>0.45</v>
      </c>
      <c r="BH23" s="78">
        <f t="shared" si="22"/>
        <v>0.45</v>
      </c>
      <c r="BI23" s="78">
        <f t="shared" si="23"/>
        <v>0.45</v>
      </c>
      <c r="BJ23" s="78">
        <f t="shared" si="24"/>
        <v>0.45</v>
      </c>
      <c r="BK23" s="78">
        <f t="shared" si="25"/>
        <v>0.45</v>
      </c>
      <c r="BL23" s="78">
        <f t="shared" si="26"/>
        <v>0.45</v>
      </c>
      <c r="BM23" s="78">
        <f t="shared" si="27"/>
        <v>0.45</v>
      </c>
      <c r="BN23" s="78">
        <f t="shared" si="28"/>
        <v>0.45</v>
      </c>
      <c r="BO23" s="78">
        <f t="shared" si="29"/>
        <v>0.45</v>
      </c>
      <c r="BP23" s="78">
        <f t="shared" si="30"/>
        <v>0.45</v>
      </c>
      <c r="BQ23" s="78">
        <f t="shared" si="31"/>
        <v>0.45</v>
      </c>
      <c r="BR23" s="78">
        <f t="shared" si="32"/>
        <v>0.45</v>
      </c>
      <c r="BS23" s="77"/>
      <c r="BT23" s="77"/>
    </row>
    <row r="24" spans="1:72" ht="14.1" customHeight="1" x14ac:dyDescent="0.2">
      <c r="A24" s="55" t="str">
        <f t="shared" si="2"/>
        <v>DS-2 Optional (Small General Service)_Avg Base Uncollectible</v>
      </c>
      <c r="B24" s="80" t="s">
        <v>663</v>
      </c>
      <c r="C24" s="83" t="s">
        <v>661</v>
      </c>
      <c r="D24" s="150"/>
      <c r="E24" s="81"/>
      <c r="F24" s="73" t="s">
        <v>649</v>
      </c>
      <c r="G24" s="73">
        <v>0</v>
      </c>
      <c r="H24" s="73">
        <v>6</v>
      </c>
      <c r="I24" s="74" t="s">
        <v>641</v>
      </c>
      <c r="J24" s="75" t="s">
        <v>634</v>
      </c>
      <c r="K24" s="74"/>
      <c r="L24" s="82">
        <v>0</v>
      </c>
      <c r="M24" s="138">
        <v>0.04</v>
      </c>
      <c r="N24" s="138">
        <v>0.04</v>
      </c>
      <c r="O24" s="138">
        <v>0.04</v>
      </c>
      <c r="P24" s="138">
        <v>0.04</v>
      </c>
      <c r="Q24" s="138">
        <v>0.04</v>
      </c>
      <c r="R24" s="138">
        <v>0.04</v>
      </c>
      <c r="S24" s="138">
        <v>0.04</v>
      </c>
      <c r="T24" s="138">
        <v>0.04</v>
      </c>
      <c r="U24" s="138">
        <v>0.04</v>
      </c>
      <c r="V24" s="138">
        <v>0.04</v>
      </c>
      <c r="W24" s="138">
        <v>0.04</v>
      </c>
      <c r="X24" s="138">
        <v>0.04</v>
      </c>
      <c r="Y24" s="138">
        <f t="shared" si="33"/>
        <v>0.04</v>
      </c>
      <c r="Z24" s="138">
        <f t="shared" si="34"/>
        <v>0.04</v>
      </c>
      <c r="AA24" s="138">
        <f t="shared" si="35"/>
        <v>0.04</v>
      </c>
      <c r="AB24" s="138">
        <f t="shared" si="36"/>
        <v>0.04</v>
      </c>
      <c r="AC24" s="138">
        <f t="shared" si="37"/>
        <v>0.04</v>
      </c>
      <c r="AD24" s="138">
        <f t="shared" si="38"/>
        <v>0.04</v>
      </c>
      <c r="AE24" s="138">
        <f t="shared" si="39"/>
        <v>0.04</v>
      </c>
      <c r="AF24" s="138">
        <f t="shared" si="40"/>
        <v>0.04</v>
      </c>
      <c r="AG24" s="138">
        <f t="shared" si="41"/>
        <v>0.04</v>
      </c>
      <c r="AH24" s="138">
        <f t="shared" si="42"/>
        <v>0.04</v>
      </c>
      <c r="AI24" s="138">
        <f t="shared" si="43"/>
        <v>0.04</v>
      </c>
      <c r="AJ24" s="138">
        <f t="shared" si="44"/>
        <v>0.04</v>
      </c>
      <c r="AK24" s="138">
        <f t="shared" si="45"/>
        <v>0.04</v>
      </c>
      <c r="AL24" s="138">
        <f t="shared" si="46"/>
        <v>3.9999999999999994E-2</v>
      </c>
      <c r="AM24" s="138">
        <f t="shared" si="47"/>
        <v>4.0000000000000015E-2</v>
      </c>
      <c r="AO24" s="77" t="str">
        <f t="shared" si="4"/>
        <v>DS-2 Optional (Small General Service)</v>
      </c>
      <c r="AP24" s="78" t="s">
        <v>664</v>
      </c>
      <c r="AQ24" s="77" t="str">
        <f t="shared" si="5"/>
        <v>Avg Base Uncollectible</v>
      </c>
      <c r="AR24" s="78" t="str">
        <f t="shared" si="6"/>
        <v>Billing Cycle</v>
      </c>
      <c r="AS24" s="79">
        <f t="shared" si="7"/>
        <v>6</v>
      </c>
      <c r="AT24" s="78">
        <f t="shared" si="8"/>
        <v>0</v>
      </c>
      <c r="AU24" s="78">
        <f t="shared" si="9"/>
        <v>0.04</v>
      </c>
      <c r="AV24" s="78">
        <f t="shared" si="10"/>
        <v>0.04</v>
      </c>
      <c r="AW24" s="78">
        <f t="shared" si="11"/>
        <v>0.04</v>
      </c>
      <c r="AX24" s="78">
        <f t="shared" si="12"/>
        <v>0.04</v>
      </c>
      <c r="AY24" s="78">
        <f t="shared" si="13"/>
        <v>0.04</v>
      </c>
      <c r="AZ24" s="78">
        <f t="shared" si="14"/>
        <v>0.04</v>
      </c>
      <c r="BA24" s="78">
        <f t="shared" si="15"/>
        <v>0.04</v>
      </c>
      <c r="BB24" s="78">
        <f t="shared" si="16"/>
        <v>0.04</v>
      </c>
      <c r="BC24" s="78">
        <f t="shared" si="17"/>
        <v>0.04</v>
      </c>
      <c r="BD24" s="78">
        <f t="shared" si="18"/>
        <v>0.04</v>
      </c>
      <c r="BE24" s="78">
        <f t="shared" si="19"/>
        <v>0.04</v>
      </c>
      <c r="BF24" s="78">
        <f t="shared" si="20"/>
        <v>0.04</v>
      </c>
      <c r="BG24" s="78">
        <f t="shared" si="21"/>
        <v>0.04</v>
      </c>
      <c r="BH24" s="78">
        <f t="shared" si="22"/>
        <v>0.04</v>
      </c>
      <c r="BI24" s="78">
        <f t="shared" si="23"/>
        <v>0.04</v>
      </c>
      <c r="BJ24" s="78">
        <f t="shared" si="24"/>
        <v>0.04</v>
      </c>
      <c r="BK24" s="78">
        <f t="shared" si="25"/>
        <v>0.04</v>
      </c>
      <c r="BL24" s="78">
        <f t="shared" si="26"/>
        <v>0.04</v>
      </c>
      <c r="BM24" s="78">
        <f t="shared" si="27"/>
        <v>0.04</v>
      </c>
      <c r="BN24" s="78">
        <f t="shared" si="28"/>
        <v>0.04</v>
      </c>
      <c r="BO24" s="78">
        <f t="shared" si="29"/>
        <v>0.04</v>
      </c>
      <c r="BP24" s="78">
        <f t="shared" si="30"/>
        <v>0.04</v>
      </c>
      <c r="BQ24" s="78">
        <f t="shared" si="31"/>
        <v>0.04</v>
      </c>
      <c r="BR24" s="78">
        <f t="shared" si="32"/>
        <v>0.04</v>
      </c>
      <c r="BS24" s="77"/>
      <c r="BT24" s="77"/>
    </row>
    <row r="25" spans="1:72" ht="14.1" customHeight="1" x14ac:dyDescent="0.2">
      <c r="A25" s="55" t="str">
        <f t="shared" si="2"/>
        <v>DS-2 (Small General Service)_Avg Base Uncollectible</v>
      </c>
      <c r="B25" s="80" t="s">
        <v>665</v>
      </c>
      <c r="C25" s="83" t="s">
        <v>661</v>
      </c>
      <c r="D25" s="150"/>
      <c r="E25" s="81"/>
      <c r="F25" s="73" t="s">
        <v>649</v>
      </c>
      <c r="G25" s="73">
        <v>0</v>
      </c>
      <c r="H25" s="73">
        <v>6</v>
      </c>
      <c r="I25" s="74" t="s">
        <v>641</v>
      </c>
      <c r="J25" s="75" t="s">
        <v>634</v>
      </c>
      <c r="K25" s="74"/>
      <c r="L25" s="82">
        <v>0.41</v>
      </c>
      <c r="M25" s="138">
        <v>0.04</v>
      </c>
      <c r="N25" s="138">
        <v>0.04</v>
      </c>
      <c r="O25" s="138">
        <v>0.04</v>
      </c>
      <c r="P25" s="138">
        <v>0.04</v>
      </c>
      <c r="Q25" s="138">
        <v>0.04</v>
      </c>
      <c r="R25" s="138">
        <v>0.04</v>
      </c>
      <c r="S25" s="138">
        <v>0.04</v>
      </c>
      <c r="T25" s="138">
        <v>0.04</v>
      </c>
      <c r="U25" s="138">
        <v>0.04</v>
      </c>
      <c r="V25" s="138">
        <v>0.04</v>
      </c>
      <c r="W25" s="138">
        <v>0.04</v>
      </c>
      <c r="X25" s="138">
        <v>0.04</v>
      </c>
      <c r="Y25" s="138">
        <f t="shared" si="33"/>
        <v>0.04</v>
      </c>
      <c r="Z25" s="138">
        <f t="shared" si="34"/>
        <v>0.04</v>
      </c>
      <c r="AA25" s="138">
        <f t="shared" si="35"/>
        <v>0.04</v>
      </c>
      <c r="AB25" s="138">
        <f t="shared" si="36"/>
        <v>0.04</v>
      </c>
      <c r="AC25" s="138">
        <f t="shared" si="37"/>
        <v>0.04</v>
      </c>
      <c r="AD25" s="138">
        <f t="shared" si="38"/>
        <v>0.04</v>
      </c>
      <c r="AE25" s="138">
        <f t="shared" si="39"/>
        <v>0.04</v>
      </c>
      <c r="AF25" s="138">
        <f t="shared" si="40"/>
        <v>0.04</v>
      </c>
      <c r="AG25" s="138">
        <f t="shared" si="41"/>
        <v>0.04</v>
      </c>
      <c r="AH25" s="138">
        <f t="shared" si="42"/>
        <v>0.04</v>
      </c>
      <c r="AI25" s="138">
        <f t="shared" si="43"/>
        <v>0.04</v>
      </c>
      <c r="AJ25" s="138">
        <f t="shared" si="44"/>
        <v>0.04</v>
      </c>
      <c r="AK25" s="138">
        <f t="shared" si="45"/>
        <v>0.04</v>
      </c>
      <c r="AL25" s="138">
        <f t="shared" si="46"/>
        <v>3.9999999999999994E-2</v>
      </c>
      <c r="AM25" s="138">
        <f t="shared" si="47"/>
        <v>4.0000000000000015E-2</v>
      </c>
      <c r="AO25" s="77" t="str">
        <f t="shared" si="4"/>
        <v>DS-2 (Small General Service)</v>
      </c>
      <c r="AP25" s="78" t="s">
        <v>664</v>
      </c>
      <c r="AQ25" s="77" t="str">
        <f t="shared" si="5"/>
        <v>Avg Base Uncollectible</v>
      </c>
      <c r="AR25" s="78" t="str">
        <f t="shared" si="6"/>
        <v>Billing Cycle</v>
      </c>
      <c r="AS25" s="79">
        <f t="shared" si="7"/>
        <v>6</v>
      </c>
      <c r="AT25" s="78">
        <f t="shared" si="8"/>
        <v>0</v>
      </c>
      <c r="AU25" s="78">
        <f t="shared" si="9"/>
        <v>0.04</v>
      </c>
      <c r="AV25" s="78">
        <f t="shared" si="10"/>
        <v>0.04</v>
      </c>
      <c r="AW25" s="78">
        <f t="shared" si="11"/>
        <v>0.04</v>
      </c>
      <c r="AX25" s="78">
        <f t="shared" si="12"/>
        <v>0.04</v>
      </c>
      <c r="AY25" s="78">
        <f t="shared" si="13"/>
        <v>0.04</v>
      </c>
      <c r="AZ25" s="78">
        <f t="shared" si="14"/>
        <v>0.04</v>
      </c>
      <c r="BA25" s="78">
        <f t="shared" si="15"/>
        <v>0.04</v>
      </c>
      <c r="BB25" s="78">
        <f t="shared" si="16"/>
        <v>0.04</v>
      </c>
      <c r="BC25" s="78">
        <f t="shared" si="17"/>
        <v>0.04</v>
      </c>
      <c r="BD25" s="78">
        <f t="shared" si="18"/>
        <v>0.04</v>
      </c>
      <c r="BE25" s="78">
        <f t="shared" si="19"/>
        <v>0.04</v>
      </c>
      <c r="BF25" s="78">
        <f t="shared" si="20"/>
        <v>0.04</v>
      </c>
      <c r="BG25" s="78">
        <f t="shared" si="21"/>
        <v>0.04</v>
      </c>
      <c r="BH25" s="78">
        <f t="shared" si="22"/>
        <v>0.04</v>
      </c>
      <c r="BI25" s="78">
        <f t="shared" si="23"/>
        <v>0.04</v>
      </c>
      <c r="BJ25" s="78">
        <f t="shared" si="24"/>
        <v>0.04</v>
      </c>
      <c r="BK25" s="78">
        <f t="shared" si="25"/>
        <v>0.04</v>
      </c>
      <c r="BL25" s="78">
        <f t="shared" si="26"/>
        <v>0.04</v>
      </c>
      <c r="BM25" s="78">
        <f t="shared" si="27"/>
        <v>0.04</v>
      </c>
      <c r="BN25" s="78">
        <f t="shared" si="28"/>
        <v>0.04</v>
      </c>
      <c r="BO25" s="78">
        <f t="shared" si="29"/>
        <v>0.04</v>
      </c>
      <c r="BP25" s="78">
        <f t="shared" si="30"/>
        <v>0.04</v>
      </c>
      <c r="BQ25" s="78">
        <f t="shared" si="31"/>
        <v>0.04</v>
      </c>
      <c r="BR25" s="78">
        <f t="shared" si="32"/>
        <v>0.04</v>
      </c>
      <c r="BS25" s="77"/>
      <c r="BT25" s="77"/>
    </row>
    <row r="26" spans="1:72" ht="14.1" customHeight="1" x14ac:dyDescent="0.2">
      <c r="A26" s="55" t="str">
        <f t="shared" si="2"/>
        <v>DS-3 (General Delivery Service)_Avg Base Uncollectible</v>
      </c>
      <c r="B26" s="80" t="s">
        <v>666</v>
      </c>
      <c r="C26" s="83" t="s">
        <v>661</v>
      </c>
      <c r="D26" s="150"/>
      <c r="E26" s="81"/>
      <c r="F26" s="73" t="s">
        <v>649</v>
      </c>
      <c r="G26" s="73">
        <v>0</v>
      </c>
      <c r="H26" s="73">
        <v>6</v>
      </c>
      <c r="I26" s="74" t="s">
        <v>641</v>
      </c>
      <c r="J26" s="75" t="s">
        <v>634</v>
      </c>
      <c r="K26" s="74"/>
      <c r="L26" s="82">
        <v>0.41</v>
      </c>
      <c r="M26" s="138">
        <v>0.04</v>
      </c>
      <c r="N26" s="138">
        <v>0.04</v>
      </c>
      <c r="O26" s="138">
        <v>0.04</v>
      </c>
      <c r="P26" s="138">
        <v>0.04</v>
      </c>
      <c r="Q26" s="138">
        <v>0.04</v>
      </c>
      <c r="R26" s="138">
        <v>0.04</v>
      </c>
      <c r="S26" s="138">
        <v>0.04</v>
      </c>
      <c r="T26" s="138">
        <v>0.04</v>
      </c>
      <c r="U26" s="138">
        <v>0.04</v>
      </c>
      <c r="V26" s="138">
        <v>0.04</v>
      </c>
      <c r="W26" s="138">
        <v>0.04</v>
      </c>
      <c r="X26" s="138">
        <v>0.04</v>
      </c>
      <c r="Y26" s="138">
        <f t="shared" si="33"/>
        <v>0.04</v>
      </c>
      <c r="Z26" s="138">
        <f t="shared" si="34"/>
        <v>0.04</v>
      </c>
      <c r="AA26" s="138">
        <f t="shared" si="35"/>
        <v>0.04</v>
      </c>
      <c r="AB26" s="138">
        <f t="shared" si="36"/>
        <v>0.04</v>
      </c>
      <c r="AC26" s="138">
        <f t="shared" si="37"/>
        <v>0.04</v>
      </c>
      <c r="AD26" s="138">
        <f t="shared" si="38"/>
        <v>0.04</v>
      </c>
      <c r="AE26" s="138">
        <f t="shared" si="39"/>
        <v>0.04</v>
      </c>
      <c r="AF26" s="138">
        <f t="shared" si="40"/>
        <v>0.04</v>
      </c>
      <c r="AG26" s="138">
        <f t="shared" si="41"/>
        <v>0.04</v>
      </c>
      <c r="AH26" s="138">
        <f t="shared" si="42"/>
        <v>0.04</v>
      </c>
      <c r="AI26" s="138">
        <f t="shared" si="43"/>
        <v>0.04</v>
      </c>
      <c r="AJ26" s="138">
        <f t="shared" si="44"/>
        <v>0.04</v>
      </c>
      <c r="AK26" s="138">
        <f t="shared" si="45"/>
        <v>0.04</v>
      </c>
      <c r="AL26" s="138">
        <f t="shared" si="46"/>
        <v>3.9999999999999994E-2</v>
      </c>
      <c r="AM26" s="138">
        <f t="shared" si="47"/>
        <v>4.0000000000000015E-2</v>
      </c>
      <c r="AO26" s="77" t="str">
        <f t="shared" si="4"/>
        <v>DS-3 (General Delivery Service)</v>
      </c>
      <c r="AP26" s="78" t="s">
        <v>667</v>
      </c>
      <c r="AQ26" s="77" t="str">
        <f t="shared" si="5"/>
        <v>Avg Base Uncollectible</v>
      </c>
      <c r="AR26" s="78" t="str">
        <f t="shared" si="6"/>
        <v>Billing Cycle</v>
      </c>
      <c r="AS26" s="79">
        <f t="shared" si="7"/>
        <v>6</v>
      </c>
      <c r="AT26" s="78">
        <f t="shared" si="8"/>
        <v>0</v>
      </c>
      <c r="AU26" s="78">
        <f t="shared" si="9"/>
        <v>0.04</v>
      </c>
      <c r="AV26" s="78">
        <f t="shared" si="10"/>
        <v>0.04</v>
      </c>
      <c r="AW26" s="78">
        <f t="shared" si="11"/>
        <v>0.04</v>
      </c>
      <c r="AX26" s="78">
        <f t="shared" si="12"/>
        <v>0.04</v>
      </c>
      <c r="AY26" s="78">
        <f t="shared" si="13"/>
        <v>0.04</v>
      </c>
      <c r="AZ26" s="78">
        <f t="shared" si="14"/>
        <v>0.04</v>
      </c>
      <c r="BA26" s="78">
        <f t="shared" si="15"/>
        <v>0.04</v>
      </c>
      <c r="BB26" s="78">
        <f t="shared" si="16"/>
        <v>0.04</v>
      </c>
      <c r="BC26" s="78">
        <f t="shared" si="17"/>
        <v>0.04</v>
      </c>
      <c r="BD26" s="78">
        <f t="shared" si="18"/>
        <v>0.04</v>
      </c>
      <c r="BE26" s="78">
        <f t="shared" si="19"/>
        <v>0.04</v>
      </c>
      <c r="BF26" s="78">
        <f t="shared" si="20"/>
        <v>0.04</v>
      </c>
      <c r="BG26" s="78">
        <f t="shared" si="21"/>
        <v>0.04</v>
      </c>
      <c r="BH26" s="78">
        <f t="shared" si="22"/>
        <v>0.04</v>
      </c>
      <c r="BI26" s="78">
        <f t="shared" si="23"/>
        <v>0.04</v>
      </c>
      <c r="BJ26" s="78">
        <f t="shared" si="24"/>
        <v>0.04</v>
      </c>
      <c r="BK26" s="78">
        <f t="shared" si="25"/>
        <v>0.04</v>
      </c>
      <c r="BL26" s="78">
        <f t="shared" si="26"/>
        <v>0.04</v>
      </c>
      <c r="BM26" s="78">
        <f t="shared" si="27"/>
        <v>0.04</v>
      </c>
      <c r="BN26" s="78">
        <f t="shared" si="28"/>
        <v>0.04</v>
      </c>
      <c r="BO26" s="78">
        <f t="shared" si="29"/>
        <v>0.04</v>
      </c>
      <c r="BP26" s="78">
        <f t="shared" si="30"/>
        <v>0.04</v>
      </c>
      <c r="BQ26" s="78">
        <f t="shared" si="31"/>
        <v>0.04</v>
      </c>
      <c r="BR26" s="78">
        <f t="shared" si="32"/>
        <v>0.04</v>
      </c>
      <c r="BS26" s="77"/>
      <c r="BT26" s="77"/>
    </row>
    <row r="27" spans="1:72" ht="14.1" customHeight="1" x14ac:dyDescent="0.2">
      <c r="A27" s="55" t="str">
        <f t="shared" si="2"/>
        <v>DS-4 (Large General Service)_Avg Base Uncollectible</v>
      </c>
      <c r="B27" s="80" t="s">
        <v>639</v>
      </c>
      <c r="C27" s="83" t="s">
        <v>661</v>
      </c>
      <c r="D27" s="150"/>
      <c r="E27" s="81"/>
      <c r="F27" s="73" t="s">
        <v>649</v>
      </c>
      <c r="G27" s="73">
        <v>0</v>
      </c>
      <c r="H27" s="73">
        <v>6</v>
      </c>
      <c r="I27" s="74" t="s">
        <v>641</v>
      </c>
      <c r="J27" s="75" t="s">
        <v>634</v>
      </c>
      <c r="K27" s="74"/>
      <c r="L27" s="82">
        <v>0.41</v>
      </c>
      <c r="M27" s="138">
        <v>0.04</v>
      </c>
      <c r="N27" s="138">
        <v>0.04</v>
      </c>
      <c r="O27" s="138">
        <v>0.04</v>
      </c>
      <c r="P27" s="138">
        <v>0.04</v>
      </c>
      <c r="Q27" s="138">
        <v>0.04</v>
      </c>
      <c r="R27" s="138">
        <v>0.04</v>
      </c>
      <c r="S27" s="138">
        <v>0.04</v>
      </c>
      <c r="T27" s="138">
        <v>0.04</v>
      </c>
      <c r="U27" s="138">
        <v>0.04</v>
      </c>
      <c r="V27" s="138">
        <v>0.04</v>
      </c>
      <c r="W27" s="138">
        <v>0.04</v>
      </c>
      <c r="X27" s="138">
        <v>0.04</v>
      </c>
      <c r="Y27" s="138">
        <f t="shared" si="33"/>
        <v>0.04</v>
      </c>
      <c r="Z27" s="138">
        <f t="shared" si="34"/>
        <v>0.04</v>
      </c>
      <c r="AA27" s="138">
        <f t="shared" si="35"/>
        <v>0.04</v>
      </c>
      <c r="AB27" s="138">
        <f t="shared" si="36"/>
        <v>0.04</v>
      </c>
      <c r="AC27" s="138">
        <f t="shared" si="37"/>
        <v>0.04</v>
      </c>
      <c r="AD27" s="138">
        <f t="shared" si="38"/>
        <v>0.04</v>
      </c>
      <c r="AE27" s="138">
        <f t="shared" si="39"/>
        <v>0.04</v>
      </c>
      <c r="AF27" s="138">
        <f t="shared" si="40"/>
        <v>0.04</v>
      </c>
      <c r="AG27" s="138">
        <f t="shared" si="41"/>
        <v>0.04</v>
      </c>
      <c r="AH27" s="138">
        <f t="shared" si="42"/>
        <v>0.04</v>
      </c>
      <c r="AI27" s="138">
        <f t="shared" si="43"/>
        <v>0.04</v>
      </c>
      <c r="AJ27" s="138">
        <f t="shared" si="44"/>
        <v>0.04</v>
      </c>
      <c r="AK27" s="138">
        <f t="shared" si="45"/>
        <v>0.04</v>
      </c>
      <c r="AL27" s="138">
        <f t="shared" si="46"/>
        <v>3.9999999999999994E-2</v>
      </c>
      <c r="AM27" s="138">
        <f t="shared" si="47"/>
        <v>4.0000000000000015E-2</v>
      </c>
      <c r="AO27" s="77" t="str">
        <f t="shared" si="4"/>
        <v>DS-4 (Large General Service)</v>
      </c>
      <c r="AP27" s="78" t="s">
        <v>642</v>
      </c>
      <c r="AQ27" s="77" t="str">
        <f t="shared" si="5"/>
        <v>Avg Base Uncollectible</v>
      </c>
      <c r="AR27" s="78" t="str">
        <f t="shared" si="6"/>
        <v>Billing Cycle</v>
      </c>
      <c r="AS27" s="79">
        <f t="shared" si="7"/>
        <v>6</v>
      </c>
      <c r="AT27" s="78">
        <f t="shared" si="8"/>
        <v>0</v>
      </c>
      <c r="AU27" s="78">
        <f t="shared" si="9"/>
        <v>0.04</v>
      </c>
      <c r="AV27" s="78">
        <f t="shared" si="10"/>
        <v>0.04</v>
      </c>
      <c r="AW27" s="78">
        <f t="shared" si="11"/>
        <v>0.04</v>
      </c>
      <c r="AX27" s="78">
        <f t="shared" si="12"/>
        <v>0.04</v>
      </c>
      <c r="AY27" s="78">
        <f t="shared" si="13"/>
        <v>0.04</v>
      </c>
      <c r="AZ27" s="78">
        <f t="shared" si="14"/>
        <v>0.04</v>
      </c>
      <c r="BA27" s="78">
        <f t="shared" si="15"/>
        <v>0.04</v>
      </c>
      <c r="BB27" s="78">
        <f t="shared" si="16"/>
        <v>0.04</v>
      </c>
      <c r="BC27" s="78">
        <f t="shared" si="17"/>
        <v>0.04</v>
      </c>
      <c r="BD27" s="78">
        <f t="shared" si="18"/>
        <v>0.04</v>
      </c>
      <c r="BE27" s="78">
        <f t="shared" si="19"/>
        <v>0.04</v>
      </c>
      <c r="BF27" s="78">
        <f t="shared" si="20"/>
        <v>0.04</v>
      </c>
      <c r="BG27" s="78">
        <f t="shared" si="21"/>
        <v>0.04</v>
      </c>
      <c r="BH27" s="78">
        <f t="shared" si="22"/>
        <v>0.04</v>
      </c>
      <c r="BI27" s="78">
        <f t="shared" si="23"/>
        <v>0.04</v>
      </c>
      <c r="BJ27" s="78">
        <f t="shared" si="24"/>
        <v>0.04</v>
      </c>
      <c r="BK27" s="78">
        <f t="shared" si="25"/>
        <v>0.04</v>
      </c>
      <c r="BL27" s="78">
        <f t="shared" si="26"/>
        <v>0.04</v>
      </c>
      <c r="BM27" s="78">
        <f t="shared" si="27"/>
        <v>0.04</v>
      </c>
      <c r="BN27" s="78">
        <f t="shared" si="28"/>
        <v>0.04</v>
      </c>
      <c r="BO27" s="78">
        <f t="shared" si="29"/>
        <v>0.04</v>
      </c>
      <c r="BP27" s="78">
        <f t="shared" si="30"/>
        <v>0.04</v>
      </c>
      <c r="BQ27" s="78">
        <f t="shared" si="31"/>
        <v>0.04</v>
      </c>
      <c r="BR27" s="78">
        <f t="shared" si="32"/>
        <v>0.04</v>
      </c>
      <c r="BS27" s="77"/>
      <c r="BT27" s="77"/>
    </row>
    <row r="28" spans="1:72" ht="14.1" customHeight="1" x14ac:dyDescent="0.2">
      <c r="A28" s="55" t="str">
        <f t="shared" si="2"/>
        <v>DS-6 (DS-3) Temp. Sensitive DS_Avg Base Uncollectible</v>
      </c>
      <c r="B28" s="80" t="s">
        <v>643</v>
      </c>
      <c r="C28" s="83" t="s">
        <v>661</v>
      </c>
      <c r="D28" s="150"/>
      <c r="E28" s="81"/>
      <c r="F28" s="73" t="s">
        <v>649</v>
      </c>
      <c r="G28" s="73">
        <v>0</v>
      </c>
      <c r="H28" s="73">
        <v>6</v>
      </c>
      <c r="I28" s="74" t="s">
        <v>641</v>
      </c>
      <c r="J28" s="75" t="s">
        <v>634</v>
      </c>
      <c r="K28" s="74"/>
      <c r="L28" s="82">
        <v>0.41</v>
      </c>
      <c r="M28" s="138">
        <v>0.04</v>
      </c>
      <c r="N28" s="138">
        <v>0.04</v>
      </c>
      <c r="O28" s="138">
        <v>0.04</v>
      </c>
      <c r="P28" s="138">
        <v>0.04</v>
      </c>
      <c r="Q28" s="138">
        <v>0.04</v>
      </c>
      <c r="R28" s="138">
        <v>0.04</v>
      </c>
      <c r="S28" s="138">
        <v>0.04</v>
      </c>
      <c r="T28" s="138">
        <v>0.04</v>
      </c>
      <c r="U28" s="138">
        <v>0.04</v>
      </c>
      <c r="V28" s="138">
        <v>0.04</v>
      </c>
      <c r="W28" s="138">
        <v>0.04</v>
      </c>
      <c r="X28" s="138">
        <v>0.04</v>
      </c>
      <c r="Y28" s="138">
        <f t="shared" si="33"/>
        <v>0.04</v>
      </c>
      <c r="Z28" s="138">
        <f t="shared" si="34"/>
        <v>0.04</v>
      </c>
      <c r="AA28" s="138">
        <f t="shared" si="35"/>
        <v>0.04</v>
      </c>
      <c r="AB28" s="138">
        <f t="shared" si="36"/>
        <v>0.04</v>
      </c>
      <c r="AC28" s="138">
        <f t="shared" si="37"/>
        <v>0.04</v>
      </c>
      <c r="AD28" s="138">
        <f t="shared" si="38"/>
        <v>0.04</v>
      </c>
      <c r="AE28" s="138">
        <f t="shared" si="39"/>
        <v>0.04</v>
      </c>
      <c r="AF28" s="138">
        <f t="shared" si="40"/>
        <v>0.04</v>
      </c>
      <c r="AG28" s="138">
        <f t="shared" si="41"/>
        <v>0.04</v>
      </c>
      <c r="AH28" s="138">
        <f t="shared" si="42"/>
        <v>0.04</v>
      </c>
      <c r="AI28" s="138">
        <f t="shared" si="43"/>
        <v>0.04</v>
      </c>
      <c r="AJ28" s="138">
        <f t="shared" si="44"/>
        <v>0.04</v>
      </c>
      <c r="AK28" s="138">
        <f t="shared" si="45"/>
        <v>0.04</v>
      </c>
      <c r="AL28" s="138">
        <f t="shared" si="46"/>
        <v>3.9999999999999994E-2</v>
      </c>
      <c r="AM28" s="138">
        <f t="shared" si="47"/>
        <v>4.0000000000000015E-2</v>
      </c>
      <c r="AO28" s="77" t="str">
        <f t="shared" si="4"/>
        <v>DS-6 (DS-3) Temp. Sensitive DS</v>
      </c>
      <c r="AP28" s="78" t="s">
        <v>644</v>
      </c>
      <c r="AQ28" s="77" t="str">
        <f t="shared" si="5"/>
        <v>Avg Base Uncollectible</v>
      </c>
      <c r="AR28" s="78" t="str">
        <f t="shared" si="6"/>
        <v>Billing Cycle</v>
      </c>
      <c r="AS28" s="79">
        <f t="shared" si="7"/>
        <v>6</v>
      </c>
      <c r="AT28" s="78">
        <f t="shared" si="8"/>
        <v>0</v>
      </c>
      <c r="AU28" s="78">
        <f t="shared" si="9"/>
        <v>0.04</v>
      </c>
      <c r="AV28" s="78">
        <f t="shared" si="10"/>
        <v>0.04</v>
      </c>
      <c r="AW28" s="78">
        <f t="shared" si="11"/>
        <v>0.04</v>
      </c>
      <c r="AX28" s="78">
        <f t="shared" si="12"/>
        <v>0.04</v>
      </c>
      <c r="AY28" s="78">
        <f t="shared" si="13"/>
        <v>0.04</v>
      </c>
      <c r="AZ28" s="78">
        <f t="shared" si="14"/>
        <v>0.04</v>
      </c>
      <c r="BA28" s="78">
        <f t="shared" si="15"/>
        <v>0.04</v>
      </c>
      <c r="BB28" s="78">
        <f t="shared" si="16"/>
        <v>0.04</v>
      </c>
      <c r="BC28" s="78">
        <f t="shared" si="17"/>
        <v>0.04</v>
      </c>
      <c r="BD28" s="78">
        <f t="shared" si="18"/>
        <v>0.04</v>
      </c>
      <c r="BE28" s="78">
        <f t="shared" si="19"/>
        <v>0.04</v>
      </c>
      <c r="BF28" s="78">
        <f t="shared" si="20"/>
        <v>0.04</v>
      </c>
      <c r="BG28" s="78">
        <f t="shared" si="21"/>
        <v>0.04</v>
      </c>
      <c r="BH28" s="78">
        <f t="shared" si="22"/>
        <v>0.04</v>
      </c>
      <c r="BI28" s="78">
        <f t="shared" si="23"/>
        <v>0.04</v>
      </c>
      <c r="BJ28" s="78">
        <f t="shared" si="24"/>
        <v>0.04</v>
      </c>
      <c r="BK28" s="78">
        <f t="shared" si="25"/>
        <v>0.04</v>
      </c>
      <c r="BL28" s="78">
        <f t="shared" si="26"/>
        <v>0.04</v>
      </c>
      <c r="BM28" s="78">
        <f t="shared" si="27"/>
        <v>0.04</v>
      </c>
      <c r="BN28" s="78">
        <f t="shared" si="28"/>
        <v>0.04</v>
      </c>
      <c r="BO28" s="78">
        <f t="shared" si="29"/>
        <v>0.04</v>
      </c>
      <c r="BP28" s="78">
        <f t="shared" si="30"/>
        <v>0.04</v>
      </c>
      <c r="BQ28" s="78">
        <f t="shared" si="31"/>
        <v>0.04</v>
      </c>
      <c r="BR28" s="78">
        <f t="shared" si="32"/>
        <v>0.04</v>
      </c>
      <c r="BS28" s="77"/>
      <c r="BT28" s="77"/>
    </row>
    <row r="29" spans="1:72" ht="14.1" customHeight="1" x14ac:dyDescent="0.2">
      <c r="A29" s="55" t="str">
        <f t="shared" si="2"/>
        <v>DS-6 (DS-4) Temp. Sensitive DS_Avg Base Uncollectible</v>
      </c>
      <c r="B29" s="80" t="s">
        <v>645</v>
      </c>
      <c r="C29" s="83" t="s">
        <v>661</v>
      </c>
      <c r="D29" s="150"/>
      <c r="E29" s="81"/>
      <c r="F29" s="73" t="s">
        <v>649</v>
      </c>
      <c r="G29" s="73">
        <v>0</v>
      </c>
      <c r="H29" s="73">
        <v>6</v>
      </c>
      <c r="I29" s="74" t="s">
        <v>641</v>
      </c>
      <c r="J29" s="75" t="s">
        <v>634</v>
      </c>
      <c r="K29" s="74"/>
      <c r="L29" s="82">
        <v>0.41</v>
      </c>
      <c r="M29" s="138">
        <v>0.04</v>
      </c>
      <c r="N29" s="138">
        <v>0.04</v>
      </c>
      <c r="O29" s="138">
        <v>0.04</v>
      </c>
      <c r="P29" s="138">
        <v>0.04</v>
      </c>
      <c r="Q29" s="138">
        <v>0.04</v>
      </c>
      <c r="R29" s="138">
        <v>0.04</v>
      </c>
      <c r="S29" s="138">
        <v>0.04</v>
      </c>
      <c r="T29" s="138">
        <v>0.04</v>
      </c>
      <c r="U29" s="138">
        <v>0.04</v>
      </c>
      <c r="V29" s="138">
        <v>0.04</v>
      </c>
      <c r="W29" s="138">
        <v>0.04</v>
      </c>
      <c r="X29" s="138">
        <v>0.04</v>
      </c>
      <c r="Y29" s="138">
        <f t="shared" si="33"/>
        <v>0.04</v>
      </c>
      <c r="Z29" s="138">
        <f t="shared" si="34"/>
        <v>0.04</v>
      </c>
      <c r="AA29" s="138">
        <f t="shared" si="35"/>
        <v>0.04</v>
      </c>
      <c r="AB29" s="138">
        <f t="shared" si="36"/>
        <v>0.04</v>
      </c>
      <c r="AC29" s="138">
        <f t="shared" si="37"/>
        <v>0.04</v>
      </c>
      <c r="AD29" s="138">
        <f t="shared" si="38"/>
        <v>0.04</v>
      </c>
      <c r="AE29" s="138">
        <f t="shared" si="39"/>
        <v>0.04</v>
      </c>
      <c r="AF29" s="138">
        <f t="shared" si="40"/>
        <v>0.04</v>
      </c>
      <c r="AG29" s="138">
        <f t="shared" si="41"/>
        <v>0.04</v>
      </c>
      <c r="AH29" s="138">
        <f t="shared" si="42"/>
        <v>0.04</v>
      </c>
      <c r="AI29" s="138">
        <f t="shared" si="43"/>
        <v>0.04</v>
      </c>
      <c r="AJ29" s="138">
        <f t="shared" si="44"/>
        <v>0.04</v>
      </c>
      <c r="AK29" s="138">
        <f t="shared" si="45"/>
        <v>0.04</v>
      </c>
      <c r="AL29" s="138">
        <f t="shared" si="46"/>
        <v>3.9999999999999994E-2</v>
      </c>
      <c r="AM29" s="138">
        <f t="shared" si="47"/>
        <v>4.0000000000000015E-2</v>
      </c>
      <c r="AO29" s="77" t="str">
        <f t="shared" si="4"/>
        <v>DS-6 (DS-4) Temp. Sensitive DS</v>
      </c>
      <c r="AP29" s="78" t="s">
        <v>646</v>
      </c>
      <c r="AQ29" s="77" t="str">
        <f t="shared" si="5"/>
        <v>Avg Base Uncollectible</v>
      </c>
      <c r="AR29" s="78" t="str">
        <f t="shared" si="6"/>
        <v>Billing Cycle</v>
      </c>
      <c r="AS29" s="79">
        <f t="shared" si="7"/>
        <v>6</v>
      </c>
      <c r="AT29" s="78">
        <f t="shared" si="8"/>
        <v>0</v>
      </c>
      <c r="AU29" s="78">
        <f t="shared" si="9"/>
        <v>0.04</v>
      </c>
      <c r="AV29" s="78">
        <f t="shared" si="10"/>
        <v>0.04</v>
      </c>
      <c r="AW29" s="78">
        <f t="shared" si="11"/>
        <v>0.04</v>
      </c>
      <c r="AX29" s="78">
        <f t="shared" si="12"/>
        <v>0.04</v>
      </c>
      <c r="AY29" s="78">
        <f t="shared" si="13"/>
        <v>0.04</v>
      </c>
      <c r="AZ29" s="78">
        <f t="shared" si="14"/>
        <v>0.04</v>
      </c>
      <c r="BA29" s="78">
        <f t="shared" si="15"/>
        <v>0.04</v>
      </c>
      <c r="BB29" s="78">
        <f t="shared" si="16"/>
        <v>0.04</v>
      </c>
      <c r="BC29" s="78">
        <f t="shared" si="17"/>
        <v>0.04</v>
      </c>
      <c r="BD29" s="78">
        <f t="shared" si="18"/>
        <v>0.04</v>
      </c>
      <c r="BE29" s="78">
        <f t="shared" si="19"/>
        <v>0.04</v>
      </c>
      <c r="BF29" s="78">
        <f t="shared" si="20"/>
        <v>0.04</v>
      </c>
      <c r="BG29" s="78">
        <f t="shared" si="21"/>
        <v>0.04</v>
      </c>
      <c r="BH29" s="78">
        <f t="shared" si="22"/>
        <v>0.04</v>
      </c>
      <c r="BI29" s="78">
        <f t="shared" si="23"/>
        <v>0.04</v>
      </c>
      <c r="BJ29" s="78">
        <f t="shared" si="24"/>
        <v>0.04</v>
      </c>
      <c r="BK29" s="78">
        <f t="shared" si="25"/>
        <v>0.04</v>
      </c>
      <c r="BL29" s="78">
        <f t="shared" si="26"/>
        <v>0.04</v>
      </c>
      <c r="BM29" s="78">
        <f t="shared" si="27"/>
        <v>0.04</v>
      </c>
      <c r="BN29" s="78">
        <f t="shared" si="28"/>
        <v>0.04</v>
      </c>
      <c r="BO29" s="78">
        <f t="shared" si="29"/>
        <v>0.04</v>
      </c>
      <c r="BP29" s="78">
        <f t="shared" si="30"/>
        <v>0.04</v>
      </c>
      <c r="BQ29" s="78">
        <f t="shared" si="31"/>
        <v>0.04</v>
      </c>
      <c r="BR29" s="78">
        <f t="shared" si="32"/>
        <v>0.04</v>
      </c>
      <c r="BS29" s="77"/>
      <c r="BT29" s="77"/>
    </row>
    <row r="30" spans="1:72" ht="14.1" customHeight="1" x14ac:dyDescent="0.2">
      <c r="A30" s="55" t="str">
        <f t="shared" si="2"/>
        <v>GDS-1 (Residential)_Avg Base Uncollectible</v>
      </c>
      <c r="B30" s="80" t="s">
        <v>95</v>
      </c>
      <c r="C30" s="83" t="s">
        <v>661</v>
      </c>
      <c r="D30" s="150" t="s">
        <v>557</v>
      </c>
      <c r="E30" s="81"/>
      <c r="F30" s="73" t="s">
        <v>649</v>
      </c>
      <c r="G30" s="73">
        <v>0</v>
      </c>
      <c r="H30" s="73">
        <v>6</v>
      </c>
      <c r="I30" s="74" t="s">
        <v>641</v>
      </c>
      <c r="J30" s="75" t="s">
        <v>634</v>
      </c>
      <c r="K30" s="74"/>
      <c r="L30" s="82">
        <v>0.4</v>
      </c>
      <c r="M30" s="138">
        <v>0.4</v>
      </c>
      <c r="N30" s="138">
        <v>0.4</v>
      </c>
      <c r="O30" s="138">
        <v>0.4</v>
      </c>
      <c r="P30" s="138">
        <v>0.4</v>
      </c>
      <c r="Q30" s="138">
        <v>0.4</v>
      </c>
      <c r="R30" s="138">
        <v>0.4</v>
      </c>
      <c r="S30" s="138">
        <v>0.4</v>
      </c>
      <c r="T30" s="138">
        <v>0.4</v>
      </c>
      <c r="U30" s="138">
        <v>0.4</v>
      </c>
      <c r="V30" s="138">
        <v>0.4</v>
      </c>
      <c r="W30" s="138">
        <v>0.4</v>
      </c>
      <c r="X30" s="138">
        <v>0.4</v>
      </c>
      <c r="Y30" s="138">
        <f t="shared" si="33"/>
        <v>0.4</v>
      </c>
      <c r="Z30" s="138">
        <f t="shared" si="34"/>
        <v>0.4</v>
      </c>
      <c r="AA30" s="138">
        <f t="shared" si="35"/>
        <v>0.4</v>
      </c>
      <c r="AB30" s="138">
        <f t="shared" si="36"/>
        <v>0.4</v>
      </c>
      <c r="AC30" s="138">
        <f t="shared" si="37"/>
        <v>0.4</v>
      </c>
      <c r="AD30" s="138">
        <f t="shared" si="38"/>
        <v>0.4</v>
      </c>
      <c r="AE30" s="138">
        <f t="shared" si="39"/>
        <v>0.4</v>
      </c>
      <c r="AF30" s="138">
        <f t="shared" si="40"/>
        <v>0.4</v>
      </c>
      <c r="AG30" s="138">
        <f t="shared" si="41"/>
        <v>0.4</v>
      </c>
      <c r="AH30" s="138">
        <f t="shared" si="42"/>
        <v>0.4</v>
      </c>
      <c r="AI30" s="138">
        <f t="shared" si="43"/>
        <v>0.4</v>
      </c>
      <c r="AJ30" s="138">
        <f t="shared" si="44"/>
        <v>0.4</v>
      </c>
      <c r="AK30" s="138">
        <f t="shared" si="45"/>
        <v>0.4</v>
      </c>
      <c r="AL30" s="138">
        <f t="shared" si="46"/>
        <v>0.39999999999999997</v>
      </c>
      <c r="AM30" s="138">
        <f t="shared" si="47"/>
        <v>0.40000000000000013</v>
      </c>
      <c r="AO30" s="77" t="str">
        <f t="shared" si="4"/>
        <v>GDS-1 (Residential)</v>
      </c>
      <c r="AP30" s="78" t="s">
        <v>668</v>
      </c>
      <c r="AQ30" s="77" t="str">
        <f t="shared" si="5"/>
        <v>Avg Base Uncollectible</v>
      </c>
      <c r="AR30" s="78" t="str">
        <f t="shared" si="6"/>
        <v>Billing Cycle</v>
      </c>
      <c r="AS30" s="79">
        <f t="shared" si="7"/>
        <v>6</v>
      </c>
      <c r="AT30" s="78">
        <f t="shared" si="8"/>
        <v>0</v>
      </c>
      <c r="AU30" s="78">
        <f t="shared" si="9"/>
        <v>0.4</v>
      </c>
      <c r="AV30" s="78">
        <f t="shared" si="10"/>
        <v>0.4</v>
      </c>
      <c r="AW30" s="78">
        <f t="shared" si="11"/>
        <v>0.4</v>
      </c>
      <c r="AX30" s="78">
        <f t="shared" si="12"/>
        <v>0.4</v>
      </c>
      <c r="AY30" s="78">
        <f t="shared" si="13"/>
        <v>0.4</v>
      </c>
      <c r="AZ30" s="78">
        <f t="shared" si="14"/>
        <v>0.4</v>
      </c>
      <c r="BA30" s="78">
        <f t="shared" si="15"/>
        <v>0.4</v>
      </c>
      <c r="BB30" s="78">
        <f t="shared" si="16"/>
        <v>0.4</v>
      </c>
      <c r="BC30" s="78">
        <f t="shared" si="17"/>
        <v>0.4</v>
      </c>
      <c r="BD30" s="78">
        <f t="shared" si="18"/>
        <v>0.4</v>
      </c>
      <c r="BE30" s="78">
        <f t="shared" si="19"/>
        <v>0.4</v>
      </c>
      <c r="BF30" s="78">
        <f t="shared" si="20"/>
        <v>0.4</v>
      </c>
      <c r="BG30" s="78">
        <f t="shared" si="21"/>
        <v>0.4</v>
      </c>
      <c r="BH30" s="78">
        <f t="shared" si="22"/>
        <v>0.4</v>
      </c>
      <c r="BI30" s="78">
        <f t="shared" si="23"/>
        <v>0.4</v>
      </c>
      <c r="BJ30" s="78">
        <f t="shared" si="24"/>
        <v>0.4</v>
      </c>
      <c r="BK30" s="78">
        <f t="shared" si="25"/>
        <v>0.4</v>
      </c>
      <c r="BL30" s="78">
        <f t="shared" si="26"/>
        <v>0.4</v>
      </c>
      <c r="BM30" s="78">
        <f t="shared" si="27"/>
        <v>0.4</v>
      </c>
      <c r="BN30" s="78">
        <f t="shared" si="28"/>
        <v>0.4</v>
      </c>
      <c r="BO30" s="78">
        <f t="shared" si="29"/>
        <v>0.4</v>
      </c>
      <c r="BP30" s="78">
        <f t="shared" si="30"/>
        <v>0.4</v>
      </c>
      <c r="BQ30" s="78">
        <f t="shared" si="31"/>
        <v>0.4</v>
      </c>
      <c r="BR30" s="78">
        <f t="shared" si="32"/>
        <v>0.4</v>
      </c>
      <c r="BS30" s="77"/>
      <c r="BT30" s="77"/>
    </row>
    <row r="31" spans="1:72" ht="14.1" customHeight="1" x14ac:dyDescent="0.2">
      <c r="A31" s="55" t="str">
        <f t="shared" si="2"/>
        <v>GDS-2 (Small General Delivery)_Avg Base Uncollectible</v>
      </c>
      <c r="B31" s="80" t="s">
        <v>669</v>
      </c>
      <c r="C31" s="83" t="s">
        <v>661</v>
      </c>
      <c r="D31" s="150"/>
      <c r="E31" s="81"/>
      <c r="F31" s="73" t="s">
        <v>649</v>
      </c>
      <c r="G31" s="73">
        <v>0</v>
      </c>
      <c r="H31" s="73">
        <v>6</v>
      </c>
      <c r="I31" s="74" t="s">
        <v>641</v>
      </c>
      <c r="J31" s="75" t="s">
        <v>634</v>
      </c>
      <c r="K31" s="74"/>
      <c r="L31" s="82">
        <v>0.16</v>
      </c>
      <c r="M31" s="138">
        <v>0.16</v>
      </c>
      <c r="N31" s="138">
        <v>0.16</v>
      </c>
      <c r="O31" s="138">
        <v>0.16</v>
      </c>
      <c r="P31" s="138">
        <v>0.16</v>
      </c>
      <c r="Q31" s="138">
        <v>0.16</v>
      </c>
      <c r="R31" s="138">
        <v>0.16</v>
      </c>
      <c r="S31" s="138">
        <v>0.16</v>
      </c>
      <c r="T31" s="138">
        <v>0.16</v>
      </c>
      <c r="U31" s="138">
        <v>0.16</v>
      </c>
      <c r="V31" s="138">
        <v>0.16</v>
      </c>
      <c r="W31" s="138">
        <v>0.16</v>
      </c>
      <c r="X31" s="138">
        <v>0.16</v>
      </c>
      <c r="Y31" s="138">
        <f t="shared" si="33"/>
        <v>0.16</v>
      </c>
      <c r="Z31" s="138">
        <f t="shared" si="34"/>
        <v>0.16</v>
      </c>
      <c r="AA31" s="138">
        <f t="shared" si="35"/>
        <v>0.16</v>
      </c>
      <c r="AB31" s="138">
        <f t="shared" si="36"/>
        <v>0.16</v>
      </c>
      <c r="AC31" s="138">
        <f t="shared" si="37"/>
        <v>0.16</v>
      </c>
      <c r="AD31" s="138">
        <f t="shared" si="38"/>
        <v>0.16</v>
      </c>
      <c r="AE31" s="138">
        <f t="shared" si="39"/>
        <v>0.16</v>
      </c>
      <c r="AF31" s="138">
        <f t="shared" si="40"/>
        <v>0.16</v>
      </c>
      <c r="AG31" s="138">
        <f t="shared" si="41"/>
        <v>0.16</v>
      </c>
      <c r="AH31" s="138">
        <f t="shared" si="42"/>
        <v>0.16</v>
      </c>
      <c r="AI31" s="138">
        <f t="shared" si="43"/>
        <v>0.16</v>
      </c>
      <c r="AJ31" s="138">
        <f t="shared" si="44"/>
        <v>0.16</v>
      </c>
      <c r="AK31" s="138">
        <f t="shared" si="45"/>
        <v>0.16</v>
      </c>
      <c r="AL31" s="138">
        <f t="shared" si="46"/>
        <v>0.15999999999999998</v>
      </c>
      <c r="AM31" s="138">
        <f t="shared" si="47"/>
        <v>0.16000000000000006</v>
      </c>
      <c r="AO31" s="77" t="str">
        <f t="shared" si="4"/>
        <v>GDS-2 (Small General Delivery)</v>
      </c>
      <c r="AP31" s="78" t="s">
        <v>670</v>
      </c>
      <c r="AQ31" s="77" t="str">
        <f t="shared" si="5"/>
        <v>Avg Base Uncollectible</v>
      </c>
      <c r="AR31" s="78" t="str">
        <f t="shared" si="6"/>
        <v>Billing Cycle</v>
      </c>
      <c r="AS31" s="79">
        <f t="shared" si="7"/>
        <v>6</v>
      </c>
      <c r="AT31" s="78">
        <f t="shared" si="8"/>
        <v>0</v>
      </c>
      <c r="AU31" s="78">
        <f t="shared" si="9"/>
        <v>0.16</v>
      </c>
      <c r="AV31" s="78">
        <f t="shared" si="10"/>
        <v>0.16</v>
      </c>
      <c r="AW31" s="78">
        <f t="shared" si="11"/>
        <v>0.16</v>
      </c>
      <c r="AX31" s="78">
        <f t="shared" si="12"/>
        <v>0.16</v>
      </c>
      <c r="AY31" s="78">
        <f t="shared" si="13"/>
        <v>0.16</v>
      </c>
      <c r="AZ31" s="78">
        <f t="shared" si="14"/>
        <v>0.16</v>
      </c>
      <c r="BA31" s="78">
        <f t="shared" si="15"/>
        <v>0.16</v>
      </c>
      <c r="BB31" s="78">
        <f t="shared" si="16"/>
        <v>0.16</v>
      </c>
      <c r="BC31" s="78">
        <f t="shared" si="17"/>
        <v>0.16</v>
      </c>
      <c r="BD31" s="78">
        <f t="shared" si="18"/>
        <v>0.16</v>
      </c>
      <c r="BE31" s="78">
        <f t="shared" si="19"/>
        <v>0.16</v>
      </c>
      <c r="BF31" s="78">
        <f t="shared" si="20"/>
        <v>0.16</v>
      </c>
      <c r="BG31" s="78">
        <f t="shared" si="21"/>
        <v>0.16</v>
      </c>
      <c r="BH31" s="78">
        <f t="shared" si="22"/>
        <v>0.16</v>
      </c>
      <c r="BI31" s="78">
        <f t="shared" si="23"/>
        <v>0.16</v>
      </c>
      <c r="BJ31" s="78">
        <f t="shared" si="24"/>
        <v>0.16</v>
      </c>
      <c r="BK31" s="78">
        <f t="shared" si="25"/>
        <v>0.16</v>
      </c>
      <c r="BL31" s="78">
        <f t="shared" si="26"/>
        <v>0.16</v>
      </c>
      <c r="BM31" s="78">
        <f t="shared" si="27"/>
        <v>0.16</v>
      </c>
      <c r="BN31" s="78">
        <f t="shared" si="28"/>
        <v>0.16</v>
      </c>
      <c r="BO31" s="78">
        <f t="shared" si="29"/>
        <v>0.16</v>
      </c>
      <c r="BP31" s="78">
        <f t="shared" si="30"/>
        <v>0.16</v>
      </c>
      <c r="BQ31" s="78">
        <f t="shared" si="31"/>
        <v>0.16</v>
      </c>
      <c r="BR31" s="78">
        <f t="shared" si="32"/>
        <v>0.16</v>
      </c>
      <c r="BS31" s="77"/>
      <c r="BT31" s="77"/>
    </row>
    <row r="32" spans="1:72" ht="14.1" customHeight="1" x14ac:dyDescent="0.2">
      <c r="A32" s="55" t="str">
        <f t="shared" si="2"/>
        <v>GDS-3 (Intermediate General Delivery)_Avg Base Uncollectible</v>
      </c>
      <c r="B32" s="80" t="s">
        <v>671</v>
      </c>
      <c r="C32" s="83" t="s">
        <v>661</v>
      </c>
      <c r="D32" s="150"/>
      <c r="E32" s="81"/>
      <c r="F32" s="73" t="s">
        <v>649</v>
      </c>
      <c r="G32" s="73">
        <v>0</v>
      </c>
      <c r="H32" s="73">
        <v>6</v>
      </c>
      <c r="I32" s="74" t="s">
        <v>641</v>
      </c>
      <c r="J32" s="75" t="s">
        <v>634</v>
      </c>
      <c r="K32" s="74"/>
      <c r="L32" s="82">
        <v>0.16</v>
      </c>
      <c r="M32" s="138">
        <v>0.16</v>
      </c>
      <c r="N32" s="138">
        <v>0.16</v>
      </c>
      <c r="O32" s="138">
        <v>0.16</v>
      </c>
      <c r="P32" s="138">
        <v>0.16</v>
      </c>
      <c r="Q32" s="138">
        <v>0.16</v>
      </c>
      <c r="R32" s="138">
        <v>0.16</v>
      </c>
      <c r="S32" s="138">
        <v>0.16</v>
      </c>
      <c r="T32" s="138">
        <v>0.16</v>
      </c>
      <c r="U32" s="138">
        <v>0.16</v>
      </c>
      <c r="V32" s="138">
        <v>0.16</v>
      </c>
      <c r="W32" s="138">
        <v>0.16</v>
      </c>
      <c r="X32" s="138">
        <v>0.16</v>
      </c>
      <c r="Y32" s="138">
        <f t="shared" si="33"/>
        <v>0.16</v>
      </c>
      <c r="Z32" s="138">
        <f t="shared" si="34"/>
        <v>0.16</v>
      </c>
      <c r="AA32" s="138">
        <f t="shared" si="35"/>
        <v>0.16</v>
      </c>
      <c r="AB32" s="138">
        <f t="shared" si="36"/>
        <v>0.16</v>
      </c>
      <c r="AC32" s="138">
        <f t="shared" si="37"/>
        <v>0.16</v>
      </c>
      <c r="AD32" s="138">
        <f t="shared" si="38"/>
        <v>0.16</v>
      </c>
      <c r="AE32" s="138">
        <f t="shared" si="39"/>
        <v>0.16</v>
      </c>
      <c r="AF32" s="138">
        <f t="shared" si="40"/>
        <v>0.16</v>
      </c>
      <c r="AG32" s="138">
        <f t="shared" si="41"/>
        <v>0.16</v>
      </c>
      <c r="AH32" s="138">
        <f t="shared" si="42"/>
        <v>0.16</v>
      </c>
      <c r="AI32" s="138">
        <f t="shared" si="43"/>
        <v>0.16</v>
      </c>
      <c r="AJ32" s="138">
        <f t="shared" si="44"/>
        <v>0.16</v>
      </c>
      <c r="AK32" s="138">
        <f t="shared" si="45"/>
        <v>0.16</v>
      </c>
      <c r="AL32" s="138">
        <f t="shared" si="46"/>
        <v>0.15999999999999998</v>
      </c>
      <c r="AM32" s="138">
        <f t="shared" si="47"/>
        <v>0.16000000000000006</v>
      </c>
      <c r="AO32" s="77" t="str">
        <f t="shared" si="4"/>
        <v>GDS-3 (Intermediate General Delivery)</v>
      </c>
      <c r="AP32" s="78" t="s">
        <v>672</v>
      </c>
      <c r="AQ32" s="77" t="str">
        <f t="shared" si="5"/>
        <v>Avg Base Uncollectible</v>
      </c>
      <c r="AR32" s="78" t="str">
        <f t="shared" si="6"/>
        <v>Billing Cycle</v>
      </c>
      <c r="AS32" s="79">
        <f t="shared" si="7"/>
        <v>6</v>
      </c>
      <c r="AT32" s="78">
        <f t="shared" si="8"/>
        <v>0</v>
      </c>
      <c r="AU32" s="78">
        <f t="shared" si="9"/>
        <v>0.16</v>
      </c>
      <c r="AV32" s="78">
        <f t="shared" si="10"/>
        <v>0.16</v>
      </c>
      <c r="AW32" s="78">
        <f t="shared" si="11"/>
        <v>0.16</v>
      </c>
      <c r="AX32" s="78">
        <f t="shared" si="12"/>
        <v>0.16</v>
      </c>
      <c r="AY32" s="78">
        <f t="shared" si="13"/>
        <v>0.16</v>
      </c>
      <c r="AZ32" s="78">
        <f t="shared" si="14"/>
        <v>0.16</v>
      </c>
      <c r="BA32" s="78">
        <f t="shared" si="15"/>
        <v>0.16</v>
      </c>
      <c r="BB32" s="78">
        <f t="shared" si="16"/>
        <v>0.16</v>
      </c>
      <c r="BC32" s="78">
        <f t="shared" si="17"/>
        <v>0.16</v>
      </c>
      <c r="BD32" s="78">
        <f t="shared" si="18"/>
        <v>0.16</v>
      </c>
      <c r="BE32" s="78">
        <f t="shared" si="19"/>
        <v>0.16</v>
      </c>
      <c r="BF32" s="78">
        <f t="shared" si="20"/>
        <v>0.16</v>
      </c>
      <c r="BG32" s="78">
        <f t="shared" si="21"/>
        <v>0.16</v>
      </c>
      <c r="BH32" s="78">
        <f t="shared" si="22"/>
        <v>0.16</v>
      </c>
      <c r="BI32" s="78">
        <f t="shared" si="23"/>
        <v>0.16</v>
      </c>
      <c r="BJ32" s="78">
        <f t="shared" si="24"/>
        <v>0.16</v>
      </c>
      <c r="BK32" s="78">
        <f t="shared" si="25"/>
        <v>0.16</v>
      </c>
      <c r="BL32" s="78">
        <f t="shared" si="26"/>
        <v>0.16</v>
      </c>
      <c r="BM32" s="78">
        <f t="shared" si="27"/>
        <v>0.16</v>
      </c>
      <c r="BN32" s="78">
        <f t="shared" si="28"/>
        <v>0.16</v>
      </c>
      <c r="BO32" s="78">
        <f t="shared" si="29"/>
        <v>0.16</v>
      </c>
      <c r="BP32" s="78">
        <f t="shared" si="30"/>
        <v>0.16</v>
      </c>
      <c r="BQ32" s="78">
        <f t="shared" si="31"/>
        <v>0.16</v>
      </c>
      <c r="BR32" s="78">
        <f t="shared" si="32"/>
        <v>0.16</v>
      </c>
      <c r="BS32" s="77"/>
      <c r="BT32" s="77"/>
    </row>
    <row r="33" spans="1:72" ht="14.1" customHeight="1" x14ac:dyDescent="0.2">
      <c r="A33" s="55" t="str">
        <f t="shared" si="2"/>
        <v>GDS-4 (Large General Delivery)_Avg Base Uncollectible</v>
      </c>
      <c r="B33" s="80" t="s">
        <v>673</v>
      </c>
      <c r="C33" s="83" t="s">
        <v>661</v>
      </c>
      <c r="D33" s="150"/>
      <c r="E33" s="81"/>
      <c r="F33" s="73" t="s">
        <v>649</v>
      </c>
      <c r="G33" s="73">
        <v>0</v>
      </c>
      <c r="H33" s="73">
        <v>6</v>
      </c>
      <c r="I33" s="74" t="s">
        <v>641</v>
      </c>
      <c r="J33" s="75" t="s">
        <v>634</v>
      </c>
      <c r="K33" s="74"/>
      <c r="L33" s="82">
        <v>0.16</v>
      </c>
      <c r="M33" s="138">
        <v>0.16</v>
      </c>
      <c r="N33" s="138">
        <v>0.16</v>
      </c>
      <c r="O33" s="138">
        <v>0.16</v>
      </c>
      <c r="P33" s="138">
        <v>0.16</v>
      </c>
      <c r="Q33" s="138">
        <v>0.16</v>
      </c>
      <c r="R33" s="138">
        <v>0.16</v>
      </c>
      <c r="S33" s="138">
        <v>0.16</v>
      </c>
      <c r="T33" s="138">
        <v>0.16</v>
      </c>
      <c r="U33" s="138">
        <v>0.16</v>
      </c>
      <c r="V33" s="138">
        <v>0.16</v>
      </c>
      <c r="W33" s="138">
        <v>0.16</v>
      </c>
      <c r="X33" s="138">
        <v>0.16</v>
      </c>
      <c r="Y33" s="138">
        <f t="shared" si="33"/>
        <v>0.16</v>
      </c>
      <c r="Z33" s="138">
        <f t="shared" si="34"/>
        <v>0.16</v>
      </c>
      <c r="AA33" s="138">
        <f t="shared" si="35"/>
        <v>0.16</v>
      </c>
      <c r="AB33" s="138">
        <f t="shared" si="36"/>
        <v>0.16</v>
      </c>
      <c r="AC33" s="138">
        <f t="shared" si="37"/>
        <v>0.16</v>
      </c>
      <c r="AD33" s="138">
        <f t="shared" si="38"/>
        <v>0.16</v>
      </c>
      <c r="AE33" s="138">
        <f t="shared" si="39"/>
        <v>0.16</v>
      </c>
      <c r="AF33" s="138">
        <f t="shared" si="40"/>
        <v>0.16</v>
      </c>
      <c r="AG33" s="138">
        <f t="shared" si="41"/>
        <v>0.16</v>
      </c>
      <c r="AH33" s="138">
        <f t="shared" si="42"/>
        <v>0.16</v>
      </c>
      <c r="AI33" s="138">
        <f t="shared" si="43"/>
        <v>0.16</v>
      </c>
      <c r="AJ33" s="138">
        <f t="shared" si="44"/>
        <v>0.16</v>
      </c>
      <c r="AK33" s="138">
        <f t="shared" si="45"/>
        <v>0.16</v>
      </c>
      <c r="AL33" s="138">
        <f t="shared" si="46"/>
        <v>0.15999999999999998</v>
      </c>
      <c r="AM33" s="138">
        <f t="shared" si="47"/>
        <v>0.16000000000000006</v>
      </c>
      <c r="AO33" s="77" t="str">
        <f t="shared" si="4"/>
        <v>GDS-4 (Large General Delivery)</v>
      </c>
      <c r="AP33" s="78" t="s">
        <v>674</v>
      </c>
      <c r="AQ33" s="77" t="str">
        <f t="shared" si="5"/>
        <v>Avg Base Uncollectible</v>
      </c>
      <c r="AR33" s="78" t="str">
        <f t="shared" si="6"/>
        <v>Billing Cycle</v>
      </c>
      <c r="AS33" s="79">
        <f t="shared" si="7"/>
        <v>6</v>
      </c>
      <c r="AT33" s="78">
        <f t="shared" si="8"/>
        <v>0</v>
      </c>
      <c r="AU33" s="78">
        <f t="shared" si="9"/>
        <v>0.16</v>
      </c>
      <c r="AV33" s="78">
        <f t="shared" si="10"/>
        <v>0.16</v>
      </c>
      <c r="AW33" s="78">
        <f t="shared" si="11"/>
        <v>0.16</v>
      </c>
      <c r="AX33" s="78">
        <f t="shared" si="12"/>
        <v>0.16</v>
      </c>
      <c r="AY33" s="78">
        <f t="shared" si="13"/>
        <v>0.16</v>
      </c>
      <c r="AZ33" s="78">
        <f t="shared" si="14"/>
        <v>0.16</v>
      </c>
      <c r="BA33" s="78">
        <f t="shared" si="15"/>
        <v>0.16</v>
      </c>
      <c r="BB33" s="78">
        <f t="shared" si="16"/>
        <v>0.16</v>
      </c>
      <c r="BC33" s="78">
        <f t="shared" si="17"/>
        <v>0.16</v>
      </c>
      <c r="BD33" s="78">
        <f t="shared" si="18"/>
        <v>0.16</v>
      </c>
      <c r="BE33" s="78">
        <f t="shared" si="19"/>
        <v>0.16</v>
      </c>
      <c r="BF33" s="78">
        <f t="shared" si="20"/>
        <v>0.16</v>
      </c>
      <c r="BG33" s="78">
        <f t="shared" si="21"/>
        <v>0.16</v>
      </c>
      <c r="BH33" s="78">
        <f t="shared" si="22"/>
        <v>0.16</v>
      </c>
      <c r="BI33" s="78">
        <f t="shared" si="23"/>
        <v>0.16</v>
      </c>
      <c r="BJ33" s="78">
        <f t="shared" si="24"/>
        <v>0.16</v>
      </c>
      <c r="BK33" s="78">
        <f t="shared" si="25"/>
        <v>0.16</v>
      </c>
      <c r="BL33" s="78">
        <f t="shared" si="26"/>
        <v>0.16</v>
      </c>
      <c r="BM33" s="78">
        <f t="shared" si="27"/>
        <v>0.16</v>
      </c>
      <c r="BN33" s="78">
        <f t="shared" si="28"/>
        <v>0.16</v>
      </c>
      <c r="BO33" s="78">
        <f t="shared" si="29"/>
        <v>0.16</v>
      </c>
      <c r="BP33" s="78">
        <f t="shared" si="30"/>
        <v>0.16</v>
      </c>
      <c r="BQ33" s="78">
        <f t="shared" si="31"/>
        <v>0.16</v>
      </c>
      <c r="BR33" s="78">
        <f t="shared" si="32"/>
        <v>0.16</v>
      </c>
      <c r="BS33" s="77"/>
      <c r="BT33" s="77"/>
    </row>
    <row r="34" spans="1:72" ht="14.1" customHeight="1" x14ac:dyDescent="0.2">
      <c r="A34" s="55" t="str">
        <f t="shared" si="2"/>
        <v>GDS-5 (Seasonal)_Avg Base Uncollectible</v>
      </c>
      <c r="B34" s="80" t="s">
        <v>675</v>
      </c>
      <c r="C34" s="83" t="s">
        <v>661</v>
      </c>
      <c r="D34" s="150"/>
      <c r="E34" s="81"/>
      <c r="F34" s="73" t="s">
        <v>649</v>
      </c>
      <c r="G34" s="73">
        <v>0</v>
      </c>
      <c r="H34" s="73">
        <v>6</v>
      </c>
      <c r="I34" s="74" t="s">
        <v>641</v>
      </c>
      <c r="J34" s="75" t="s">
        <v>634</v>
      </c>
      <c r="K34" s="74"/>
      <c r="L34" s="82">
        <v>0.16</v>
      </c>
      <c r="M34" s="138">
        <v>0.16</v>
      </c>
      <c r="N34" s="138">
        <v>0.16</v>
      </c>
      <c r="O34" s="138">
        <v>0.16</v>
      </c>
      <c r="P34" s="138">
        <v>0.16</v>
      </c>
      <c r="Q34" s="138">
        <v>0.16</v>
      </c>
      <c r="R34" s="138">
        <v>0.16</v>
      </c>
      <c r="S34" s="138">
        <v>0.16</v>
      </c>
      <c r="T34" s="138">
        <v>0.16</v>
      </c>
      <c r="U34" s="138">
        <v>0.16</v>
      </c>
      <c r="V34" s="138">
        <v>0.16</v>
      </c>
      <c r="W34" s="138">
        <v>0.16</v>
      </c>
      <c r="X34" s="138">
        <v>0.16</v>
      </c>
      <c r="Y34" s="138">
        <f t="shared" si="33"/>
        <v>0.16</v>
      </c>
      <c r="Z34" s="138">
        <f t="shared" si="34"/>
        <v>0.16</v>
      </c>
      <c r="AA34" s="138">
        <f t="shared" si="35"/>
        <v>0.16</v>
      </c>
      <c r="AB34" s="138">
        <f t="shared" si="36"/>
        <v>0.16</v>
      </c>
      <c r="AC34" s="138">
        <f t="shared" si="37"/>
        <v>0.16</v>
      </c>
      <c r="AD34" s="138">
        <f t="shared" si="38"/>
        <v>0.16</v>
      </c>
      <c r="AE34" s="138">
        <f t="shared" si="39"/>
        <v>0.16</v>
      </c>
      <c r="AF34" s="138">
        <f t="shared" si="40"/>
        <v>0.16</v>
      </c>
      <c r="AG34" s="138">
        <f t="shared" si="41"/>
        <v>0.16</v>
      </c>
      <c r="AH34" s="138">
        <f t="shared" si="42"/>
        <v>0.16</v>
      </c>
      <c r="AI34" s="138">
        <f t="shared" si="43"/>
        <v>0.16</v>
      </c>
      <c r="AJ34" s="138">
        <f t="shared" si="44"/>
        <v>0.16</v>
      </c>
      <c r="AK34" s="138">
        <f t="shared" si="45"/>
        <v>0.16</v>
      </c>
      <c r="AL34" s="138">
        <f t="shared" si="46"/>
        <v>0.15999999999999998</v>
      </c>
      <c r="AM34" s="138">
        <f t="shared" si="47"/>
        <v>0.16000000000000006</v>
      </c>
      <c r="AO34" s="77" t="str">
        <f t="shared" si="4"/>
        <v>GDS-5 (Seasonal)</v>
      </c>
      <c r="AP34" s="78" t="s">
        <v>676</v>
      </c>
      <c r="AQ34" s="77" t="str">
        <f t="shared" si="5"/>
        <v>Avg Base Uncollectible</v>
      </c>
      <c r="AR34" s="78" t="str">
        <f t="shared" si="6"/>
        <v>Billing Cycle</v>
      </c>
      <c r="AS34" s="79">
        <f t="shared" si="7"/>
        <v>6</v>
      </c>
      <c r="AT34" s="78">
        <f t="shared" si="8"/>
        <v>0</v>
      </c>
      <c r="AU34" s="78">
        <f t="shared" si="9"/>
        <v>0.16</v>
      </c>
      <c r="AV34" s="78">
        <f t="shared" si="10"/>
        <v>0.16</v>
      </c>
      <c r="AW34" s="78">
        <f t="shared" si="11"/>
        <v>0.16</v>
      </c>
      <c r="AX34" s="78">
        <f t="shared" si="12"/>
        <v>0.16</v>
      </c>
      <c r="AY34" s="78">
        <f t="shared" si="13"/>
        <v>0.16</v>
      </c>
      <c r="AZ34" s="78">
        <f t="shared" si="14"/>
        <v>0.16</v>
      </c>
      <c r="BA34" s="78">
        <f t="shared" si="15"/>
        <v>0.16</v>
      </c>
      <c r="BB34" s="78">
        <f t="shared" si="16"/>
        <v>0.16</v>
      </c>
      <c r="BC34" s="78">
        <f t="shared" si="17"/>
        <v>0.16</v>
      </c>
      <c r="BD34" s="78">
        <f t="shared" si="18"/>
        <v>0.16</v>
      </c>
      <c r="BE34" s="78">
        <f t="shared" si="19"/>
        <v>0.16</v>
      </c>
      <c r="BF34" s="78">
        <f t="shared" si="20"/>
        <v>0.16</v>
      </c>
      <c r="BG34" s="78">
        <f t="shared" si="21"/>
        <v>0.16</v>
      </c>
      <c r="BH34" s="78">
        <f t="shared" si="22"/>
        <v>0.16</v>
      </c>
      <c r="BI34" s="78">
        <f t="shared" si="23"/>
        <v>0.16</v>
      </c>
      <c r="BJ34" s="78">
        <f t="shared" si="24"/>
        <v>0.16</v>
      </c>
      <c r="BK34" s="78">
        <f t="shared" si="25"/>
        <v>0.16</v>
      </c>
      <c r="BL34" s="78">
        <f t="shared" si="26"/>
        <v>0.16</v>
      </c>
      <c r="BM34" s="78">
        <f t="shared" si="27"/>
        <v>0.16</v>
      </c>
      <c r="BN34" s="78">
        <f t="shared" si="28"/>
        <v>0.16</v>
      </c>
      <c r="BO34" s="78">
        <f t="shared" si="29"/>
        <v>0.16</v>
      </c>
      <c r="BP34" s="78">
        <f t="shared" si="30"/>
        <v>0.16</v>
      </c>
      <c r="BQ34" s="78">
        <f t="shared" si="31"/>
        <v>0.16</v>
      </c>
      <c r="BR34" s="78">
        <f t="shared" si="32"/>
        <v>0.16</v>
      </c>
      <c r="BS34" s="77"/>
      <c r="BT34" s="77"/>
    </row>
    <row r="35" spans="1:72" ht="14.1" customHeight="1" x14ac:dyDescent="0.2">
      <c r="A35" s="55" t="str">
        <f t="shared" si="2"/>
        <v xml:space="preserve">BGS-1 (Residential)_BGS Non-Summer  - +800 </v>
      </c>
      <c r="B35" s="80" t="s">
        <v>677</v>
      </c>
      <c r="C35" s="71" t="s">
        <v>678</v>
      </c>
      <c r="D35" s="150" t="s">
        <v>575</v>
      </c>
      <c r="E35" s="81"/>
      <c r="F35" s="73" t="s">
        <v>649</v>
      </c>
      <c r="G35" s="73">
        <v>0</v>
      </c>
      <c r="H35" s="73">
        <v>6</v>
      </c>
      <c r="I35" s="74" t="s">
        <v>641</v>
      </c>
      <c r="J35" s="75" t="s">
        <v>634</v>
      </c>
      <c r="K35" s="74"/>
      <c r="L35" s="82">
        <v>5.2359999999999997E-2</v>
      </c>
      <c r="M35" s="138">
        <v>5.2359999999999997E-2</v>
      </c>
      <c r="N35" s="138">
        <v>5.2359999999999997E-2</v>
      </c>
      <c r="O35" s="138">
        <v>5.2359999999999997E-2</v>
      </c>
      <c r="P35" s="138">
        <v>5.2359999999999997E-2</v>
      </c>
      <c r="Q35" s="138">
        <v>5.2359999999999997E-2</v>
      </c>
      <c r="R35" s="138">
        <v>4.9959999999999997E-2</v>
      </c>
      <c r="S35" s="138">
        <v>4.9959999999999997E-2</v>
      </c>
      <c r="T35" s="138">
        <v>4.9959999999999997E-2</v>
      </c>
      <c r="U35" s="138">
        <v>4.9959999999999997E-2</v>
      </c>
      <c r="V35" s="138">
        <v>4.9239999999999999E-2</v>
      </c>
      <c r="W35" s="138">
        <v>4.9239999999999999E-2</v>
      </c>
      <c r="X35" s="138">
        <v>4.9239999999999999E-2</v>
      </c>
      <c r="Y35" s="138">
        <f t="shared" si="33"/>
        <v>4.9239999999999999E-2</v>
      </c>
      <c r="Z35" s="138">
        <f t="shared" si="34"/>
        <v>4.9239999999999999E-2</v>
      </c>
      <c r="AA35" s="138">
        <f t="shared" si="35"/>
        <v>4.9239999999999999E-2</v>
      </c>
      <c r="AB35" s="138">
        <f t="shared" si="36"/>
        <v>4.9239999999999999E-2</v>
      </c>
      <c r="AC35" s="138">
        <f t="shared" si="37"/>
        <v>4.9239999999999999E-2</v>
      </c>
      <c r="AD35" s="138">
        <f t="shared" si="38"/>
        <v>4.9239999999999999E-2</v>
      </c>
      <c r="AE35" s="138">
        <f t="shared" si="39"/>
        <v>4.9239999999999999E-2</v>
      </c>
      <c r="AF35" s="138">
        <f t="shared" si="40"/>
        <v>4.9239999999999999E-2</v>
      </c>
      <c r="AG35" s="138">
        <f t="shared" si="41"/>
        <v>4.9239999999999999E-2</v>
      </c>
      <c r="AH35" s="138">
        <f t="shared" si="42"/>
        <v>4.9239999999999999E-2</v>
      </c>
      <c r="AI35" s="138">
        <f t="shared" si="43"/>
        <v>4.9239999999999999E-2</v>
      </c>
      <c r="AJ35" s="138">
        <f t="shared" si="44"/>
        <v>4.9239999999999999E-2</v>
      </c>
      <c r="AK35" s="138">
        <f t="shared" si="45"/>
        <v>4.9239999999999999E-2</v>
      </c>
      <c r="AL35" s="138">
        <f t="shared" si="46"/>
        <v>4.9239999999999999E-2</v>
      </c>
      <c r="AM35" s="138">
        <f t="shared" si="47"/>
        <v>4.9879999999999973E-2</v>
      </c>
      <c r="AO35" s="77" t="str">
        <f t="shared" si="4"/>
        <v>BGS-1 (Residential)</v>
      </c>
      <c r="AP35" s="78" t="s">
        <v>679</v>
      </c>
      <c r="AQ35" s="77" t="str">
        <f t="shared" si="5"/>
        <v xml:space="preserve">BGS Non-Summer  - +800 </v>
      </c>
      <c r="AR35" s="78" t="str">
        <f t="shared" si="6"/>
        <v>Billing Cycle</v>
      </c>
      <c r="AS35" s="79">
        <f t="shared" si="7"/>
        <v>6</v>
      </c>
      <c r="AT35" s="78">
        <f t="shared" si="8"/>
        <v>0</v>
      </c>
      <c r="AU35" s="78">
        <f t="shared" si="9"/>
        <v>5.2359999999999997E-2</v>
      </c>
      <c r="AV35" s="78">
        <f t="shared" si="10"/>
        <v>5.2359999999999997E-2</v>
      </c>
      <c r="AW35" s="78">
        <f t="shared" si="11"/>
        <v>5.2359999999999997E-2</v>
      </c>
      <c r="AX35" s="78">
        <f t="shared" si="12"/>
        <v>5.2359999999999997E-2</v>
      </c>
      <c r="AY35" s="78">
        <f t="shared" si="13"/>
        <v>5.2359999999999997E-2</v>
      </c>
      <c r="AZ35" s="78">
        <f t="shared" si="14"/>
        <v>4.9959999999999997E-2</v>
      </c>
      <c r="BA35" s="78">
        <f t="shared" si="15"/>
        <v>4.9959999999999997E-2</v>
      </c>
      <c r="BB35" s="78">
        <f t="shared" si="16"/>
        <v>4.9959999999999997E-2</v>
      </c>
      <c r="BC35" s="78">
        <f t="shared" si="17"/>
        <v>4.9959999999999997E-2</v>
      </c>
      <c r="BD35" s="78">
        <f t="shared" si="18"/>
        <v>4.9239999999999999E-2</v>
      </c>
      <c r="BE35" s="78">
        <f t="shared" si="19"/>
        <v>4.9239999999999999E-2</v>
      </c>
      <c r="BF35" s="78">
        <f t="shared" si="20"/>
        <v>4.9239999999999999E-2</v>
      </c>
      <c r="BG35" s="78">
        <f t="shared" si="21"/>
        <v>4.9239999999999999E-2</v>
      </c>
      <c r="BH35" s="78">
        <f t="shared" si="22"/>
        <v>4.9239999999999999E-2</v>
      </c>
      <c r="BI35" s="78">
        <f t="shared" si="23"/>
        <v>4.9239999999999999E-2</v>
      </c>
      <c r="BJ35" s="78">
        <f t="shared" si="24"/>
        <v>4.9239999999999999E-2</v>
      </c>
      <c r="BK35" s="78">
        <f t="shared" si="25"/>
        <v>4.9239999999999999E-2</v>
      </c>
      <c r="BL35" s="78">
        <f t="shared" si="26"/>
        <v>4.9239999999999999E-2</v>
      </c>
      <c r="BM35" s="78">
        <f t="shared" si="27"/>
        <v>4.9239999999999999E-2</v>
      </c>
      <c r="BN35" s="78">
        <f t="shared" si="28"/>
        <v>4.9239999999999999E-2</v>
      </c>
      <c r="BO35" s="78">
        <f t="shared" si="29"/>
        <v>4.9239999999999999E-2</v>
      </c>
      <c r="BP35" s="78">
        <f t="shared" si="30"/>
        <v>4.9239999999999999E-2</v>
      </c>
      <c r="BQ35" s="78">
        <f t="shared" si="31"/>
        <v>4.9239999999999999E-2</v>
      </c>
      <c r="BR35" s="78">
        <f t="shared" si="32"/>
        <v>4.9239999999999999E-2</v>
      </c>
      <c r="BS35" s="77"/>
      <c r="BT35" s="77"/>
    </row>
    <row r="36" spans="1:72" ht="14.1" customHeight="1" x14ac:dyDescent="0.2">
      <c r="A36" s="55" t="str">
        <f t="shared" si="2"/>
        <v>BGS-1 (Residential)_BGS Non-Summer -  First 800</v>
      </c>
      <c r="B36" s="80" t="s">
        <v>677</v>
      </c>
      <c r="C36" s="71" t="s">
        <v>680</v>
      </c>
      <c r="D36" s="150" t="s">
        <v>574</v>
      </c>
      <c r="E36" s="81"/>
      <c r="F36" s="73" t="s">
        <v>649</v>
      </c>
      <c r="G36" s="73">
        <v>0</v>
      </c>
      <c r="H36" s="73">
        <v>6</v>
      </c>
      <c r="I36" s="74" t="s">
        <v>641</v>
      </c>
      <c r="J36" s="75" t="s">
        <v>634</v>
      </c>
      <c r="K36" s="74"/>
      <c r="L36" s="82">
        <v>6.2489999999999997E-2</v>
      </c>
      <c r="M36" s="138">
        <v>6.2489999999999997E-2</v>
      </c>
      <c r="N36" s="138">
        <v>6.2489999999999997E-2</v>
      </c>
      <c r="O36" s="138">
        <v>6.2489999999999997E-2</v>
      </c>
      <c r="P36" s="138">
        <v>6.2489999999999997E-2</v>
      </c>
      <c r="Q36" s="138">
        <v>6.2489999999999997E-2</v>
      </c>
      <c r="R36" s="138">
        <v>5.568E-2</v>
      </c>
      <c r="S36" s="138">
        <v>5.568E-2</v>
      </c>
      <c r="T36" s="138">
        <v>5.568E-2</v>
      </c>
      <c r="U36" s="138">
        <v>5.568E-2</v>
      </c>
      <c r="V36" s="138">
        <v>5.5079999999999997E-2</v>
      </c>
      <c r="W36" s="138">
        <v>5.5079999999999997E-2</v>
      </c>
      <c r="X36" s="138">
        <v>5.5079999999999997E-2</v>
      </c>
      <c r="Y36" s="138">
        <f t="shared" si="33"/>
        <v>5.5079999999999997E-2</v>
      </c>
      <c r="Z36" s="138">
        <f t="shared" si="34"/>
        <v>5.5079999999999997E-2</v>
      </c>
      <c r="AA36" s="138">
        <f t="shared" si="35"/>
        <v>5.5079999999999997E-2</v>
      </c>
      <c r="AB36" s="138">
        <f t="shared" si="36"/>
        <v>5.5079999999999997E-2</v>
      </c>
      <c r="AC36" s="138">
        <f t="shared" si="37"/>
        <v>5.5079999999999997E-2</v>
      </c>
      <c r="AD36" s="138">
        <f t="shared" si="38"/>
        <v>5.5079999999999997E-2</v>
      </c>
      <c r="AE36" s="138">
        <f t="shared" si="39"/>
        <v>5.5079999999999997E-2</v>
      </c>
      <c r="AF36" s="138">
        <f t="shared" si="40"/>
        <v>5.5079999999999997E-2</v>
      </c>
      <c r="AG36" s="138">
        <f t="shared" si="41"/>
        <v>5.5079999999999997E-2</v>
      </c>
      <c r="AH36" s="138">
        <f t="shared" si="42"/>
        <v>5.5079999999999997E-2</v>
      </c>
      <c r="AI36" s="138">
        <f t="shared" si="43"/>
        <v>5.5079999999999997E-2</v>
      </c>
      <c r="AJ36" s="138">
        <f t="shared" si="44"/>
        <v>5.5079999999999997E-2</v>
      </c>
      <c r="AK36" s="138">
        <f t="shared" si="45"/>
        <v>5.5079999999999997E-2</v>
      </c>
      <c r="AL36" s="138">
        <f t="shared" si="46"/>
        <v>5.5080000000000011E-2</v>
      </c>
      <c r="AM36" s="138">
        <f t="shared" si="47"/>
        <v>5.6415000000000014E-2</v>
      </c>
      <c r="AO36" s="77" t="str">
        <f t="shared" si="4"/>
        <v>BGS-1 (Residential)</v>
      </c>
      <c r="AP36" s="78" t="s">
        <v>679</v>
      </c>
      <c r="AQ36" s="77" t="str">
        <f t="shared" si="5"/>
        <v>BGS Non-Summer -  First 800</v>
      </c>
      <c r="AR36" s="78" t="str">
        <f t="shared" si="6"/>
        <v>Billing Cycle</v>
      </c>
      <c r="AS36" s="79">
        <f t="shared" si="7"/>
        <v>6</v>
      </c>
      <c r="AT36" s="78">
        <f t="shared" si="8"/>
        <v>0</v>
      </c>
      <c r="AU36" s="78">
        <f t="shared" si="9"/>
        <v>6.2489999999999997E-2</v>
      </c>
      <c r="AV36" s="78">
        <f t="shared" si="10"/>
        <v>6.2489999999999997E-2</v>
      </c>
      <c r="AW36" s="78">
        <f t="shared" si="11"/>
        <v>6.2489999999999997E-2</v>
      </c>
      <c r="AX36" s="78">
        <f t="shared" si="12"/>
        <v>6.2489999999999997E-2</v>
      </c>
      <c r="AY36" s="78">
        <f t="shared" si="13"/>
        <v>6.2489999999999997E-2</v>
      </c>
      <c r="AZ36" s="78">
        <f t="shared" si="14"/>
        <v>5.568E-2</v>
      </c>
      <c r="BA36" s="78">
        <f t="shared" si="15"/>
        <v>5.568E-2</v>
      </c>
      <c r="BB36" s="78">
        <f t="shared" si="16"/>
        <v>5.568E-2</v>
      </c>
      <c r="BC36" s="78">
        <f t="shared" si="17"/>
        <v>5.568E-2</v>
      </c>
      <c r="BD36" s="78">
        <f t="shared" si="18"/>
        <v>5.5079999999999997E-2</v>
      </c>
      <c r="BE36" s="78">
        <f t="shared" si="19"/>
        <v>5.5079999999999997E-2</v>
      </c>
      <c r="BF36" s="78">
        <f t="shared" si="20"/>
        <v>5.5079999999999997E-2</v>
      </c>
      <c r="BG36" s="78">
        <f t="shared" si="21"/>
        <v>5.5079999999999997E-2</v>
      </c>
      <c r="BH36" s="78">
        <f t="shared" si="22"/>
        <v>5.5079999999999997E-2</v>
      </c>
      <c r="BI36" s="78">
        <f t="shared" si="23"/>
        <v>5.5079999999999997E-2</v>
      </c>
      <c r="BJ36" s="78">
        <f t="shared" si="24"/>
        <v>5.5079999999999997E-2</v>
      </c>
      <c r="BK36" s="78">
        <f t="shared" si="25"/>
        <v>5.5079999999999997E-2</v>
      </c>
      <c r="BL36" s="78">
        <f t="shared" si="26"/>
        <v>5.5079999999999997E-2</v>
      </c>
      <c r="BM36" s="78">
        <f t="shared" si="27"/>
        <v>5.5079999999999997E-2</v>
      </c>
      <c r="BN36" s="78">
        <f t="shared" si="28"/>
        <v>5.5079999999999997E-2</v>
      </c>
      <c r="BO36" s="78">
        <f t="shared" si="29"/>
        <v>5.5079999999999997E-2</v>
      </c>
      <c r="BP36" s="78">
        <f t="shared" si="30"/>
        <v>5.5079999999999997E-2</v>
      </c>
      <c r="BQ36" s="78">
        <f t="shared" si="31"/>
        <v>5.5079999999999997E-2</v>
      </c>
      <c r="BR36" s="78">
        <f t="shared" si="32"/>
        <v>5.5079999999999997E-2</v>
      </c>
      <c r="BS36" s="77">
        <v>800</v>
      </c>
      <c r="BT36" s="77" t="s">
        <v>654</v>
      </c>
    </row>
    <row r="37" spans="1:72" ht="14.1" customHeight="1" x14ac:dyDescent="0.2">
      <c r="A37" s="55" t="str">
        <f t="shared" si="2"/>
        <v>BGS-5 (Basic Generation Service)_BGS Non-Summer - All kWh</v>
      </c>
      <c r="B37" s="80" t="s">
        <v>681</v>
      </c>
      <c r="C37" s="71" t="s">
        <v>682</v>
      </c>
      <c r="D37" s="150"/>
      <c r="E37" s="81"/>
      <c r="F37" s="73" t="s">
        <v>649</v>
      </c>
      <c r="G37" s="73">
        <v>0</v>
      </c>
      <c r="H37" s="73">
        <v>6</v>
      </c>
      <c r="I37" s="74" t="s">
        <v>641</v>
      </c>
      <c r="J37" s="75" t="s">
        <v>634</v>
      </c>
      <c r="K37" s="74"/>
      <c r="L37" s="82">
        <v>5.7910000000000003E-2</v>
      </c>
      <c r="M37" s="138">
        <v>5.7910000000000003E-2</v>
      </c>
      <c r="N37" s="138">
        <v>5.7910000000000003E-2</v>
      </c>
      <c r="O37" s="138">
        <v>5.7910000000000003E-2</v>
      </c>
      <c r="P37" s="138">
        <v>5.7910000000000003E-2</v>
      </c>
      <c r="Q37" s="138">
        <v>5.7910000000000003E-2</v>
      </c>
      <c r="R37" s="138">
        <v>5.2839999999999998E-2</v>
      </c>
      <c r="S37" s="138">
        <v>5.2839999999999998E-2</v>
      </c>
      <c r="T37" s="138">
        <v>5.2839999999999998E-2</v>
      </c>
      <c r="U37" s="138">
        <v>5.2839999999999998E-2</v>
      </c>
      <c r="V37" s="138">
        <v>5.2220000000000003E-2</v>
      </c>
      <c r="W37" s="138">
        <v>5.2220000000000003E-2</v>
      </c>
      <c r="X37" s="138">
        <v>5.2220000000000003E-2</v>
      </c>
      <c r="Y37" s="138">
        <f t="shared" si="33"/>
        <v>5.2220000000000003E-2</v>
      </c>
      <c r="Z37" s="138">
        <f t="shared" si="34"/>
        <v>5.2220000000000003E-2</v>
      </c>
      <c r="AA37" s="138">
        <f t="shared" si="35"/>
        <v>5.2220000000000003E-2</v>
      </c>
      <c r="AB37" s="138">
        <f t="shared" si="36"/>
        <v>5.2220000000000003E-2</v>
      </c>
      <c r="AC37" s="138">
        <f t="shared" si="37"/>
        <v>5.2220000000000003E-2</v>
      </c>
      <c r="AD37" s="138">
        <f t="shared" si="38"/>
        <v>5.2220000000000003E-2</v>
      </c>
      <c r="AE37" s="138">
        <f t="shared" si="39"/>
        <v>5.2220000000000003E-2</v>
      </c>
      <c r="AF37" s="138">
        <f t="shared" si="40"/>
        <v>5.2220000000000003E-2</v>
      </c>
      <c r="AG37" s="138">
        <f t="shared" si="41"/>
        <v>5.2220000000000003E-2</v>
      </c>
      <c r="AH37" s="138">
        <f t="shared" si="42"/>
        <v>5.2220000000000003E-2</v>
      </c>
      <c r="AI37" s="138">
        <f t="shared" si="43"/>
        <v>5.2220000000000003E-2</v>
      </c>
      <c r="AJ37" s="138">
        <f t="shared" si="44"/>
        <v>5.2220000000000003E-2</v>
      </c>
      <c r="AK37" s="138">
        <f t="shared" si="45"/>
        <v>5.2220000000000003E-2</v>
      </c>
      <c r="AL37" s="138">
        <f t="shared" si="46"/>
        <v>5.2220000000000009E-2</v>
      </c>
      <c r="AM37" s="138">
        <f t="shared" si="47"/>
        <v>5.3271666666666669E-2</v>
      </c>
      <c r="AO37" s="77" t="str">
        <f t="shared" si="4"/>
        <v>BGS-5 (Basic Generation Service)</v>
      </c>
      <c r="AP37" s="78" t="s">
        <v>683</v>
      </c>
      <c r="AQ37" s="77" t="str">
        <f t="shared" si="5"/>
        <v>BGS Non-Summer - All kWh</v>
      </c>
      <c r="AR37" s="78" t="str">
        <f t="shared" si="6"/>
        <v>Billing Cycle</v>
      </c>
      <c r="AS37" s="79">
        <f t="shared" si="7"/>
        <v>6</v>
      </c>
      <c r="AT37" s="78">
        <f t="shared" si="8"/>
        <v>0</v>
      </c>
      <c r="AU37" s="78">
        <f t="shared" si="9"/>
        <v>5.7910000000000003E-2</v>
      </c>
      <c r="AV37" s="78">
        <f t="shared" si="10"/>
        <v>5.7910000000000003E-2</v>
      </c>
      <c r="AW37" s="78">
        <f t="shared" si="11"/>
        <v>5.7910000000000003E-2</v>
      </c>
      <c r="AX37" s="78">
        <f t="shared" si="12"/>
        <v>5.7910000000000003E-2</v>
      </c>
      <c r="AY37" s="78">
        <f t="shared" si="13"/>
        <v>5.7910000000000003E-2</v>
      </c>
      <c r="AZ37" s="78">
        <f t="shared" si="14"/>
        <v>5.2839999999999998E-2</v>
      </c>
      <c r="BA37" s="78">
        <f t="shared" si="15"/>
        <v>5.2839999999999998E-2</v>
      </c>
      <c r="BB37" s="78">
        <f t="shared" si="16"/>
        <v>5.2839999999999998E-2</v>
      </c>
      <c r="BC37" s="78">
        <f t="shared" si="17"/>
        <v>5.2839999999999998E-2</v>
      </c>
      <c r="BD37" s="78">
        <f t="shared" si="18"/>
        <v>5.2220000000000003E-2</v>
      </c>
      <c r="BE37" s="78">
        <f t="shared" si="19"/>
        <v>5.2220000000000003E-2</v>
      </c>
      <c r="BF37" s="78">
        <f t="shared" si="20"/>
        <v>5.2220000000000003E-2</v>
      </c>
      <c r="BG37" s="78">
        <f t="shared" si="21"/>
        <v>5.2220000000000003E-2</v>
      </c>
      <c r="BH37" s="78">
        <f t="shared" si="22"/>
        <v>5.2220000000000003E-2</v>
      </c>
      <c r="BI37" s="78">
        <f t="shared" si="23"/>
        <v>5.2220000000000003E-2</v>
      </c>
      <c r="BJ37" s="78">
        <f t="shared" si="24"/>
        <v>5.2220000000000003E-2</v>
      </c>
      <c r="BK37" s="78">
        <f t="shared" si="25"/>
        <v>5.2220000000000003E-2</v>
      </c>
      <c r="BL37" s="78">
        <f t="shared" si="26"/>
        <v>5.2220000000000003E-2</v>
      </c>
      <c r="BM37" s="78">
        <f t="shared" si="27"/>
        <v>5.2220000000000003E-2</v>
      </c>
      <c r="BN37" s="78">
        <f t="shared" si="28"/>
        <v>5.2220000000000003E-2</v>
      </c>
      <c r="BO37" s="78">
        <f t="shared" si="29"/>
        <v>5.2220000000000003E-2</v>
      </c>
      <c r="BP37" s="78">
        <f t="shared" si="30"/>
        <v>5.2220000000000003E-2</v>
      </c>
      <c r="BQ37" s="78">
        <f t="shared" si="31"/>
        <v>5.2220000000000003E-2</v>
      </c>
      <c r="BR37" s="78">
        <f t="shared" si="32"/>
        <v>5.2220000000000003E-2</v>
      </c>
      <c r="BS37" s="77">
        <v>800</v>
      </c>
      <c r="BT37" s="77" t="s">
        <v>684</v>
      </c>
    </row>
    <row r="38" spans="1:72" ht="14.1" customHeight="1" x14ac:dyDescent="0.2">
      <c r="A38" s="55" t="str">
        <f t="shared" si="2"/>
        <v>BGS-2 (Non-Residential)_BGS Non-Summer &gt; 2000 kWh High Voltage</v>
      </c>
      <c r="B38" s="80" t="s">
        <v>685</v>
      </c>
      <c r="C38" s="71" t="s">
        <v>686</v>
      </c>
      <c r="D38" s="150"/>
      <c r="E38" s="81"/>
      <c r="F38" s="73" t="s">
        <v>649</v>
      </c>
      <c r="G38" s="73">
        <v>0</v>
      </c>
      <c r="H38" s="73">
        <v>6</v>
      </c>
      <c r="I38" s="74" t="s">
        <v>641</v>
      </c>
      <c r="J38" s="75" t="s">
        <v>634</v>
      </c>
      <c r="K38" s="74"/>
      <c r="L38" s="82">
        <v>7.2239999999999999E-2</v>
      </c>
      <c r="M38" s="138">
        <v>7.2239999999999999E-2</v>
      </c>
      <c r="N38" s="138">
        <v>7.2239999999999999E-2</v>
      </c>
      <c r="O38" s="138">
        <v>7.2239999999999999E-2</v>
      </c>
      <c r="P38" s="138">
        <v>7.2239999999999999E-2</v>
      </c>
      <c r="Q38" s="138">
        <v>7.2239999999999999E-2</v>
      </c>
      <c r="R38" s="138">
        <v>6.5570000000000003E-2</v>
      </c>
      <c r="S38" s="138">
        <v>6.5570000000000003E-2</v>
      </c>
      <c r="T38" s="138">
        <v>6.5570000000000003E-2</v>
      </c>
      <c r="U38" s="138">
        <v>6.5570000000000003E-2</v>
      </c>
      <c r="V38" s="138">
        <v>6.4799999999999996E-2</v>
      </c>
      <c r="W38" s="138">
        <v>6.4799999999999996E-2</v>
      </c>
      <c r="X38" s="138">
        <v>6.4799999999999996E-2</v>
      </c>
      <c r="Y38" s="138">
        <f t="shared" si="33"/>
        <v>6.4799999999999996E-2</v>
      </c>
      <c r="Z38" s="138">
        <f t="shared" si="34"/>
        <v>6.4799999999999996E-2</v>
      </c>
      <c r="AA38" s="138">
        <f t="shared" si="35"/>
        <v>6.4799999999999996E-2</v>
      </c>
      <c r="AB38" s="138">
        <f t="shared" si="36"/>
        <v>6.4799999999999996E-2</v>
      </c>
      <c r="AC38" s="138">
        <f t="shared" si="37"/>
        <v>6.4799999999999996E-2</v>
      </c>
      <c r="AD38" s="138">
        <f t="shared" si="38"/>
        <v>6.4799999999999996E-2</v>
      </c>
      <c r="AE38" s="138">
        <f t="shared" si="39"/>
        <v>6.4799999999999996E-2</v>
      </c>
      <c r="AF38" s="138">
        <f t="shared" si="40"/>
        <v>6.4799999999999996E-2</v>
      </c>
      <c r="AG38" s="138">
        <f t="shared" si="41"/>
        <v>6.4799999999999996E-2</v>
      </c>
      <c r="AH38" s="138">
        <f t="shared" si="42"/>
        <v>6.4799999999999996E-2</v>
      </c>
      <c r="AI38" s="138">
        <f t="shared" si="43"/>
        <v>6.4799999999999996E-2</v>
      </c>
      <c r="AJ38" s="138">
        <f t="shared" si="44"/>
        <v>6.4799999999999996E-2</v>
      </c>
      <c r="AK38" s="138">
        <f t="shared" si="45"/>
        <v>6.4799999999999996E-2</v>
      </c>
      <c r="AL38" s="138">
        <f t="shared" si="46"/>
        <v>6.4799999999999983E-2</v>
      </c>
      <c r="AM38" s="138">
        <f t="shared" si="47"/>
        <v>6.6168333333333315E-2</v>
      </c>
      <c r="AO38" s="77" t="str">
        <f t="shared" si="4"/>
        <v>BGS-2 (Non-Residential)</v>
      </c>
      <c r="AP38" s="78" t="s">
        <v>687</v>
      </c>
      <c r="AQ38" s="77" t="str">
        <f t="shared" si="5"/>
        <v>BGS Non-Summer &gt; 2000 kWh High Voltage</v>
      </c>
      <c r="AR38" s="78" t="str">
        <f t="shared" si="6"/>
        <v>Billing Cycle</v>
      </c>
      <c r="AS38" s="79">
        <f t="shared" si="7"/>
        <v>6</v>
      </c>
      <c r="AT38" s="78">
        <f t="shared" si="8"/>
        <v>0</v>
      </c>
      <c r="AU38" s="78">
        <f t="shared" si="9"/>
        <v>7.2239999999999999E-2</v>
      </c>
      <c r="AV38" s="78">
        <f t="shared" si="10"/>
        <v>7.2239999999999999E-2</v>
      </c>
      <c r="AW38" s="78">
        <f t="shared" si="11"/>
        <v>7.2239999999999999E-2</v>
      </c>
      <c r="AX38" s="78">
        <f t="shared" si="12"/>
        <v>7.2239999999999999E-2</v>
      </c>
      <c r="AY38" s="78">
        <f t="shared" si="13"/>
        <v>7.2239999999999999E-2</v>
      </c>
      <c r="AZ38" s="78">
        <f t="shared" si="14"/>
        <v>6.5570000000000003E-2</v>
      </c>
      <c r="BA38" s="78">
        <f t="shared" si="15"/>
        <v>6.5570000000000003E-2</v>
      </c>
      <c r="BB38" s="78">
        <f t="shared" si="16"/>
        <v>6.5570000000000003E-2</v>
      </c>
      <c r="BC38" s="78">
        <f t="shared" si="17"/>
        <v>6.5570000000000003E-2</v>
      </c>
      <c r="BD38" s="78">
        <f t="shared" si="18"/>
        <v>6.4799999999999996E-2</v>
      </c>
      <c r="BE38" s="78">
        <f t="shared" si="19"/>
        <v>6.4799999999999996E-2</v>
      </c>
      <c r="BF38" s="78">
        <f t="shared" si="20"/>
        <v>6.4799999999999996E-2</v>
      </c>
      <c r="BG38" s="78">
        <f t="shared" si="21"/>
        <v>6.4799999999999996E-2</v>
      </c>
      <c r="BH38" s="78">
        <f t="shared" si="22"/>
        <v>6.4799999999999996E-2</v>
      </c>
      <c r="BI38" s="78">
        <f t="shared" si="23"/>
        <v>6.4799999999999996E-2</v>
      </c>
      <c r="BJ38" s="78">
        <f t="shared" si="24"/>
        <v>6.4799999999999996E-2</v>
      </c>
      <c r="BK38" s="78">
        <f t="shared" si="25"/>
        <v>6.4799999999999996E-2</v>
      </c>
      <c r="BL38" s="78">
        <f t="shared" si="26"/>
        <v>6.4799999999999996E-2</v>
      </c>
      <c r="BM38" s="78">
        <f t="shared" si="27"/>
        <v>6.4799999999999996E-2</v>
      </c>
      <c r="BN38" s="78">
        <f t="shared" si="28"/>
        <v>6.4799999999999996E-2</v>
      </c>
      <c r="BO38" s="78">
        <f t="shared" si="29"/>
        <v>6.4799999999999996E-2</v>
      </c>
      <c r="BP38" s="78">
        <f t="shared" si="30"/>
        <v>6.4799999999999996E-2</v>
      </c>
      <c r="BQ38" s="78">
        <f t="shared" si="31"/>
        <v>6.4799999999999996E-2</v>
      </c>
      <c r="BR38" s="78">
        <f t="shared" si="32"/>
        <v>6.4799999999999996E-2</v>
      </c>
      <c r="BS38" s="77"/>
      <c r="BT38" s="77"/>
    </row>
    <row r="39" spans="1:72" ht="14.1" customHeight="1" x14ac:dyDescent="0.2">
      <c r="A39" s="55" t="str">
        <f t="shared" si="2"/>
        <v>BGS-2 (Non-Residential)_BGS Non-Summer &gt; 2000 kWh Primary</v>
      </c>
      <c r="B39" s="80" t="s">
        <v>685</v>
      </c>
      <c r="C39" s="71" t="s">
        <v>688</v>
      </c>
      <c r="D39" s="150"/>
      <c r="E39" s="81"/>
      <c r="F39" s="73" t="s">
        <v>649</v>
      </c>
      <c r="G39" s="73">
        <v>0</v>
      </c>
      <c r="H39" s="73">
        <v>6</v>
      </c>
      <c r="I39" s="74" t="s">
        <v>641</v>
      </c>
      <c r="J39" s="75" t="s">
        <v>634</v>
      </c>
      <c r="K39" s="74"/>
      <c r="L39" s="82">
        <v>7.3230000000000003E-2</v>
      </c>
      <c r="M39" s="138">
        <v>7.3230000000000003E-2</v>
      </c>
      <c r="N39" s="138">
        <v>7.3230000000000003E-2</v>
      </c>
      <c r="O39" s="138">
        <v>7.3230000000000003E-2</v>
      </c>
      <c r="P39" s="138">
        <v>7.3230000000000003E-2</v>
      </c>
      <c r="Q39" s="138">
        <v>7.3230000000000003E-2</v>
      </c>
      <c r="R39" s="138">
        <v>6.6460000000000005E-2</v>
      </c>
      <c r="S39" s="138">
        <v>6.6460000000000005E-2</v>
      </c>
      <c r="T39" s="138">
        <v>6.6460000000000005E-2</v>
      </c>
      <c r="U39" s="138">
        <v>6.6460000000000005E-2</v>
      </c>
      <c r="V39" s="138">
        <v>6.5680000000000002E-2</v>
      </c>
      <c r="W39" s="138">
        <v>6.5680000000000002E-2</v>
      </c>
      <c r="X39" s="138">
        <v>6.5680000000000002E-2</v>
      </c>
      <c r="Y39" s="138">
        <f t="shared" si="33"/>
        <v>6.5680000000000002E-2</v>
      </c>
      <c r="Z39" s="138">
        <f t="shared" si="34"/>
        <v>6.5680000000000002E-2</v>
      </c>
      <c r="AA39" s="138">
        <f t="shared" si="35"/>
        <v>6.5680000000000002E-2</v>
      </c>
      <c r="AB39" s="138">
        <f t="shared" si="36"/>
        <v>6.5680000000000002E-2</v>
      </c>
      <c r="AC39" s="138">
        <f t="shared" si="37"/>
        <v>6.5680000000000002E-2</v>
      </c>
      <c r="AD39" s="138">
        <f t="shared" si="38"/>
        <v>6.5680000000000002E-2</v>
      </c>
      <c r="AE39" s="138">
        <f t="shared" si="39"/>
        <v>6.5680000000000002E-2</v>
      </c>
      <c r="AF39" s="138">
        <f t="shared" si="40"/>
        <v>6.5680000000000002E-2</v>
      </c>
      <c r="AG39" s="138">
        <f t="shared" si="41"/>
        <v>6.5680000000000002E-2</v>
      </c>
      <c r="AH39" s="138">
        <f t="shared" si="42"/>
        <v>6.5680000000000002E-2</v>
      </c>
      <c r="AI39" s="138">
        <f t="shared" si="43"/>
        <v>6.5680000000000002E-2</v>
      </c>
      <c r="AJ39" s="138">
        <f t="shared" si="44"/>
        <v>6.5680000000000002E-2</v>
      </c>
      <c r="AK39" s="138">
        <f t="shared" si="45"/>
        <v>6.5680000000000002E-2</v>
      </c>
      <c r="AL39" s="138">
        <f t="shared" si="46"/>
        <v>6.5679999999999988E-2</v>
      </c>
      <c r="AM39" s="138">
        <f t="shared" si="47"/>
        <v>6.7068333333333313E-2</v>
      </c>
      <c r="AO39" s="77" t="str">
        <f t="shared" si="4"/>
        <v>BGS-2 (Non-Residential)</v>
      </c>
      <c r="AP39" s="78" t="s">
        <v>687</v>
      </c>
      <c r="AQ39" s="77" t="str">
        <f t="shared" si="5"/>
        <v>BGS Non-Summer &gt; 2000 kWh Primary</v>
      </c>
      <c r="AR39" s="78" t="str">
        <f t="shared" si="6"/>
        <v>Billing Cycle</v>
      </c>
      <c r="AS39" s="79">
        <f t="shared" si="7"/>
        <v>6</v>
      </c>
      <c r="AT39" s="78">
        <f t="shared" si="8"/>
        <v>0</v>
      </c>
      <c r="AU39" s="78">
        <f t="shared" si="9"/>
        <v>7.3230000000000003E-2</v>
      </c>
      <c r="AV39" s="78">
        <f t="shared" si="10"/>
        <v>7.3230000000000003E-2</v>
      </c>
      <c r="AW39" s="78">
        <f t="shared" si="11"/>
        <v>7.3230000000000003E-2</v>
      </c>
      <c r="AX39" s="78">
        <f t="shared" si="12"/>
        <v>7.3230000000000003E-2</v>
      </c>
      <c r="AY39" s="78">
        <f t="shared" si="13"/>
        <v>7.3230000000000003E-2</v>
      </c>
      <c r="AZ39" s="78">
        <f t="shared" si="14"/>
        <v>6.6460000000000005E-2</v>
      </c>
      <c r="BA39" s="78">
        <f t="shared" si="15"/>
        <v>6.6460000000000005E-2</v>
      </c>
      <c r="BB39" s="78">
        <f t="shared" si="16"/>
        <v>6.6460000000000005E-2</v>
      </c>
      <c r="BC39" s="78">
        <f t="shared" si="17"/>
        <v>6.6460000000000005E-2</v>
      </c>
      <c r="BD39" s="78">
        <f t="shared" si="18"/>
        <v>6.5680000000000002E-2</v>
      </c>
      <c r="BE39" s="78">
        <f t="shared" si="19"/>
        <v>6.5680000000000002E-2</v>
      </c>
      <c r="BF39" s="78">
        <f t="shared" si="20"/>
        <v>6.5680000000000002E-2</v>
      </c>
      <c r="BG39" s="78">
        <f t="shared" si="21"/>
        <v>6.5680000000000002E-2</v>
      </c>
      <c r="BH39" s="78">
        <f t="shared" si="22"/>
        <v>6.5680000000000002E-2</v>
      </c>
      <c r="BI39" s="78">
        <f t="shared" si="23"/>
        <v>6.5680000000000002E-2</v>
      </c>
      <c r="BJ39" s="78">
        <f t="shared" si="24"/>
        <v>6.5680000000000002E-2</v>
      </c>
      <c r="BK39" s="78">
        <f t="shared" si="25"/>
        <v>6.5680000000000002E-2</v>
      </c>
      <c r="BL39" s="78">
        <f t="shared" si="26"/>
        <v>6.5680000000000002E-2</v>
      </c>
      <c r="BM39" s="78">
        <f t="shared" si="27"/>
        <v>6.5680000000000002E-2</v>
      </c>
      <c r="BN39" s="78">
        <f t="shared" si="28"/>
        <v>6.5680000000000002E-2</v>
      </c>
      <c r="BO39" s="78">
        <f t="shared" si="29"/>
        <v>6.5680000000000002E-2</v>
      </c>
      <c r="BP39" s="78">
        <f t="shared" si="30"/>
        <v>6.5680000000000002E-2</v>
      </c>
      <c r="BQ39" s="78">
        <f t="shared" si="31"/>
        <v>6.5680000000000002E-2</v>
      </c>
      <c r="BR39" s="78">
        <f t="shared" si="32"/>
        <v>6.5680000000000002E-2</v>
      </c>
      <c r="BS39" s="77"/>
      <c r="BT39" s="77"/>
    </row>
    <row r="40" spans="1:72" ht="14.1" customHeight="1" x14ac:dyDescent="0.2">
      <c r="A40" s="55" t="str">
        <f t="shared" si="2"/>
        <v>BGS-2 (Non-Residential)_BGS Non-Summer &gt; 2000 kWh Secondary</v>
      </c>
      <c r="B40" s="80" t="s">
        <v>685</v>
      </c>
      <c r="C40" s="71" t="s">
        <v>689</v>
      </c>
      <c r="D40" s="150"/>
      <c r="E40" s="81"/>
      <c r="F40" s="73" t="s">
        <v>649</v>
      </c>
      <c r="G40" s="73">
        <v>0</v>
      </c>
      <c r="H40" s="73">
        <v>6</v>
      </c>
      <c r="I40" s="74" t="s">
        <v>641</v>
      </c>
      <c r="J40" s="75" t="s">
        <v>634</v>
      </c>
      <c r="K40" s="74"/>
      <c r="L40" s="82">
        <v>7.485E-2</v>
      </c>
      <c r="M40" s="138">
        <v>7.485E-2</v>
      </c>
      <c r="N40" s="138">
        <v>7.485E-2</v>
      </c>
      <c r="O40" s="138">
        <v>7.485E-2</v>
      </c>
      <c r="P40" s="138">
        <v>7.485E-2</v>
      </c>
      <c r="Q40" s="138">
        <v>7.485E-2</v>
      </c>
      <c r="R40" s="138">
        <v>6.7970000000000003E-2</v>
      </c>
      <c r="S40" s="138">
        <v>6.7970000000000003E-2</v>
      </c>
      <c r="T40" s="138">
        <v>6.7970000000000003E-2</v>
      </c>
      <c r="U40" s="138">
        <v>6.7970000000000003E-2</v>
      </c>
      <c r="V40" s="138">
        <v>6.7169999999999994E-2</v>
      </c>
      <c r="W40" s="138">
        <v>6.7169999999999994E-2</v>
      </c>
      <c r="X40" s="138">
        <v>6.7169999999999994E-2</v>
      </c>
      <c r="Y40" s="138">
        <f t="shared" si="33"/>
        <v>6.7169999999999994E-2</v>
      </c>
      <c r="Z40" s="138">
        <f t="shared" si="34"/>
        <v>6.7169999999999994E-2</v>
      </c>
      <c r="AA40" s="138">
        <f t="shared" si="35"/>
        <v>6.7169999999999994E-2</v>
      </c>
      <c r="AB40" s="138">
        <f t="shared" si="36"/>
        <v>6.7169999999999994E-2</v>
      </c>
      <c r="AC40" s="138">
        <f t="shared" si="37"/>
        <v>6.7169999999999994E-2</v>
      </c>
      <c r="AD40" s="138">
        <f t="shared" si="38"/>
        <v>6.7169999999999994E-2</v>
      </c>
      <c r="AE40" s="138">
        <f t="shared" si="39"/>
        <v>6.7169999999999994E-2</v>
      </c>
      <c r="AF40" s="138">
        <f t="shared" si="40"/>
        <v>6.7169999999999994E-2</v>
      </c>
      <c r="AG40" s="138">
        <f t="shared" si="41"/>
        <v>6.7169999999999994E-2</v>
      </c>
      <c r="AH40" s="138">
        <f t="shared" si="42"/>
        <v>6.7169999999999994E-2</v>
      </c>
      <c r="AI40" s="138">
        <f t="shared" si="43"/>
        <v>6.7169999999999994E-2</v>
      </c>
      <c r="AJ40" s="138">
        <f t="shared" si="44"/>
        <v>6.7169999999999994E-2</v>
      </c>
      <c r="AK40" s="138">
        <f t="shared" si="45"/>
        <v>6.7169999999999994E-2</v>
      </c>
      <c r="AL40" s="138">
        <f t="shared" si="46"/>
        <v>6.716999999999998E-2</v>
      </c>
      <c r="AM40" s="138">
        <f t="shared" si="47"/>
        <v>6.8583333333333302E-2</v>
      </c>
      <c r="AO40" s="77" t="str">
        <f t="shared" si="4"/>
        <v>BGS-2 (Non-Residential)</v>
      </c>
      <c r="AP40" s="78" t="s">
        <v>687</v>
      </c>
      <c r="AQ40" s="77" t="str">
        <f t="shared" si="5"/>
        <v>BGS Non-Summer &gt; 2000 kWh Secondary</v>
      </c>
      <c r="AR40" s="78" t="str">
        <f t="shared" si="6"/>
        <v>Billing Cycle</v>
      </c>
      <c r="AS40" s="79">
        <f t="shared" si="7"/>
        <v>6</v>
      </c>
      <c r="AT40" s="78">
        <f t="shared" si="8"/>
        <v>0</v>
      </c>
      <c r="AU40" s="78">
        <f t="shared" si="9"/>
        <v>7.485E-2</v>
      </c>
      <c r="AV40" s="78">
        <f t="shared" si="10"/>
        <v>7.485E-2</v>
      </c>
      <c r="AW40" s="78">
        <f t="shared" si="11"/>
        <v>7.485E-2</v>
      </c>
      <c r="AX40" s="78">
        <f t="shared" si="12"/>
        <v>7.485E-2</v>
      </c>
      <c r="AY40" s="78">
        <f t="shared" si="13"/>
        <v>7.485E-2</v>
      </c>
      <c r="AZ40" s="78">
        <f t="shared" si="14"/>
        <v>6.7970000000000003E-2</v>
      </c>
      <c r="BA40" s="78">
        <f t="shared" si="15"/>
        <v>6.7970000000000003E-2</v>
      </c>
      <c r="BB40" s="78">
        <f t="shared" si="16"/>
        <v>6.7970000000000003E-2</v>
      </c>
      <c r="BC40" s="78">
        <f t="shared" si="17"/>
        <v>6.7970000000000003E-2</v>
      </c>
      <c r="BD40" s="78">
        <f t="shared" si="18"/>
        <v>6.7169999999999994E-2</v>
      </c>
      <c r="BE40" s="78">
        <f t="shared" si="19"/>
        <v>6.7169999999999994E-2</v>
      </c>
      <c r="BF40" s="78">
        <f t="shared" si="20"/>
        <v>6.7169999999999994E-2</v>
      </c>
      <c r="BG40" s="78">
        <f t="shared" si="21"/>
        <v>6.7169999999999994E-2</v>
      </c>
      <c r="BH40" s="78">
        <f t="shared" si="22"/>
        <v>6.7169999999999994E-2</v>
      </c>
      <c r="BI40" s="78">
        <f t="shared" si="23"/>
        <v>6.7169999999999994E-2</v>
      </c>
      <c r="BJ40" s="78">
        <f t="shared" si="24"/>
        <v>6.7169999999999994E-2</v>
      </c>
      <c r="BK40" s="78">
        <f t="shared" si="25"/>
        <v>6.7169999999999994E-2</v>
      </c>
      <c r="BL40" s="78">
        <f t="shared" si="26"/>
        <v>6.7169999999999994E-2</v>
      </c>
      <c r="BM40" s="78">
        <f t="shared" si="27"/>
        <v>6.7169999999999994E-2</v>
      </c>
      <c r="BN40" s="78">
        <f t="shared" si="28"/>
        <v>6.7169999999999994E-2</v>
      </c>
      <c r="BO40" s="78">
        <f t="shared" si="29"/>
        <v>6.7169999999999994E-2</v>
      </c>
      <c r="BP40" s="78">
        <f t="shared" si="30"/>
        <v>6.7169999999999994E-2</v>
      </c>
      <c r="BQ40" s="78">
        <f t="shared" si="31"/>
        <v>6.7169999999999994E-2</v>
      </c>
      <c r="BR40" s="78">
        <f t="shared" si="32"/>
        <v>6.7169999999999994E-2</v>
      </c>
      <c r="BS40" s="77"/>
      <c r="BT40" s="77"/>
    </row>
    <row r="41" spans="1:72" ht="14.1" customHeight="1" x14ac:dyDescent="0.2">
      <c r="A41" s="55" t="str">
        <f t="shared" si="2"/>
        <v>BGS-2 (Non-Residential)_BGS Non-Summer 0-2000 kWh High Voltage</v>
      </c>
      <c r="B41" s="80" t="s">
        <v>685</v>
      </c>
      <c r="C41" s="71" t="s">
        <v>690</v>
      </c>
      <c r="D41" s="150"/>
      <c r="E41" s="81"/>
      <c r="F41" s="73" t="s">
        <v>649</v>
      </c>
      <c r="G41" s="73">
        <v>0</v>
      </c>
      <c r="H41" s="73">
        <v>6</v>
      </c>
      <c r="I41" s="74" t="s">
        <v>641</v>
      </c>
      <c r="J41" s="75" t="s">
        <v>634</v>
      </c>
      <c r="K41" s="74"/>
      <c r="L41" s="82">
        <v>7.2239999999999999E-2</v>
      </c>
      <c r="M41" s="138">
        <v>7.2239999999999999E-2</v>
      </c>
      <c r="N41" s="138">
        <v>7.2239999999999999E-2</v>
      </c>
      <c r="O41" s="138">
        <v>7.2239999999999999E-2</v>
      </c>
      <c r="P41" s="138">
        <v>7.2239999999999999E-2</v>
      </c>
      <c r="Q41" s="138">
        <v>7.2239999999999999E-2</v>
      </c>
      <c r="R41" s="138">
        <v>6.5570000000000003E-2</v>
      </c>
      <c r="S41" s="138">
        <v>6.5570000000000003E-2</v>
      </c>
      <c r="T41" s="138">
        <v>6.5570000000000003E-2</v>
      </c>
      <c r="U41" s="138">
        <v>6.5570000000000003E-2</v>
      </c>
      <c r="V41" s="138">
        <v>6.4799999999999996E-2</v>
      </c>
      <c r="W41" s="138">
        <v>6.4799999999999996E-2</v>
      </c>
      <c r="X41" s="138">
        <v>6.4799999999999996E-2</v>
      </c>
      <c r="Y41" s="138">
        <f t="shared" si="33"/>
        <v>6.4799999999999996E-2</v>
      </c>
      <c r="Z41" s="138">
        <f t="shared" si="34"/>
        <v>6.4799999999999996E-2</v>
      </c>
      <c r="AA41" s="138">
        <f t="shared" si="35"/>
        <v>6.4799999999999996E-2</v>
      </c>
      <c r="AB41" s="138">
        <f t="shared" si="36"/>
        <v>6.4799999999999996E-2</v>
      </c>
      <c r="AC41" s="138">
        <f t="shared" si="37"/>
        <v>6.4799999999999996E-2</v>
      </c>
      <c r="AD41" s="138">
        <f t="shared" si="38"/>
        <v>6.4799999999999996E-2</v>
      </c>
      <c r="AE41" s="138">
        <f t="shared" si="39"/>
        <v>6.4799999999999996E-2</v>
      </c>
      <c r="AF41" s="138">
        <f t="shared" si="40"/>
        <v>6.4799999999999996E-2</v>
      </c>
      <c r="AG41" s="138">
        <f t="shared" si="41"/>
        <v>6.4799999999999996E-2</v>
      </c>
      <c r="AH41" s="138">
        <f t="shared" si="42"/>
        <v>6.4799999999999996E-2</v>
      </c>
      <c r="AI41" s="138">
        <f t="shared" si="43"/>
        <v>6.4799999999999996E-2</v>
      </c>
      <c r="AJ41" s="138">
        <f t="shared" si="44"/>
        <v>6.4799999999999996E-2</v>
      </c>
      <c r="AK41" s="138">
        <f t="shared" si="45"/>
        <v>6.4799999999999996E-2</v>
      </c>
      <c r="AL41" s="138">
        <f t="shared" si="46"/>
        <v>6.4799999999999983E-2</v>
      </c>
      <c r="AM41" s="138">
        <f t="shared" si="47"/>
        <v>6.6168333333333315E-2</v>
      </c>
      <c r="AO41" s="77" t="str">
        <f t="shared" si="4"/>
        <v>BGS-2 (Non-Residential)</v>
      </c>
      <c r="AP41" s="78" t="s">
        <v>687</v>
      </c>
      <c r="AQ41" s="77" t="str">
        <f t="shared" si="5"/>
        <v>BGS Non-Summer 0-2000 kWh High Voltage</v>
      </c>
      <c r="AR41" s="78" t="str">
        <f t="shared" si="6"/>
        <v>Billing Cycle</v>
      </c>
      <c r="AS41" s="79">
        <f t="shared" si="7"/>
        <v>6</v>
      </c>
      <c r="AT41" s="78">
        <f t="shared" si="8"/>
        <v>0</v>
      </c>
      <c r="AU41" s="78">
        <f t="shared" si="9"/>
        <v>7.2239999999999999E-2</v>
      </c>
      <c r="AV41" s="78">
        <f t="shared" si="10"/>
        <v>7.2239999999999999E-2</v>
      </c>
      <c r="AW41" s="78">
        <f t="shared" si="11"/>
        <v>7.2239999999999999E-2</v>
      </c>
      <c r="AX41" s="78">
        <f t="shared" si="12"/>
        <v>7.2239999999999999E-2</v>
      </c>
      <c r="AY41" s="78">
        <f t="shared" si="13"/>
        <v>7.2239999999999999E-2</v>
      </c>
      <c r="AZ41" s="78">
        <f t="shared" si="14"/>
        <v>6.5570000000000003E-2</v>
      </c>
      <c r="BA41" s="78">
        <f t="shared" si="15"/>
        <v>6.5570000000000003E-2</v>
      </c>
      <c r="BB41" s="78">
        <f t="shared" si="16"/>
        <v>6.5570000000000003E-2</v>
      </c>
      <c r="BC41" s="78">
        <f t="shared" si="17"/>
        <v>6.5570000000000003E-2</v>
      </c>
      <c r="BD41" s="78">
        <f t="shared" si="18"/>
        <v>6.4799999999999996E-2</v>
      </c>
      <c r="BE41" s="78">
        <f t="shared" si="19"/>
        <v>6.4799999999999996E-2</v>
      </c>
      <c r="BF41" s="78">
        <f t="shared" si="20"/>
        <v>6.4799999999999996E-2</v>
      </c>
      <c r="BG41" s="78">
        <f t="shared" si="21"/>
        <v>6.4799999999999996E-2</v>
      </c>
      <c r="BH41" s="78">
        <f t="shared" si="22"/>
        <v>6.4799999999999996E-2</v>
      </c>
      <c r="BI41" s="78">
        <f t="shared" si="23"/>
        <v>6.4799999999999996E-2</v>
      </c>
      <c r="BJ41" s="78">
        <f t="shared" si="24"/>
        <v>6.4799999999999996E-2</v>
      </c>
      <c r="BK41" s="78">
        <f t="shared" si="25"/>
        <v>6.4799999999999996E-2</v>
      </c>
      <c r="BL41" s="78">
        <f t="shared" si="26"/>
        <v>6.4799999999999996E-2</v>
      </c>
      <c r="BM41" s="78">
        <f t="shared" si="27"/>
        <v>6.4799999999999996E-2</v>
      </c>
      <c r="BN41" s="78">
        <f t="shared" si="28"/>
        <v>6.4799999999999996E-2</v>
      </c>
      <c r="BO41" s="78">
        <f t="shared" si="29"/>
        <v>6.4799999999999996E-2</v>
      </c>
      <c r="BP41" s="78">
        <f t="shared" si="30"/>
        <v>6.4799999999999996E-2</v>
      </c>
      <c r="BQ41" s="78">
        <f t="shared" si="31"/>
        <v>6.4799999999999996E-2</v>
      </c>
      <c r="BR41" s="78">
        <f t="shared" si="32"/>
        <v>6.4799999999999996E-2</v>
      </c>
      <c r="BS41" s="77"/>
      <c r="BT41" s="77"/>
    </row>
    <row r="42" spans="1:72" ht="14.1" customHeight="1" x14ac:dyDescent="0.2">
      <c r="A42" s="55" t="str">
        <f t="shared" si="2"/>
        <v>BGS-2 (Non-Residential)_BGS Non-Summer 0-2000 kWh Primary</v>
      </c>
      <c r="B42" s="80" t="s">
        <v>685</v>
      </c>
      <c r="C42" s="71" t="s">
        <v>691</v>
      </c>
      <c r="D42" s="150"/>
      <c r="E42" s="81"/>
      <c r="F42" s="73" t="s">
        <v>649</v>
      </c>
      <c r="G42" s="73">
        <v>0</v>
      </c>
      <c r="H42" s="73">
        <v>6</v>
      </c>
      <c r="I42" s="74" t="s">
        <v>641</v>
      </c>
      <c r="J42" s="75" t="s">
        <v>634</v>
      </c>
      <c r="K42" s="74"/>
      <c r="L42" s="82">
        <v>7.3230000000000003E-2</v>
      </c>
      <c r="M42" s="138">
        <v>7.3230000000000003E-2</v>
      </c>
      <c r="N42" s="138">
        <v>7.3230000000000003E-2</v>
      </c>
      <c r="O42" s="138">
        <v>7.3230000000000003E-2</v>
      </c>
      <c r="P42" s="138">
        <v>7.3230000000000003E-2</v>
      </c>
      <c r="Q42" s="138">
        <v>7.3230000000000003E-2</v>
      </c>
      <c r="R42" s="138">
        <v>6.6460000000000005E-2</v>
      </c>
      <c r="S42" s="138">
        <v>6.6460000000000005E-2</v>
      </c>
      <c r="T42" s="138">
        <v>6.6460000000000005E-2</v>
      </c>
      <c r="U42" s="138">
        <v>6.6460000000000005E-2</v>
      </c>
      <c r="V42" s="138">
        <v>6.5680000000000002E-2</v>
      </c>
      <c r="W42" s="138">
        <v>6.5680000000000002E-2</v>
      </c>
      <c r="X42" s="138">
        <v>6.5680000000000002E-2</v>
      </c>
      <c r="Y42" s="138">
        <f t="shared" si="33"/>
        <v>6.5680000000000002E-2</v>
      </c>
      <c r="Z42" s="138">
        <f t="shared" si="34"/>
        <v>6.5680000000000002E-2</v>
      </c>
      <c r="AA42" s="138">
        <f t="shared" si="35"/>
        <v>6.5680000000000002E-2</v>
      </c>
      <c r="AB42" s="138">
        <f t="shared" si="36"/>
        <v>6.5680000000000002E-2</v>
      </c>
      <c r="AC42" s="138">
        <f t="shared" si="37"/>
        <v>6.5680000000000002E-2</v>
      </c>
      <c r="AD42" s="138">
        <f t="shared" si="38"/>
        <v>6.5680000000000002E-2</v>
      </c>
      <c r="AE42" s="138">
        <f t="shared" si="39"/>
        <v>6.5680000000000002E-2</v>
      </c>
      <c r="AF42" s="138">
        <f t="shared" si="40"/>
        <v>6.5680000000000002E-2</v>
      </c>
      <c r="AG42" s="138">
        <f t="shared" si="41"/>
        <v>6.5680000000000002E-2</v>
      </c>
      <c r="AH42" s="138">
        <f t="shared" si="42"/>
        <v>6.5680000000000002E-2</v>
      </c>
      <c r="AI42" s="138">
        <f t="shared" si="43"/>
        <v>6.5680000000000002E-2</v>
      </c>
      <c r="AJ42" s="138">
        <f t="shared" si="44"/>
        <v>6.5680000000000002E-2</v>
      </c>
      <c r="AK42" s="138">
        <f t="shared" si="45"/>
        <v>6.5680000000000002E-2</v>
      </c>
      <c r="AL42" s="138">
        <f t="shared" si="46"/>
        <v>6.5679999999999988E-2</v>
      </c>
      <c r="AM42" s="138">
        <f t="shared" si="47"/>
        <v>6.7068333333333313E-2</v>
      </c>
      <c r="AO42" s="77" t="str">
        <f t="shared" si="4"/>
        <v>BGS-2 (Non-Residential)</v>
      </c>
      <c r="AP42" s="78" t="s">
        <v>687</v>
      </c>
      <c r="AQ42" s="77" t="str">
        <f t="shared" si="5"/>
        <v>BGS Non-Summer 0-2000 kWh Primary</v>
      </c>
      <c r="AR42" s="78" t="str">
        <f t="shared" si="6"/>
        <v>Billing Cycle</v>
      </c>
      <c r="AS42" s="79">
        <f t="shared" si="7"/>
        <v>6</v>
      </c>
      <c r="AT42" s="78">
        <f t="shared" si="8"/>
        <v>0</v>
      </c>
      <c r="AU42" s="78">
        <f t="shared" si="9"/>
        <v>7.3230000000000003E-2</v>
      </c>
      <c r="AV42" s="78">
        <f t="shared" si="10"/>
        <v>7.3230000000000003E-2</v>
      </c>
      <c r="AW42" s="78">
        <f t="shared" si="11"/>
        <v>7.3230000000000003E-2</v>
      </c>
      <c r="AX42" s="78">
        <f t="shared" si="12"/>
        <v>7.3230000000000003E-2</v>
      </c>
      <c r="AY42" s="78">
        <f t="shared" si="13"/>
        <v>7.3230000000000003E-2</v>
      </c>
      <c r="AZ42" s="78">
        <f t="shared" si="14"/>
        <v>6.6460000000000005E-2</v>
      </c>
      <c r="BA42" s="78">
        <f t="shared" si="15"/>
        <v>6.6460000000000005E-2</v>
      </c>
      <c r="BB42" s="78">
        <f t="shared" si="16"/>
        <v>6.6460000000000005E-2</v>
      </c>
      <c r="BC42" s="78">
        <f t="shared" si="17"/>
        <v>6.6460000000000005E-2</v>
      </c>
      <c r="BD42" s="78">
        <f t="shared" si="18"/>
        <v>6.5680000000000002E-2</v>
      </c>
      <c r="BE42" s="78">
        <f t="shared" si="19"/>
        <v>6.5680000000000002E-2</v>
      </c>
      <c r="BF42" s="78">
        <f t="shared" si="20"/>
        <v>6.5680000000000002E-2</v>
      </c>
      <c r="BG42" s="78">
        <f t="shared" si="21"/>
        <v>6.5680000000000002E-2</v>
      </c>
      <c r="BH42" s="78">
        <f t="shared" si="22"/>
        <v>6.5680000000000002E-2</v>
      </c>
      <c r="BI42" s="78">
        <f t="shared" si="23"/>
        <v>6.5680000000000002E-2</v>
      </c>
      <c r="BJ42" s="78">
        <f t="shared" si="24"/>
        <v>6.5680000000000002E-2</v>
      </c>
      <c r="BK42" s="78">
        <f t="shared" si="25"/>
        <v>6.5680000000000002E-2</v>
      </c>
      <c r="BL42" s="78">
        <f t="shared" si="26"/>
        <v>6.5680000000000002E-2</v>
      </c>
      <c r="BM42" s="78">
        <f t="shared" si="27"/>
        <v>6.5680000000000002E-2</v>
      </c>
      <c r="BN42" s="78">
        <f t="shared" si="28"/>
        <v>6.5680000000000002E-2</v>
      </c>
      <c r="BO42" s="78">
        <f t="shared" si="29"/>
        <v>6.5680000000000002E-2</v>
      </c>
      <c r="BP42" s="78">
        <f t="shared" si="30"/>
        <v>6.5680000000000002E-2</v>
      </c>
      <c r="BQ42" s="78">
        <f t="shared" si="31"/>
        <v>6.5680000000000002E-2</v>
      </c>
      <c r="BR42" s="78">
        <f t="shared" si="32"/>
        <v>6.5680000000000002E-2</v>
      </c>
      <c r="BS42" s="77"/>
      <c r="BT42" s="77"/>
    </row>
    <row r="43" spans="1:72" ht="14.1" customHeight="1" x14ac:dyDescent="0.2">
      <c r="A43" s="55" t="str">
        <f t="shared" si="2"/>
        <v>BGS-2 (Non-Residential)_BGS Non-Summer 0-2000 kWh Secondary</v>
      </c>
      <c r="B43" s="80" t="s">
        <v>685</v>
      </c>
      <c r="C43" s="71" t="s">
        <v>692</v>
      </c>
      <c r="D43" s="150"/>
      <c r="E43" s="81"/>
      <c r="F43" s="73" t="s">
        <v>649</v>
      </c>
      <c r="G43" s="73">
        <v>0</v>
      </c>
      <c r="H43" s="73">
        <v>6</v>
      </c>
      <c r="I43" s="74" t="s">
        <v>641</v>
      </c>
      <c r="J43" s="75" t="s">
        <v>634</v>
      </c>
      <c r="K43" s="74"/>
      <c r="L43" s="82">
        <v>7.485E-2</v>
      </c>
      <c r="M43" s="138">
        <v>7.485E-2</v>
      </c>
      <c r="N43" s="138">
        <v>7.485E-2</v>
      </c>
      <c r="O43" s="138">
        <v>7.485E-2</v>
      </c>
      <c r="P43" s="138">
        <v>7.485E-2</v>
      </c>
      <c r="Q43" s="138">
        <v>7.485E-2</v>
      </c>
      <c r="R43" s="138">
        <v>6.7970000000000003E-2</v>
      </c>
      <c r="S43" s="138">
        <v>6.7970000000000003E-2</v>
      </c>
      <c r="T43" s="138">
        <v>6.7970000000000003E-2</v>
      </c>
      <c r="U43" s="138">
        <v>6.7970000000000003E-2</v>
      </c>
      <c r="V43" s="138">
        <v>6.7169999999999994E-2</v>
      </c>
      <c r="W43" s="138">
        <v>6.7169999999999994E-2</v>
      </c>
      <c r="X43" s="138">
        <v>6.7169999999999994E-2</v>
      </c>
      <c r="Y43" s="138">
        <f t="shared" si="33"/>
        <v>6.7169999999999994E-2</v>
      </c>
      <c r="Z43" s="138">
        <f t="shared" si="34"/>
        <v>6.7169999999999994E-2</v>
      </c>
      <c r="AA43" s="138">
        <f t="shared" si="35"/>
        <v>6.7169999999999994E-2</v>
      </c>
      <c r="AB43" s="138">
        <f t="shared" si="36"/>
        <v>6.7169999999999994E-2</v>
      </c>
      <c r="AC43" s="138">
        <f t="shared" si="37"/>
        <v>6.7169999999999994E-2</v>
      </c>
      <c r="AD43" s="138">
        <f t="shared" si="38"/>
        <v>6.7169999999999994E-2</v>
      </c>
      <c r="AE43" s="138">
        <f t="shared" si="39"/>
        <v>6.7169999999999994E-2</v>
      </c>
      <c r="AF43" s="138">
        <f t="shared" si="40"/>
        <v>6.7169999999999994E-2</v>
      </c>
      <c r="AG43" s="138">
        <f t="shared" si="41"/>
        <v>6.7169999999999994E-2</v>
      </c>
      <c r="AH43" s="138">
        <f t="shared" si="42"/>
        <v>6.7169999999999994E-2</v>
      </c>
      <c r="AI43" s="138">
        <f t="shared" si="43"/>
        <v>6.7169999999999994E-2</v>
      </c>
      <c r="AJ43" s="138">
        <f t="shared" si="44"/>
        <v>6.7169999999999994E-2</v>
      </c>
      <c r="AK43" s="138">
        <f t="shared" si="45"/>
        <v>6.7169999999999994E-2</v>
      </c>
      <c r="AL43" s="138">
        <f t="shared" si="46"/>
        <v>6.716999999999998E-2</v>
      </c>
      <c r="AM43" s="138">
        <f t="shared" si="47"/>
        <v>6.8583333333333302E-2</v>
      </c>
      <c r="AO43" s="77" t="str">
        <f t="shared" si="4"/>
        <v>BGS-2 (Non-Residential)</v>
      </c>
      <c r="AP43" s="78" t="s">
        <v>687</v>
      </c>
      <c r="AQ43" s="77" t="str">
        <f t="shared" si="5"/>
        <v>BGS Non-Summer 0-2000 kWh Secondary</v>
      </c>
      <c r="AR43" s="78" t="str">
        <f t="shared" si="6"/>
        <v>Billing Cycle</v>
      </c>
      <c r="AS43" s="79">
        <f t="shared" si="7"/>
        <v>6</v>
      </c>
      <c r="AT43" s="78">
        <f t="shared" si="8"/>
        <v>0</v>
      </c>
      <c r="AU43" s="78">
        <f t="shared" si="9"/>
        <v>7.485E-2</v>
      </c>
      <c r="AV43" s="78">
        <f t="shared" si="10"/>
        <v>7.485E-2</v>
      </c>
      <c r="AW43" s="78">
        <f t="shared" si="11"/>
        <v>7.485E-2</v>
      </c>
      <c r="AX43" s="78">
        <f t="shared" si="12"/>
        <v>7.485E-2</v>
      </c>
      <c r="AY43" s="78">
        <f t="shared" si="13"/>
        <v>7.485E-2</v>
      </c>
      <c r="AZ43" s="78">
        <f t="shared" si="14"/>
        <v>6.7970000000000003E-2</v>
      </c>
      <c r="BA43" s="78">
        <f t="shared" si="15"/>
        <v>6.7970000000000003E-2</v>
      </c>
      <c r="BB43" s="78">
        <f t="shared" si="16"/>
        <v>6.7970000000000003E-2</v>
      </c>
      <c r="BC43" s="78">
        <f t="shared" si="17"/>
        <v>6.7970000000000003E-2</v>
      </c>
      <c r="BD43" s="78">
        <f t="shared" si="18"/>
        <v>6.7169999999999994E-2</v>
      </c>
      <c r="BE43" s="78">
        <f t="shared" si="19"/>
        <v>6.7169999999999994E-2</v>
      </c>
      <c r="BF43" s="78">
        <f t="shared" si="20"/>
        <v>6.7169999999999994E-2</v>
      </c>
      <c r="BG43" s="78">
        <f t="shared" si="21"/>
        <v>6.7169999999999994E-2</v>
      </c>
      <c r="BH43" s="78">
        <f t="shared" si="22"/>
        <v>6.7169999999999994E-2</v>
      </c>
      <c r="BI43" s="78">
        <f t="shared" si="23"/>
        <v>6.7169999999999994E-2</v>
      </c>
      <c r="BJ43" s="78">
        <f t="shared" si="24"/>
        <v>6.7169999999999994E-2</v>
      </c>
      <c r="BK43" s="78">
        <f t="shared" si="25"/>
        <v>6.7169999999999994E-2</v>
      </c>
      <c r="BL43" s="78">
        <f t="shared" si="26"/>
        <v>6.7169999999999994E-2</v>
      </c>
      <c r="BM43" s="78">
        <f t="shared" si="27"/>
        <v>6.7169999999999994E-2</v>
      </c>
      <c r="BN43" s="78">
        <f t="shared" si="28"/>
        <v>6.7169999999999994E-2</v>
      </c>
      <c r="BO43" s="78">
        <f t="shared" si="29"/>
        <v>6.7169999999999994E-2</v>
      </c>
      <c r="BP43" s="78">
        <f t="shared" si="30"/>
        <v>6.7169999999999994E-2</v>
      </c>
      <c r="BQ43" s="78">
        <f t="shared" si="31"/>
        <v>6.7169999999999994E-2</v>
      </c>
      <c r="BR43" s="78">
        <f t="shared" si="32"/>
        <v>6.7169999999999994E-2</v>
      </c>
      <c r="BS43" s="77"/>
      <c r="BT43" s="77"/>
    </row>
    <row r="44" spans="1:72" ht="14.1" customHeight="1" x14ac:dyDescent="0.2">
      <c r="A44" s="55" t="str">
        <f t="shared" si="2"/>
        <v>BGS-1 (Residential)_BGS Summer - All kWh</v>
      </c>
      <c r="B44" s="80" t="s">
        <v>677</v>
      </c>
      <c r="C44" s="71" t="s">
        <v>693</v>
      </c>
      <c r="D44" s="150" t="s">
        <v>573</v>
      </c>
      <c r="E44" s="81"/>
      <c r="F44" s="73" t="s">
        <v>649</v>
      </c>
      <c r="G44" s="73">
        <v>0</v>
      </c>
      <c r="H44" s="73">
        <v>6</v>
      </c>
      <c r="I44" s="74" t="s">
        <v>641</v>
      </c>
      <c r="J44" s="75" t="s">
        <v>634</v>
      </c>
      <c r="K44" s="74"/>
      <c r="L44" s="82">
        <v>6.0179999999999997E-2</v>
      </c>
      <c r="M44" s="138">
        <v>6.0179999999999997E-2</v>
      </c>
      <c r="N44" s="138">
        <v>6.0179999999999997E-2</v>
      </c>
      <c r="O44" s="138">
        <v>6.0179999999999997E-2</v>
      </c>
      <c r="P44" s="138">
        <v>6.0179999999999997E-2</v>
      </c>
      <c r="Q44" s="138">
        <v>6.0179999999999997E-2</v>
      </c>
      <c r="R44" s="138">
        <v>5.5530000000000003E-2</v>
      </c>
      <c r="S44" s="138">
        <v>5.5530000000000003E-2</v>
      </c>
      <c r="T44" s="138">
        <v>5.5530000000000003E-2</v>
      </c>
      <c r="U44" s="138">
        <v>5.5530000000000003E-2</v>
      </c>
      <c r="V44" s="138">
        <v>5.5530000000000003E-2</v>
      </c>
      <c r="W44" s="138">
        <v>5.5530000000000003E-2</v>
      </c>
      <c r="X44" s="138">
        <v>5.5530000000000003E-2</v>
      </c>
      <c r="Y44" s="138">
        <f t="shared" si="33"/>
        <v>5.5530000000000003E-2</v>
      </c>
      <c r="Z44" s="138">
        <f t="shared" si="34"/>
        <v>5.5530000000000003E-2</v>
      </c>
      <c r="AA44" s="138">
        <f t="shared" si="35"/>
        <v>5.5530000000000003E-2</v>
      </c>
      <c r="AB44" s="138">
        <f t="shared" si="36"/>
        <v>5.5530000000000003E-2</v>
      </c>
      <c r="AC44" s="138">
        <f t="shared" si="37"/>
        <v>5.5530000000000003E-2</v>
      </c>
      <c r="AD44" s="138">
        <f t="shared" si="38"/>
        <v>5.5530000000000003E-2</v>
      </c>
      <c r="AE44" s="138">
        <f t="shared" si="39"/>
        <v>5.5530000000000003E-2</v>
      </c>
      <c r="AF44" s="138">
        <f t="shared" si="40"/>
        <v>5.5530000000000003E-2</v>
      </c>
      <c r="AG44" s="138">
        <f t="shared" si="41"/>
        <v>5.5530000000000003E-2</v>
      </c>
      <c r="AH44" s="138">
        <f t="shared" si="42"/>
        <v>5.5530000000000003E-2</v>
      </c>
      <c r="AI44" s="138">
        <f t="shared" si="43"/>
        <v>5.5530000000000003E-2</v>
      </c>
      <c r="AJ44" s="138">
        <f t="shared" si="44"/>
        <v>5.5530000000000003E-2</v>
      </c>
      <c r="AK44" s="138">
        <f t="shared" si="45"/>
        <v>5.5530000000000003E-2</v>
      </c>
      <c r="AL44" s="138">
        <f t="shared" si="46"/>
        <v>5.5530000000000003E-2</v>
      </c>
      <c r="AM44" s="138">
        <f t="shared" si="47"/>
        <v>5.6305000000000015E-2</v>
      </c>
      <c r="AO44" s="77" t="str">
        <f t="shared" si="4"/>
        <v>BGS-1 (Residential)</v>
      </c>
      <c r="AP44" s="78" t="s">
        <v>679</v>
      </c>
      <c r="AQ44" s="77" t="str">
        <f t="shared" si="5"/>
        <v>BGS Summer - All kWh</v>
      </c>
      <c r="AR44" s="78" t="str">
        <f t="shared" si="6"/>
        <v>Billing Cycle</v>
      </c>
      <c r="AS44" s="79">
        <f t="shared" si="7"/>
        <v>6</v>
      </c>
      <c r="AT44" s="78">
        <f t="shared" si="8"/>
        <v>0</v>
      </c>
      <c r="AU44" s="78">
        <f t="shared" si="9"/>
        <v>6.0179999999999997E-2</v>
      </c>
      <c r="AV44" s="78">
        <f t="shared" si="10"/>
        <v>6.0179999999999997E-2</v>
      </c>
      <c r="AW44" s="78">
        <f t="shared" si="11"/>
        <v>6.0179999999999997E-2</v>
      </c>
      <c r="AX44" s="78">
        <f t="shared" si="12"/>
        <v>6.0179999999999997E-2</v>
      </c>
      <c r="AY44" s="78">
        <f t="shared" si="13"/>
        <v>6.0179999999999997E-2</v>
      </c>
      <c r="AZ44" s="78">
        <f t="shared" si="14"/>
        <v>5.5530000000000003E-2</v>
      </c>
      <c r="BA44" s="78">
        <f t="shared" si="15"/>
        <v>5.5530000000000003E-2</v>
      </c>
      <c r="BB44" s="78">
        <f t="shared" si="16"/>
        <v>5.5530000000000003E-2</v>
      </c>
      <c r="BC44" s="78">
        <f t="shared" si="17"/>
        <v>5.5530000000000003E-2</v>
      </c>
      <c r="BD44" s="78">
        <f t="shared" si="18"/>
        <v>5.5530000000000003E-2</v>
      </c>
      <c r="BE44" s="78">
        <f t="shared" si="19"/>
        <v>5.5530000000000003E-2</v>
      </c>
      <c r="BF44" s="78">
        <f t="shared" si="20"/>
        <v>5.5530000000000003E-2</v>
      </c>
      <c r="BG44" s="78">
        <f t="shared" si="21"/>
        <v>5.5530000000000003E-2</v>
      </c>
      <c r="BH44" s="78">
        <f t="shared" si="22"/>
        <v>5.5530000000000003E-2</v>
      </c>
      <c r="BI44" s="78">
        <f t="shared" si="23"/>
        <v>5.5530000000000003E-2</v>
      </c>
      <c r="BJ44" s="78">
        <f t="shared" si="24"/>
        <v>5.5530000000000003E-2</v>
      </c>
      <c r="BK44" s="78">
        <f t="shared" si="25"/>
        <v>5.5530000000000003E-2</v>
      </c>
      <c r="BL44" s="78">
        <f t="shared" si="26"/>
        <v>5.5530000000000003E-2</v>
      </c>
      <c r="BM44" s="78">
        <f t="shared" si="27"/>
        <v>5.5530000000000003E-2</v>
      </c>
      <c r="BN44" s="78">
        <f t="shared" si="28"/>
        <v>5.5530000000000003E-2</v>
      </c>
      <c r="BO44" s="78">
        <f t="shared" si="29"/>
        <v>5.5530000000000003E-2</v>
      </c>
      <c r="BP44" s="78">
        <f t="shared" si="30"/>
        <v>5.5530000000000003E-2</v>
      </c>
      <c r="BQ44" s="78">
        <f t="shared" si="31"/>
        <v>5.5530000000000003E-2</v>
      </c>
      <c r="BR44" s="78">
        <f t="shared" si="32"/>
        <v>5.5530000000000003E-2</v>
      </c>
      <c r="BS44" s="77"/>
      <c r="BT44" s="77"/>
    </row>
    <row r="45" spans="1:72" ht="15" x14ac:dyDescent="0.2">
      <c r="A45" s="55" t="str">
        <f t="shared" si="2"/>
        <v>BGS-5 (Basic Generation Service)_BGS Summer - All kWh</v>
      </c>
      <c r="B45" s="80" t="s">
        <v>681</v>
      </c>
      <c r="C45" s="71" t="s">
        <v>693</v>
      </c>
      <c r="D45" s="150"/>
      <c r="E45" s="81"/>
      <c r="F45" s="73" t="s">
        <v>649</v>
      </c>
      <c r="G45" s="73">
        <v>0</v>
      </c>
      <c r="H45" s="73">
        <v>6</v>
      </c>
      <c r="I45" s="74" t="s">
        <v>641</v>
      </c>
      <c r="J45" s="75" t="s">
        <v>634</v>
      </c>
      <c r="K45" s="74"/>
      <c r="L45" s="82">
        <v>4.548E-2</v>
      </c>
      <c r="M45" s="138">
        <v>4.548E-2</v>
      </c>
      <c r="N45" s="138">
        <v>4.548E-2</v>
      </c>
      <c r="O45" s="138">
        <v>4.548E-2</v>
      </c>
      <c r="P45" s="138">
        <v>4.548E-2</v>
      </c>
      <c r="Q45" s="138">
        <v>4.548E-2</v>
      </c>
      <c r="R45" s="138">
        <v>4.1500000000000002E-2</v>
      </c>
      <c r="S45" s="138">
        <v>4.1500000000000002E-2</v>
      </c>
      <c r="T45" s="138">
        <v>4.1500000000000002E-2</v>
      </c>
      <c r="U45" s="138">
        <v>4.1500000000000002E-2</v>
      </c>
      <c r="V45" s="138">
        <v>4.1500000000000002E-2</v>
      </c>
      <c r="W45" s="138">
        <v>4.1500000000000002E-2</v>
      </c>
      <c r="X45" s="138">
        <v>4.1500000000000002E-2</v>
      </c>
      <c r="Y45" s="138">
        <f t="shared" si="33"/>
        <v>4.1500000000000002E-2</v>
      </c>
      <c r="Z45" s="138">
        <f t="shared" si="34"/>
        <v>4.1500000000000002E-2</v>
      </c>
      <c r="AA45" s="138">
        <f t="shared" si="35"/>
        <v>4.1500000000000002E-2</v>
      </c>
      <c r="AB45" s="138">
        <f t="shared" si="36"/>
        <v>4.1500000000000002E-2</v>
      </c>
      <c r="AC45" s="138">
        <f t="shared" si="37"/>
        <v>4.1500000000000002E-2</v>
      </c>
      <c r="AD45" s="138">
        <f t="shared" si="38"/>
        <v>4.1500000000000002E-2</v>
      </c>
      <c r="AE45" s="138">
        <f t="shared" si="39"/>
        <v>4.1500000000000002E-2</v>
      </c>
      <c r="AF45" s="138">
        <f t="shared" si="40"/>
        <v>4.1500000000000002E-2</v>
      </c>
      <c r="AG45" s="138">
        <f t="shared" si="41"/>
        <v>4.1500000000000002E-2</v>
      </c>
      <c r="AH45" s="138">
        <f t="shared" si="42"/>
        <v>4.1500000000000002E-2</v>
      </c>
      <c r="AI45" s="138">
        <f t="shared" si="43"/>
        <v>4.1500000000000002E-2</v>
      </c>
      <c r="AJ45" s="138">
        <f t="shared" si="44"/>
        <v>4.1500000000000002E-2</v>
      </c>
      <c r="AK45" s="138">
        <f t="shared" si="45"/>
        <v>4.1500000000000002E-2</v>
      </c>
      <c r="AL45" s="138">
        <f t="shared" si="46"/>
        <v>4.1499999999999995E-2</v>
      </c>
      <c r="AM45" s="138">
        <f t="shared" si="47"/>
        <v>4.2163333333333324E-2</v>
      </c>
      <c r="AO45" s="77" t="str">
        <f t="shared" si="4"/>
        <v>BGS-5 (Basic Generation Service)</v>
      </c>
      <c r="AP45" s="78" t="s">
        <v>683</v>
      </c>
      <c r="AQ45" s="77" t="str">
        <f t="shared" si="5"/>
        <v>BGS Summer - All kWh</v>
      </c>
      <c r="AR45" s="78" t="str">
        <f t="shared" si="6"/>
        <v>Billing Cycle</v>
      </c>
      <c r="AS45" s="79">
        <f t="shared" si="7"/>
        <v>6</v>
      </c>
      <c r="AT45" s="78">
        <f t="shared" si="8"/>
        <v>0</v>
      </c>
      <c r="AU45" s="78">
        <f t="shared" si="9"/>
        <v>4.548E-2</v>
      </c>
      <c r="AV45" s="78">
        <f t="shared" si="10"/>
        <v>4.548E-2</v>
      </c>
      <c r="AW45" s="78">
        <f t="shared" si="11"/>
        <v>4.548E-2</v>
      </c>
      <c r="AX45" s="78">
        <f t="shared" si="12"/>
        <v>4.548E-2</v>
      </c>
      <c r="AY45" s="78">
        <f t="shared" si="13"/>
        <v>4.548E-2</v>
      </c>
      <c r="AZ45" s="78">
        <f t="shared" si="14"/>
        <v>4.1500000000000002E-2</v>
      </c>
      <c r="BA45" s="78">
        <f t="shared" si="15"/>
        <v>4.1500000000000002E-2</v>
      </c>
      <c r="BB45" s="78">
        <f t="shared" si="16"/>
        <v>4.1500000000000002E-2</v>
      </c>
      <c r="BC45" s="78">
        <f t="shared" si="17"/>
        <v>4.1500000000000002E-2</v>
      </c>
      <c r="BD45" s="78">
        <f t="shared" si="18"/>
        <v>4.1500000000000002E-2</v>
      </c>
      <c r="BE45" s="78">
        <f t="shared" si="19"/>
        <v>4.1500000000000002E-2</v>
      </c>
      <c r="BF45" s="78">
        <f t="shared" si="20"/>
        <v>4.1500000000000002E-2</v>
      </c>
      <c r="BG45" s="78">
        <f t="shared" si="21"/>
        <v>4.1500000000000002E-2</v>
      </c>
      <c r="BH45" s="78">
        <f t="shared" si="22"/>
        <v>4.1500000000000002E-2</v>
      </c>
      <c r="BI45" s="78">
        <f t="shared" si="23"/>
        <v>4.1500000000000002E-2</v>
      </c>
      <c r="BJ45" s="78">
        <f t="shared" si="24"/>
        <v>4.1500000000000002E-2</v>
      </c>
      <c r="BK45" s="78">
        <f t="shared" si="25"/>
        <v>4.1500000000000002E-2</v>
      </c>
      <c r="BL45" s="78">
        <f t="shared" si="26"/>
        <v>4.1500000000000002E-2</v>
      </c>
      <c r="BM45" s="78">
        <f t="shared" si="27"/>
        <v>4.1500000000000002E-2</v>
      </c>
      <c r="BN45" s="78">
        <f t="shared" si="28"/>
        <v>4.1500000000000002E-2</v>
      </c>
      <c r="BO45" s="78">
        <f t="shared" si="29"/>
        <v>4.1500000000000002E-2</v>
      </c>
      <c r="BP45" s="78">
        <f t="shared" si="30"/>
        <v>4.1500000000000002E-2</v>
      </c>
      <c r="BQ45" s="78">
        <f t="shared" si="31"/>
        <v>4.1500000000000002E-2</v>
      </c>
      <c r="BR45" s="78">
        <f t="shared" si="32"/>
        <v>4.1500000000000002E-2</v>
      </c>
      <c r="BS45" s="77"/>
      <c r="BT45" s="77"/>
    </row>
    <row r="46" spans="1:72" ht="15" x14ac:dyDescent="0.2">
      <c r="A46" s="55" t="str">
        <f t="shared" si="2"/>
        <v>BGS-2 (Non-Residential)_BGS Summer kWh High</v>
      </c>
      <c r="B46" s="80" t="s">
        <v>685</v>
      </c>
      <c r="C46" s="71" t="s">
        <v>694</v>
      </c>
      <c r="D46" s="150"/>
      <c r="E46" s="81"/>
      <c r="F46" s="73" t="s">
        <v>649</v>
      </c>
      <c r="G46" s="73">
        <v>0</v>
      </c>
      <c r="H46" s="73">
        <v>6</v>
      </c>
      <c r="I46" s="74" t="s">
        <v>641</v>
      </c>
      <c r="J46" s="75" t="s">
        <v>634</v>
      </c>
      <c r="K46" s="74"/>
      <c r="L46" s="82">
        <v>7.3270000000000002E-2</v>
      </c>
      <c r="M46" s="138">
        <v>7.3270000000000002E-2</v>
      </c>
      <c r="N46" s="138">
        <v>7.3270000000000002E-2</v>
      </c>
      <c r="O46" s="138">
        <v>7.3270000000000002E-2</v>
      </c>
      <c r="P46" s="138">
        <v>7.3270000000000002E-2</v>
      </c>
      <c r="Q46" s="138">
        <v>7.3270000000000002E-2</v>
      </c>
      <c r="R46" s="138">
        <v>6.7549999999999999E-2</v>
      </c>
      <c r="S46" s="138">
        <v>6.7549999999999999E-2</v>
      </c>
      <c r="T46" s="138">
        <v>6.7549999999999999E-2</v>
      </c>
      <c r="U46" s="138">
        <v>6.7549999999999999E-2</v>
      </c>
      <c r="V46" s="138">
        <v>6.7549999999999999E-2</v>
      </c>
      <c r="W46" s="138">
        <v>6.7549999999999999E-2</v>
      </c>
      <c r="X46" s="138">
        <v>6.7549999999999999E-2</v>
      </c>
      <c r="Y46" s="138">
        <f t="shared" si="33"/>
        <v>6.7549999999999999E-2</v>
      </c>
      <c r="Z46" s="138">
        <f t="shared" si="34"/>
        <v>6.7549999999999999E-2</v>
      </c>
      <c r="AA46" s="138">
        <f t="shared" si="35"/>
        <v>6.7549999999999999E-2</v>
      </c>
      <c r="AB46" s="138">
        <f t="shared" si="36"/>
        <v>6.7549999999999999E-2</v>
      </c>
      <c r="AC46" s="138">
        <f t="shared" si="37"/>
        <v>6.7549999999999999E-2</v>
      </c>
      <c r="AD46" s="138">
        <f t="shared" si="38"/>
        <v>6.7549999999999999E-2</v>
      </c>
      <c r="AE46" s="138">
        <f t="shared" si="39"/>
        <v>6.7549999999999999E-2</v>
      </c>
      <c r="AF46" s="138">
        <f t="shared" si="40"/>
        <v>6.7549999999999999E-2</v>
      </c>
      <c r="AG46" s="138">
        <f t="shared" si="41"/>
        <v>6.7549999999999999E-2</v>
      </c>
      <c r="AH46" s="138">
        <f t="shared" si="42"/>
        <v>6.7549999999999999E-2</v>
      </c>
      <c r="AI46" s="138">
        <f t="shared" si="43"/>
        <v>6.7549999999999999E-2</v>
      </c>
      <c r="AJ46" s="138">
        <f t="shared" si="44"/>
        <v>6.7549999999999999E-2</v>
      </c>
      <c r="AK46" s="138">
        <f t="shared" si="45"/>
        <v>6.7549999999999999E-2</v>
      </c>
      <c r="AL46" s="138">
        <f t="shared" si="46"/>
        <v>6.7549999999999999E-2</v>
      </c>
      <c r="AM46" s="138">
        <f t="shared" si="47"/>
        <v>6.8503333333333333E-2</v>
      </c>
      <c r="AO46" s="77" t="str">
        <f t="shared" si="4"/>
        <v>BGS-2 (Non-Residential)</v>
      </c>
      <c r="AP46" s="78" t="s">
        <v>687</v>
      </c>
      <c r="AQ46" s="77" t="str">
        <f t="shared" si="5"/>
        <v>BGS Summer kWh High</v>
      </c>
      <c r="AR46" s="78" t="str">
        <f t="shared" si="6"/>
        <v>Billing Cycle</v>
      </c>
      <c r="AS46" s="79">
        <f t="shared" si="7"/>
        <v>6</v>
      </c>
      <c r="AT46" s="78">
        <f t="shared" si="8"/>
        <v>0</v>
      </c>
      <c r="AU46" s="78">
        <f t="shared" si="9"/>
        <v>7.3270000000000002E-2</v>
      </c>
      <c r="AV46" s="78">
        <f t="shared" si="10"/>
        <v>7.3270000000000002E-2</v>
      </c>
      <c r="AW46" s="78">
        <f t="shared" si="11"/>
        <v>7.3270000000000002E-2</v>
      </c>
      <c r="AX46" s="78">
        <f t="shared" si="12"/>
        <v>7.3270000000000002E-2</v>
      </c>
      <c r="AY46" s="78">
        <f t="shared" si="13"/>
        <v>7.3270000000000002E-2</v>
      </c>
      <c r="AZ46" s="78">
        <f t="shared" si="14"/>
        <v>6.7549999999999999E-2</v>
      </c>
      <c r="BA46" s="78">
        <f t="shared" si="15"/>
        <v>6.7549999999999999E-2</v>
      </c>
      <c r="BB46" s="78">
        <f t="shared" si="16"/>
        <v>6.7549999999999999E-2</v>
      </c>
      <c r="BC46" s="78">
        <f t="shared" si="17"/>
        <v>6.7549999999999999E-2</v>
      </c>
      <c r="BD46" s="78">
        <f t="shared" si="18"/>
        <v>6.7549999999999999E-2</v>
      </c>
      <c r="BE46" s="78">
        <f t="shared" si="19"/>
        <v>6.7549999999999999E-2</v>
      </c>
      <c r="BF46" s="78">
        <f t="shared" si="20"/>
        <v>6.7549999999999999E-2</v>
      </c>
      <c r="BG46" s="78">
        <f t="shared" si="21"/>
        <v>6.7549999999999999E-2</v>
      </c>
      <c r="BH46" s="78">
        <f t="shared" si="22"/>
        <v>6.7549999999999999E-2</v>
      </c>
      <c r="BI46" s="78">
        <f t="shared" si="23"/>
        <v>6.7549999999999999E-2</v>
      </c>
      <c r="BJ46" s="78">
        <f t="shared" si="24"/>
        <v>6.7549999999999999E-2</v>
      </c>
      <c r="BK46" s="78">
        <f t="shared" si="25"/>
        <v>6.7549999999999999E-2</v>
      </c>
      <c r="BL46" s="78">
        <f t="shared" si="26"/>
        <v>6.7549999999999999E-2</v>
      </c>
      <c r="BM46" s="78">
        <f t="shared" si="27"/>
        <v>6.7549999999999999E-2</v>
      </c>
      <c r="BN46" s="78">
        <f t="shared" si="28"/>
        <v>6.7549999999999999E-2</v>
      </c>
      <c r="BO46" s="78">
        <f t="shared" si="29"/>
        <v>6.7549999999999999E-2</v>
      </c>
      <c r="BP46" s="78">
        <f t="shared" si="30"/>
        <v>6.7549999999999999E-2</v>
      </c>
      <c r="BQ46" s="78">
        <f t="shared" si="31"/>
        <v>6.7549999999999999E-2</v>
      </c>
      <c r="BR46" s="78">
        <f t="shared" si="32"/>
        <v>6.7549999999999999E-2</v>
      </c>
      <c r="BS46" s="77">
        <v>800</v>
      </c>
      <c r="BT46" s="77" t="s">
        <v>654</v>
      </c>
    </row>
    <row r="47" spans="1:72" ht="15" x14ac:dyDescent="0.2">
      <c r="A47" s="55" t="str">
        <f t="shared" si="2"/>
        <v>BGS-2 (Non-Residential)_BGS Summer kWh Primary</v>
      </c>
      <c r="B47" s="80" t="s">
        <v>685</v>
      </c>
      <c r="C47" s="71" t="s">
        <v>695</v>
      </c>
      <c r="D47" s="150"/>
      <c r="E47" s="81"/>
      <c r="F47" s="73" t="s">
        <v>649</v>
      </c>
      <c r="G47" s="73">
        <v>0</v>
      </c>
      <c r="H47" s="73">
        <v>6</v>
      </c>
      <c r="I47" s="74" t="s">
        <v>641</v>
      </c>
      <c r="J47" s="75" t="s">
        <v>634</v>
      </c>
      <c r="K47" s="74"/>
      <c r="L47" s="82">
        <v>7.4270000000000003E-2</v>
      </c>
      <c r="M47" s="138">
        <v>7.4270000000000003E-2</v>
      </c>
      <c r="N47" s="138">
        <v>7.4270000000000003E-2</v>
      </c>
      <c r="O47" s="138">
        <v>7.4270000000000003E-2</v>
      </c>
      <c r="P47" s="138">
        <v>7.4270000000000003E-2</v>
      </c>
      <c r="Q47" s="138">
        <v>7.4270000000000003E-2</v>
      </c>
      <c r="R47" s="138">
        <v>6.8479999999999999E-2</v>
      </c>
      <c r="S47" s="138">
        <v>6.8479999999999999E-2</v>
      </c>
      <c r="T47" s="138">
        <v>6.8479999999999999E-2</v>
      </c>
      <c r="U47" s="138">
        <v>6.8479999999999999E-2</v>
      </c>
      <c r="V47" s="138">
        <v>6.8479999999999999E-2</v>
      </c>
      <c r="W47" s="138">
        <v>6.8479999999999999E-2</v>
      </c>
      <c r="X47" s="138">
        <v>6.8479999999999999E-2</v>
      </c>
      <c r="Y47" s="138">
        <f t="shared" si="33"/>
        <v>6.8479999999999999E-2</v>
      </c>
      <c r="Z47" s="138">
        <f t="shared" si="34"/>
        <v>6.8479999999999999E-2</v>
      </c>
      <c r="AA47" s="138">
        <f t="shared" si="35"/>
        <v>6.8479999999999999E-2</v>
      </c>
      <c r="AB47" s="138">
        <f t="shared" si="36"/>
        <v>6.8479999999999999E-2</v>
      </c>
      <c r="AC47" s="138">
        <f t="shared" si="37"/>
        <v>6.8479999999999999E-2</v>
      </c>
      <c r="AD47" s="138">
        <f t="shared" si="38"/>
        <v>6.8479999999999999E-2</v>
      </c>
      <c r="AE47" s="138">
        <f t="shared" si="39"/>
        <v>6.8479999999999999E-2</v>
      </c>
      <c r="AF47" s="138">
        <f t="shared" si="40"/>
        <v>6.8479999999999999E-2</v>
      </c>
      <c r="AG47" s="138">
        <f t="shared" si="41"/>
        <v>6.8479999999999999E-2</v>
      </c>
      <c r="AH47" s="138">
        <f t="shared" si="42"/>
        <v>6.8479999999999999E-2</v>
      </c>
      <c r="AI47" s="138">
        <f t="shared" si="43"/>
        <v>6.8479999999999999E-2</v>
      </c>
      <c r="AJ47" s="138">
        <f t="shared" si="44"/>
        <v>6.8479999999999999E-2</v>
      </c>
      <c r="AK47" s="138">
        <f t="shared" si="45"/>
        <v>6.8479999999999999E-2</v>
      </c>
      <c r="AL47" s="138">
        <f t="shared" si="46"/>
        <v>6.8479999999999999E-2</v>
      </c>
      <c r="AM47" s="138">
        <f t="shared" si="47"/>
        <v>6.9445000000000034E-2</v>
      </c>
      <c r="AO47" s="77" t="str">
        <f t="shared" si="4"/>
        <v>BGS-2 (Non-Residential)</v>
      </c>
      <c r="AP47" s="78" t="s">
        <v>687</v>
      </c>
      <c r="AQ47" s="77" t="str">
        <f t="shared" si="5"/>
        <v>BGS Summer kWh Primary</v>
      </c>
      <c r="AR47" s="78" t="str">
        <f t="shared" si="6"/>
        <v>Billing Cycle</v>
      </c>
      <c r="AS47" s="79">
        <f t="shared" si="7"/>
        <v>6</v>
      </c>
      <c r="AT47" s="78">
        <f t="shared" si="8"/>
        <v>0</v>
      </c>
      <c r="AU47" s="78">
        <f t="shared" si="9"/>
        <v>7.4270000000000003E-2</v>
      </c>
      <c r="AV47" s="78">
        <f t="shared" si="10"/>
        <v>7.4270000000000003E-2</v>
      </c>
      <c r="AW47" s="78">
        <f t="shared" si="11"/>
        <v>7.4270000000000003E-2</v>
      </c>
      <c r="AX47" s="78">
        <f t="shared" si="12"/>
        <v>7.4270000000000003E-2</v>
      </c>
      <c r="AY47" s="78">
        <f t="shared" si="13"/>
        <v>7.4270000000000003E-2</v>
      </c>
      <c r="AZ47" s="78">
        <f t="shared" si="14"/>
        <v>6.8479999999999999E-2</v>
      </c>
      <c r="BA47" s="78">
        <f t="shared" si="15"/>
        <v>6.8479999999999999E-2</v>
      </c>
      <c r="BB47" s="78">
        <f t="shared" si="16"/>
        <v>6.8479999999999999E-2</v>
      </c>
      <c r="BC47" s="78">
        <f t="shared" si="17"/>
        <v>6.8479999999999999E-2</v>
      </c>
      <c r="BD47" s="78">
        <f t="shared" si="18"/>
        <v>6.8479999999999999E-2</v>
      </c>
      <c r="BE47" s="78">
        <f t="shared" si="19"/>
        <v>6.8479999999999999E-2</v>
      </c>
      <c r="BF47" s="78">
        <f t="shared" si="20"/>
        <v>6.8479999999999999E-2</v>
      </c>
      <c r="BG47" s="78">
        <f t="shared" si="21"/>
        <v>6.8479999999999999E-2</v>
      </c>
      <c r="BH47" s="78">
        <f t="shared" si="22"/>
        <v>6.8479999999999999E-2</v>
      </c>
      <c r="BI47" s="78">
        <f t="shared" si="23"/>
        <v>6.8479999999999999E-2</v>
      </c>
      <c r="BJ47" s="78">
        <f t="shared" si="24"/>
        <v>6.8479999999999999E-2</v>
      </c>
      <c r="BK47" s="78">
        <f t="shared" si="25"/>
        <v>6.8479999999999999E-2</v>
      </c>
      <c r="BL47" s="78">
        <f t="shared" si="26"/>
        <v>6.8479999999999999E-2</v>
      </c>
      <c r="BM47" s="78">
        <f t="shared" si="27"/>
        <v>6.8479999999999999E-2</v>
      </c>
      <c r="BN47" s="78">
        <f t="shared" si="28"/>
        <v>6.8479999999999999E-2</v>
      </c>
      <c r="BO47" s="78">
        <f t="shared" si="29"/>
        <v>6.8479999999999999E-2</v>
      </c>
      <c r="BP47" s="78">
        <f t="shared" si="30"/>
        <v>6.8479999999999999E-2</v>
      </c>
      <c r="BQ47" s="78">
        <f t="shared" si="31"/>
        <v>6.8479999999999999E-2</v>
      </c>
      <c r="BR47" s="78">
        <f t="shared" si="32"/>
        <v>6.8479999999999999E-2</v>
      </c>
      <c r="BS47" s="77">
        <v>800</v>
      </c>
      <c r="BT47" s="77" t="s">
        <v>684</v>
      </c>
    </row>
    <row r="48" spans="1:72" ht="14.1" customHeight="1" x14ac:dyDescent="0.2">
      <c r="A48" s="55" t="str">
        <f t="shared" si="2"/>
        <v>BGS-2 (Non-Residential)_BGS Summer kWh Secondary</v>
      </c>
      <c r="B48" s="80" t="s">
        <v>685</v>
      </c>
      <c r="C48" s="71" t="s">
        <v>696</v>
      </c>
      <c r="D48" s="150"/>
      <c r="E48" s="81"/>
      <c r="F48" s="73" t="s">
        <v>649</v>
      </c>
      <c r="G48" s="73">
        <v>0</v>
      </c>
      <c r="H48" s="73">
        <v>6</v>
      </c>
      <c r="I48" s="74" t="s">
        <v>641</v>
      </c>
      <c r="J48" s="75" t="s">
        <v>634</v>
      </c>
      <c r="K48" s="74"/>
      <c r="L48" s="82">
        <v>7.5910000000000005E-2</v>
      </c>
      <c r="M48" s="138">
        <v>7.5910000000000005E-2</v>
      </c>
      <c r="N48" s="138">
        <v>7.5910000000000005E-2</v>
      </c>
      <c r="O48" s="138">
        <v>7.5910000000000005E-2</v>
      </c>
      <c r="P48" s="138">
        <v>7.5910000000000005E-2</v>
      </c>
      <c r="Q48" s="138">
        <v>7.5910000000000005E-2</v>
      </c>
      <c r="R48" s="138">
        <v>7.0029999999999995E-2</v>
      </c>
      <c r="S48" s="138">
        <v>7.0029999999999995E-2</v>
      </c>
      <c r="T48" s="138">
        <v>7.0029999999999995E-2</v>
      </c>
      <c r="U48" s="138">
        <v>7.0029999999999995E-2</v>
      </c>
      <c r="V48" s="138">
        <v>7.0029999999999995E-2</v>
      </c>
      <c r="W48" s="138">
        <v>7.0029999999999995E-2</v>
      </c>
      <c r="X48" s="138">
        <v>7.0029999999999995E-2</v>
      </c>
      <c r="Y48" s="138">
        <f t="shared" si="33"/>
        <v>7.0029999999999995E-2</v>
      </c>
      <c r="Z48" s="138">
        <f t="shared" si="34"/>
        <v>7.0029999999999995E-2</v>
      </c>
      <c r="AA48" s="138">
        <f t="shared" si="35"/>
        <v>7.0029999999999995E-2</v>
      </c>
      <c r="AB48" s="138">
        <f t="shared" si="36"/>
        <v>7.0029999999999995E-2</v>
      </c>
      <c r="AC48" s="138">
        <f t="shared" si="37"/>
        <v>7.0029999999999995E-2</v>
      </c>
      <c r="AD48" s="138">
        <f t="shared" si="38"/>
        <v>7.0029999999999995E-2</v>
      </c>
      <c r="AE48" s="138">
        <f t="shared" si="39"/>
        <v>7.0029999999999995E-2</v>
      </c>
      <c r="AF48" s="138">
        <f t="shared" si="40"/>
        <v>7.0029999999999995E-2</v>
      </c>
      <c r="AG48" s="138">
        <f t="shared" si="41"/>
        <v>7.0029999999999995E-2</v>
      </c>
      <c r="AH48" s="138">
        <f t="shared" si="42"/>
        <v>7.0029999999999995E-2</v>
      </c>
      <c r="AI48" s="138">
        <f t="shared" si="43"/>
        <v>7.0029999999999995E-2</v>
      </c>
      <c r="AJ48" s="138">
        <f t="shared" si="44"/>
        <v>7.0029999999999995E-2</v>
      </c>
      <c r="AK48" s="138">
        <f t="shared" si="45"/>
        <v>7.0029999999999995E-2</v>
      </c>
      <c r="AL48" s="138">
        <f t="shared" si="46"/>
        <v>7.0030000000000009E-2</v>
      </c>
      <c r="AM48" s="138">
        <f t="shared" si="47"/>
        <v>7.1010000000000031E-2</v>
      </c>
      <c r="AO48" s="77" t="str">
        <f t="shared" si="4"/>
        <v>BGS-2 (Non-Residential)</v>
      </c>
      <c r="AP48" s="78" t="s">
        <v>687</v>
      </c>
      <c r="AQ48" s="77" t="str">
        <f t="shared" si="5"/>
        <v>BGS Summer kWh Secondary</v>
      </c>
      <c r="AR48" s="78" t="str">
        <f t="shared" si="6"/>
        <v>Billing Cycle</v>
      </c>
      <c r="AS48" s="79">
        <f t="shared" si="7"/>
        <v>6</v>
      </c>
      <c r="AT48" s="78">
        <f t="shared" si="8"/>
        <v>0</v>
      </c>
      <c r="AU48" s="78">
        <f t="shared" si="9"/>
        <v>7.5910000000000005E-2</v>
      </c>
      <c r="AV48" s="78">
        <f t="shared" si="10"/>
        <v>7.5910000000000005E-2</v>
      </c>
      <c r="AW48" s="78">
        <f t="shared" si="11"/>
        <v>7.5910000000000005E-2</v>
      </c>
      <c r="AX48" s="78">
        <f t="shared" si="12"/>
        <v>7.5910000000000005E-2</v>
      </c>
      <c r="AY48" s="78">
        <f t="shared" si="13"/>
        <v>7.5910000000000005E-2</v>
      </c>
      <c r="AZ48" s="78">
        <f t="shared" si="14"/>
        <v>7.0029999999999995E-2</v>
      </c>
      <c r="BA48" s="78">
        <f t="shared" si="15"/>
        <v>7.0029999999999995E-2</v>
      </c>
      <c r="BB48" s="78">
        <f t="shared" si="16"/>
        <v>7.0029999999999995E-2</v>
      </c>
      <c r="BC48" s="78">
        <f t="shared" si="17"/>
        <v>7.0029999999999995E-2</v>
      </c>
      <c r="BD48" s="78">
        <f t="shared" si="18"/>
        <v>7.0029999999999995E-2</v>
      </c>
      <c r="BE48" s="78">
        <f t="shared" si="19"/>
        <v>7.0029999999999995E-2</v>
      </c>
      <c r="BF48" s="78">
        <f t="shared" si="20"/>
        <v>7.0029999999999995E-2</v>
      </c>
      <c r="BG48" s="78">
        <f t="shared" si="21"/>
        <v>7.0029999999999995E-2</v>
      </c>
      <c r="BH48" s="78">
        <f t="shared" si="22"/>
        <v>7.0029999999999995E-2</v>
      </c>
      <c r="BI48" s="78">
        <f t="shared" si="23"/>
        <v>7.0029999999999995E-2</v>
      </c>
      <c r="BJ48" s="78">
        <f t="shared" si="24"/>
        <v>7.0029999999999995E-2</v>
      </c>
      <c r="BK48" s="78">
        <f t="shared" si="25"/>
        <v>7.0029999999999995E-2</v>
      </c>
      <c r="BL48" s="78">
        <f t="shared" si="26"/>
        <v>7.0029999999999995E-2</v>
      </c>
      <c r="BM48" s="78">
        <f t="shared" si="27"/>
        <v>7.0029999999999995E-2</v>
      </c>
      <c r="BN48" s="78">
        <f t="shared" si="28"/>
        <v>7.0029999999999995E-2</v>
      </c>
      <c r="BO48" s="78">
        <f t="shared" si="29"/>
        <v>7.0029999999999995E-2</v>
      </c>
      <c r="BP48" s="78">
        <f t="shared" si="30"/>
        <v>7.0029999999999995E-2</v>
      </c>
      <c r="BQ48" s="78">
        <f t="shared" si="31"/>
        <v>7.0029999999999995E-2</v>
      </c>
      <c r="BR48" s="78">
        <f t="shared" si="32"/>
        <v>7.0029999999999995E-2</v>
      </c>
      <c r="BS48" s="77"/>
      <c r="BT48" s="77"/>
    </row>
    <row r="49" spans="1:72" ht="14.1" customHeight="1" x14ac:dyDescent="0.2">
      <c r="A49" s="55" t="str">
        <f t="shared" si="2"/>
        <v>DS-3 (General Delivery Service)_Capacity Charge (kw-dy)</v>
      </c>
      <c r="B49" s="80" t="s">
        <v>666</v>
      </c>
      <c r="C49" s="71" t="s">
        <v>697</v>
      </c>
      <c r="D49" s="150"/>
      <c r="E49" s="81"/>
      <c r="F49" s="73" t="s">
        <v>640</v>
      </c>
      <c r="G49" s="73">
        <v>0</v>
      </c>
      <c r="H49" s="73">
        <v>6</v>
      </c>
      <c r="I49" s="74" t="s">
        <v>641</v>
      </c>
      <c r="J49" s="75" t="s">
        <v>634</v>
      </c>
      <c r="K49" s="74"/>
      <c r="L49" s="82">
        <v>0.23005999999999999</v>
      </c>
      <c r="M49" s="138">
        <v>0.23005999999999999</v>
      </c>
      <c r="N49" s="138">
        <v>0.23005999999999999</v>
      </c>
      <c r="O49" s="138">
        <v>0.23005999999999999</v>
      </c>
      <c r="P49" s="138">
        <v>0.23005999999999999</v>
      </c>
      <c r="Q49" s="138">
        <v>0.23005999999999999</v>
      </c>
      <c r="R49" s="138">
        <v>0.23005999999999999</v>
      </c>
      <c r="S49" s="138">
        <v>0.23005999999999999</v>
      </c>
      <c r="T49" s="138">
        <v>0.23005999999999999</v>
      </c>
      <c r="U49" s="138">
        <v>0.23005999999999999</v>
      </c>
      <c r="V49" s="138">
        <v>0.23005999999999999</v>
      </c>
      <c r="W49" s="138">
        <v>0.23005999999999999</v>
      </c>
      <c r="X49" s="138">
        <v>0.23005999999999999</v>
      </c>
      <c r="Y49" s="138">
        <f t="shared" si="33"/>
        <v>0.23005999999999999</v>
      </c>
      <c r="Z49" s="138">
        <f t="shared" si="34"/>
        <v>0.23005999999999999</v>
      </c>
      <c r="AA49" s="138">
        <f t="shared" si="35"/>
        <v>0.23005999999999999</v>
      </c>
      <c r="AB49" s="138">
        <f t="shared" si="36"/>
        <v>0.23005999999999999</v>
      </c>
      <c r="AC49" s="138">
        <f t="shared" si="37"/>
        <v>0.23005999999999999</v>
      </c>
      <c r="AD49" s="138">
        <f t="shared" si="38"/>
        <v>0.23005999999999999</v>
      </c>
      <c r="AE49" s="138">
        <f t="shared" si="39"/>
        <v>0.23005999999999999</v>
      </c>
      <c r="AF49" s="138">
        <f t="shared" si="40"/>
        <v>0.23005999999999999</v>
      </c>
      <c r="AG49" s="138">
        <f t="shared" si="41"/>
        <v>0.23005999999999999</v>
      </c>
      <c r="AH49" s="138">
        <f t="shared" si="42"/>
        <v>0.23005999999999999</v>
      </c>
      <c r="AI49" s="138">
        <f t="shared" si="43"/>
        <v>0.23005999999999999</v>
      </c>
      <c r="AJ49" s="138">
        <f t="shared" si="44"/>
        <v>0.23005999999999999</v>
      </c>
      <c r="AK49" s="138">
        <f t="shared" si="45"/>
        <v>0.23005999999999999</v>
      </c>
      <c r="AL49" s="138">
        <f t="shared" si="46"/>
        <v>0.23005999999999996</v>
      </c>
      <c r="AM49" s="138">
        <f t="shared" si="47"/>
        <v>0.23005999999999996</v>
      </c>
      <c r="AO49" s="77" t="str">
        <f t="shared" si="4"/>
        <v>DS-3 (General Delivery Service)</v>
      </c>
      <c r="AP49" s="78" t="s">
        <v>667</v>
      </c>
      <c r="AQ49" s="77" t="str">
        <f t="shared" si="5"/>
        <v>Capacity Charge (kw-dy)</v>
      </c>
      <c r="AR49" s="78" t="str">
        <f t="shared" si="6"/>
        <v>Prorated</v>
      </c>
      <c r="AS49" s="79">
        <f t="shared" si="7"/>
        <v>6</v>
      </c>
      <c r="AT49" s="78">
        <f t="shared" si="8"/>
        <v>0</v>
      </c>
      <c r="AU49" s="78">
        <f t="shared" si="9"/>
        <v>0.23005999999999999</v>
      </c>
      <c r="AV49" s="78">
        <f t="shared" si="10"/>
        <v>0.23005999999999999</v>
      </c>
      <c r="AW49" s="78">
        <f t="shared" si="11"/>
        <v>0.23005999999999999</v>
      </c>
      <c r="AX49" s="78">
        <f t="shared" si="12"/>
        <v>0.23005999999999999</v>
      </c>
      <c r="AY49" s="78">
        <f t="shared" si="13"/>
        <v>0.23005999999999999</v>
      </c>
      <c r="AZ49" s="78">
        <f t="shared" si="14"/>
        <v>0.23005999999999999</v>
      </c>
      <c r="BA49" s="78">
        <f t="shared" si="15"/>
        <v>0.23005999999999999</v>
      </c>
      <c r="BB49" s="78">
        <f t="shared" si="16"/>
        <v>0.23005999999999999</v>
      </c>
      <c r="BC49" s="78">
        <f t="shared" si="17"/>
        <v>0.23005999999999999</v>
      </c>
      <c r="BD49" s="78">
        <f t="shared" si="18"/>
        <v>0.23005999999999999</v>
      </c>
      <c r="BE49" s="78">
        <f t="shared" si="19"/>
        <v>0.23005999999999999</v>
      </c>
      <c r="BF49" s="78">
        <f t="shared" si="20"/>
        <v>0.23005999999999999</v>
      </c>
      <c r="BG49" s="78">
        <f t="shared" si="21"/>
        <v>0.23005999999999999</v>
      </c>
      <c r="BH49" s="78">
        <f t="shared" si="22"/>
        <v>0.23005999999999999</v>
      </c>
      <c r="BI49" s="78">
        <f t="shared" si="23"/>
        <v>0.23005999999999999</v>
      </c>
      <c r="BJ49" s="78">
        <f t="shared" si="24"/>
        <v>0.23005999999999999</v>
      </c>
      <c r="BK49" s="78">
        <f t="shared" si="25"/>
        <v>0.23005999999999999</v>
      </c>
      <c r="BL49" s="78">
        <f t="shared" si="26"/>
        <v>0.23005999999999999</v>
      </c>
      <c r="BM49" s="78">
        <f t="shared" si="27"/>
        <v>0.23005999999999999</v>
      </c>
      <c r="BN49" s="78">
        <f t="shared" si="28"/>
        <v>0.23005999999999999</v>
      </c>
      <c r="BO49" s="78">
        <f t="shared" si="29"/>
        <v>0.23005999999999999</v>
      </c>
      <c r="BP49" s="78">
        <f t="shared" si="30"/>
        <v>0.23005999999999999</v>
      </c>
      <c r="BQ49" s="78">
        <f t="shared" si="31"/>
        <v>0.23005999999999999</v>
      </c>
      <c r="BR49" s="78">
        <f t="shared" si="32"/>
        <v>0.23005999999999999</v>
      </c>
      <c r="BS49" s="77"/>
      <c r="BT49" s="77"/>
    </row>
    <row r="50" spans="1:72" ht="14.1" customHeight="1" x14ac:dyDescent="0.2">
      <c r="A50" s="55" t="str">
        <f t="shared" si="2"/>
        <v>DS-4 (Large General Service)_Capacity Charge (kw-dy)</v>
      </c>
      <c r="B50" s="80" t="s">
        <v>639</v>
      </c>
      <c r="C50" s="71" t="s">
        <v>697</v>
      </c>
      <c r="D50" s="150"/>
      <c r="E50" s="81"/>
      <c r="F50" s="73" t="s">
        <v>640</v>
      </c>
      <c r="G50" s="73">
        <v>0</v>
      </c>
      <c r="H50" s="73">
        <v>6</v>
      </c>
      <c r="I50" s="74" t="s">
        <v>641</v>
      </c>
      <c r="J50" s="75" t="s">
        <v>634</v>
      </c>
      <c r="K50" s="74"/>
      <c r="L50" s="82">
        <v>0.23005999999999999</v>
      </c>
      <c r="M50" s="138">
        <v>0.23005999999999999</v>
      </c>
      <c r="N50" s="138">
        <v>0.23005999999999999</v>
      </c>
      <c r="O50" s="138">
        <v>0.23005999999999999</v>
      </c>
      <c r="P50" s="138">
        <v>0.23005999999999999</v>
      </c>
      <c r="Q50" s="138">
        <v>0.23005999999999999</v>
      </c>
      <c r="R50" s="138">
        <v>0.23005999999999999</v>
      </c>
      <c r="S50" s="138">
        <v>0.23005999999999999</v>
      </c>
      <c r="T50" s="138">
        <v>0.23005999999999999</v>
      </c>
      <c r="U50" s="138">
        <v>0.23005999999999999</v>
      </c>
      <c r="V50" s="138">
        <v>0.23005999999999999</v>
      </c>
      <c r="W50" s="138">
        <v>0.23005999999999999</v>
      </c>
      <c r="X50" s="138">
        <v>0.23005999999999999</v>
      </c>
      <c r="Y50" s="138">
        <f t="shared" si="33"/>
        <v>0.23005999999999999</v>
      </c>
      <c r="Z50" s="138">
        <f t="shared" si="34"/>
        <v>0.23005999999999999</v>
      </c>
      <c r="AA50" s="138">
        <f t="shared" si="35"/>
        <v>0.23005999999999999</v>
      </c>
      <c r="AB50" s="138">
        <f t="shared" si="36"/>
        <v>0.23005999999999999</v>
      </c>
      <c r="AC50" s="138">
        <f t="shared" si="37"/>
        <v>0.23005999999999999</v>
      </c>
      <c r="AD50" s="138">
        <f t="shared" si="38"/>
        <v>0.23005999999999999</v>
      </c>
      <c r="AE50" s="138">
        <f t="shared" si="39"/>
        <v>0.23005999999999999</v>
      </c>
      <c r="AF50" s="138">
        <f t="shared" si="40"/>
        <v>0.23005999999999999</v>
      </c>
      <c r="AG50" s="138">
        <f t="shared" si="41"/>
        <v>0.23005999999999999</v>
      </c>
      <c r="AH50" s="138">
        <f t="shared" si="42"/>
        <v>0.23005999999999999</v>
      </c>
      <c r="AI50" s="138">
        <f t="shared" si="43"/>
        <v>0.23005999999999999</v>
      </c>
      <c r="AJ50" s="138">
        <f t="shared" si="44"/>
        <v>0.23005999999999999</v>
      </c>
      <c r="AK50" s="138">
        <f t="shared" si="45"/>
        <v>0.23005999999999999</v>
      </c>
      <c r="AL50" s="138">
        <f t="shared" si="46"/>
        <v>0.23005999999999996</v>
      </c>
      <c r="AM50" s="138">
        <f t="shared" si="47"/>
        <v>0.23005999999999996</v>
      </c>
      <c r="AO50" s="77" t="str">
        <f t="shared" si="4"/>
        <v>DS-4 (Large General Service)</v>
      </c>
      <c r="AP50" s="78" t="s">
        <v>642</v>
      </c>
      <c r="AQ50" s="77" t="str">
        <f t="shared" si="5"/>
        <v>Capacity Charge (kw-dy)</v>
      </c>
      <c r="AR50" s="78" t="str">
        <f t="shared" si="6"/>
        <v>Prorated</v>
      </c>
      <c r="AS50" s="79">
        <f t="shared" si="7"/>
        <v>6</v>
      </c>
      <c r="AT50" s="78">
        <f t="shared" si="8"/>
        <v>0</v>
      </c>
      <c r="AU50" s="78">
        <f t="shared" si="9"/>
        <v>0.23005999999999999</v>
      </c>
      <c r="AV50" s="78">
        <f t="shared" si="10"/>
        <v>0.23005999999999999</v>
      </c>
      <c r="AW50" s="78">
        <f t="shared" si="11"/>
        <v>0.23005999999999999</v>
      </c>
      <c r="AX50" s="78">
        <f t="shared" si="12"/>
        <v>0.23005999999999999</v>
      </c>
      <c r="AY50" s="78">
        <f t="shared" si="13"/>
        <v>0.23005999999999999</v>
      </c>
      <c r="AZ50" s="78">
        <f t="shared" si="14"/>
        <v>0.23005999999999999</v>
      </c>
      <c r="BA50" s="78">
        <f t="shared" si="15"/>
        <v>0.23005999999999999</v>
      </c>
      <c r="BB50" s="78">
        <f t="shared" si="16"/>
        <v>0.23005999999999999</v>
      </c>
      <c r="BC50" s="78">
        <f t="shared" si="17"/>
        <v>0.23005999999999999</v>
      </c>
      <c r="BD50" s="78">
        <f t="shared" si="18"/>
        <v>0.23005999999999999</v>
      </c>
      <c r="BE50" s="78">
        <f t="shared" si="19"/>
        <v>0.23005999999999999</v>
      </c>
      <c r="BF50" s="78">
        <f t="shared" si="20"/>
        <v>0.23005999999999999</v>
      </c>
      <c r="BG50" s="78">
        <f t="shared" si="21"/>
        <v>0.23005999999999999</v>
      </c>
      <c r="BH50" s="78">
        <f t="shared" si="22"/>
        <v>0.23005999999999999</v>
      </c>
      <c r="BI50" s="78">
        <f t="shared" si="23"/>
        <v>0.23005999999999999</v>
      </c>
      <c r="BJ50" s="78">
        <f t="shared" si="24"/>
        <v>0.23005999999999999</v>
      </c>
      <c r="BK50" s="78">
        <f t="shared" si="25"/>
        <v>0.23005999999999999</v>
      </c>
      <c r="BL50" s="78">
        <f t="shared" si="26"/>
        <v>0.23005999999999999</v>
      </c>
      <c r="BM50" s="78">
        <f t="shared" si="27"/>
        <v>0.23005999999999999</v>
      </c>
      <c r="BN50" s="78">
        <f t="shared" si="28"/>
        <v>0.23005999999999999</v>
      </c>
      <c r="BO50" s="78">
        <f t="shared" si="29"/>
        <v>0.23005999999999999</v>
      </c>
      <c r="BP50" s="78">
        <f t="shared" si="30"/>
        <v>0.23005999999999999</v>
      </c>
      <c r="BQ50" s="78">
        <f t="shared" si="31"/>
        <v>0.23005999999999999</v>
      </c>
      <c r="BR50" s="78">
        <f t="shared" si="32"/>
        <v>0.23005999999999999</v>
      </c>
      <c r="BS50" s="77"/>
      <c r="BT50" s="77"/>
    </row>
    <row r="51" spans="1:72" ht="14.1" customHeight="1" x14ac:dyDescent="0.2">
      <c r="A51" s="55" t="str">
        <f t="shared" si="2"/>
        <v>DS-6 (DS-3) Temp. Sensitive DS_Capacity Charge (kw-dy)</v>
      </c>
      <c r="B51" s="80" t="s">
        <v>643</v>
      </c>
      <c r="C51" s="71" t="s">
        <v>697</v>
      </c>
      <c r="D51" s="150"/>
      <c r="E51" s="81"/>
      <c r="F51" s="73" t="s">
        <v>640</v>
      </c>
      <c r="G51" s="73">
        <v>0</v>
      </c>
      <c r="H51" s="73">
        <v>6</v>
      </c>
      <c r="I51" s="74" t="s">
        <v>641</v>
      </c>
      <c r="J51" s="75" t="s">
        <v>634</v>
      </c>
      <c r="K51" s="74"/>
      <c r="L51" s="82">
        <v>0.23005999999999999</v>
      </c>
      <c r="M51" s="138">
        <v>0.23005999999999999</v>
      </c>
      <c r="N51" s="138">
        <v>0.23005999999999999</v>
      </c>
      <c r="O51" s="138">
        <v>0.23005999999999999</v>
      </c>
      <c r="P51" s="138">
        <v>0.23005999999999999</v>
      </c>
      <c r="Q51" s="138">
        <v>0.23005999999999999</v>
      </c>
      <c r="R51" s="138">
        <v>0.23005999999999999</v>
      </c>
      <c r="S51" s="138">
        <v>0.23005999999999999</v>
      </c>
      <c r="T51" s="138">
        <v>0.23005999999999999</v>
      </c>
      <c r="U51" s="138">
        <v>0.23005999999999999</v>
      </c>
      <c r="V51" s="138">
        <v>0.23005999999999999</v>
      </c>
      <c r="W51" s="138">
        <v>0.23005999999999999</v>
      </c>
      <c r="X51" s="138">
        <v>0.23005999999999999</v>
      </c>
      <c r="Y51" s="138">
        <f t="shared" si="33"/>
        <v>0.23005999999999999</v>
      </c>
      <c r="Z51" s="138">
        <f t="shared" si="34"/>
        <v>0.23005999999999999</v>
      </c>
      <c r="AA51" s="138">
        <f t="shared" si="35"/>
        <v>0.23005999999999999</v>
      </c>
      <c r="AB51" s="138">
        <f t="shared" si="36"/>
        <v>0.23005999999999999</v>
      </c>
      <c r="AC51" s="138">
        <f t="shared" si="37"/>
        <v>0.23005999999999999</v>
      </c>
      <c r="AD51" s="138">
        <f t="shared" si="38"/>
        <v>0.23005999999999999</v>
      </c>
      <c r="AE51" s="138">
        <f t="shared" si="39"/>
        <v>0.23005999999999999</v>
      </c>
      <c r="AF51" s="138">
        <f t="shared" si="40"/>
        <v>0.23005999999999999</v>
      </c>
      <c r="AG51" s="138">
        <f t="shared" si="41"/>
        <v>0.23005999999999999</v>
      </c>
      <c r="AH51" s="138">
        <f t="shared" si="42"/>
        <v>0.23005999999999999</v>
      </c>
      <c r="AI51" s="138">
        <f t="shared" si="43"/>
        <v>0.23005999999999999</v>
      </c>
      <c r="AJ51" s="138">
        <f t="shared" si="44"/>
        <v>0.23005999999999999</v>
      </c>
      <c r="AK51" s="138">
        <f t="shared" si="45"/>
        <v>0.23005999999999999</v>
      </c>
      <c r="AL51" s="138">
        <f t="shared" si="46"/>
        <v>0.23005999999999996</v>
      </c>
      <c r="AM51" s="138">
        <f t="shared" si="47"/>
        <v>0.23005999999999996</v>
      </c>
      <c r="AO51" s="77" t="str">
        <f t="shared" si="4"/>
        <v>DS-6 (DS-3) Temp. Sensitive DS</v>
      </c>
      <c r="AP51" s="78" t="s">
        <v>644</v>
      </c>
      <c r="AQ51" s="77" t="str">
        <f t="shared" si="5"/>
        <v>Capacity Charge (kw-dy)</v>
      </c>
      <c r="AR51" s="78" t="str">
        <f t="shared" si="6"/>
        <v>Prorated</v>
      </c>
      <c r="AS51" s="79">
        <f t="shared" si="7"/>
        <v>6</v>
      </c>
      <c r="AT51" s="78">
        <f t="shared" si="8"/>
        <v>0</v>
      </c>
      <c r="AU51" s="78">
        <f t="shared" si="9"/>
        <v>0.23005999999999999</v>
      </c>
      <c r="AV51" s="78">
        <f t="shared" si="10"/>
        <v>0.23005999999999999</v>
      </c>
      <c r="AW51" s="78">
        <f t="shared" si="11"/>
        <v>0.23005999999999999</v>
      </c>
      <c r="AX51" s="78">
        <f t="shared" si="12"/>
        <v>0.23005999999999999</v>
      </c>
      <c r="AY51" s="78">
        <f t="shared" si="13"/>
        <v>0.23005999999999999</v>
      </c>
      <c r="AZ51" s="78">
        <f t="shared" si="14"/>
        <v>0.23005999999999999</v>
      </c>
      <c r="BA51" s="78">
        <f t="shared" si="15"/>
        <v>0.23005999999999999</v>
      </c>
      <c r="BB51" s="78">
        <f t="shared" si="16"/>
        <v>0.23005999999999999</v>
      </c>
      <c r="BC51" s="78">
        <f t="shared" si="17"/>
        <v>0.23005999999999999</v>
      </c>
      <c r="BD51" s="78">
        <f t="shared" si="18"/>
        <v>0.23005999999999999</v>
      </c>
      <c r="BE51" s="78">
        <f t="shared" si="19"/>
        <v>0.23005999999999999</v>
      </c>
      <c r="BF51" s="78">
        <f t="shared" si="20"/>
        <v>0.23005999999999999</v>
      </c>
      <c r="BG51" s="78">
        <f t="shared" si="21"/>
        <v>0.23005999999999999</v>
      </c>
      <c r="BH51" s="78">
        <f t="shared" si="22"/>
        <v>0.23005999999999999</v>
      </c>
      <c r="BI51" s="78">
        <f t="shared" si="23"/>
        <v>0.23005999999999999</v>
      </c>
      <c r="BJ51" s="78">
        <f t="shared" si="24"/>
        <v>0.23005999999999999</v>
      </c>
      <c r="BK51" s="78">
        <f t="shared" si="25"/>
        <v>0.23005999999999999</v>
      </c>
      <c r="BL51" s="78">
        <f t="shared" si="26"/>
        <v>0.23005999999999999</v>
      </c>
      <c r="BM51" s="78">
        <f t="shared" si="27"/>
        <v>0.23005999999999999</v>
      </c>
      <c r="BN51" s="78">
        <f t="shared" si="28"/>
        <v>0.23005999999999999</v>
      </c>
      <c r="BO51" s="78">
        <f t="shared" si="29"/>
        <v>0.23005999999999999</v>
      </c>
      <c r="BP51" s="78">
        <f t="shared" si="30"/>
        <v>0.23005999999999999</v>
      </c>
      <c r="BQ51" s="78">
        <f t="shared" si="31"/>
        <v>0.23005999999999999</v>
      </c>
      <c r="BR51" s="78">
        <f t="shared" si="32"/>
        <v>0.23005999999999999</v>
      </c>
      <c r="BS51" s="77"/>
      <c r="BT51" s="77"/>
    </row>
    <row r="52" spans="1:72" ht="14.1" customHeight="1" x14ac:dyDescent="0.2">
      <c r="A52" s="55" t="str">
        <f t="shared" si="2"/>
        <v>DS-6 (DS-4) Temp. Sensitive DS_Capacity Charge (kw-dy)</v>
      </c>
      <c r="B52" s="80" t="s">
        <v>645</v>
      </c>
      <c r="C52" s="71" t="s">
        <v>697</v>
      </c>
      <c r="D52" s="150"/>
      <c r="E52" s="81"/>
      <c r="F52" s="73" t="s">
        <v>640</v>
      </c>
      <c r="G52" s="73">
        <v>0</v>
      </c>
      <c r="H52" s="73">
        <v>6</v>
      </c>
      <c r="I52" s="74" t="s">
        <v>641</v>
      </c>
      <c r="J52" s="75" t="s">
        <v>634</v>
      </c>
      <c r="K52" s="74"/>
      <c r="L52" s="82">
        <v>0.23005999999999999</v>
      </c>
      <c r="M52" s="138">
        <v>0.23005999999999999</v>
      </c>
      <c r="N52" s="138">
        <v>0.23005999999999999</v>
      </c>
      <c r="O52" s="138">
        <v>0.23005999999999999</v>
      </c>
      <c r="P52" s="138">
        <v>0.23005999999999999</v>
      </c>
      <c r="Q52" s="138">
        <v>0.23005999999999999</v>
      </c>
      <c r="R52" s="138">
        <v>0.23005999999999999</v>
      </c>
      <c r="S52" s="138">
        <v>0.23005999999999999</v>
      </c>
      <c r="T52" s="138">
        <v>0.23005999999999999</v>
      </c>
      <c r="U52" s="138">
        <v>0.23005999999999999</v>
      </c>
      <c r="V52" s="138">
        <v>0.23005999999999999</v>
      </c>
      <c r="W52" s="138">
        <v>0.23005999999999999</v>
      </c>
      <c r="X52" s="138">
        <v>0.23005999999999999</v>
      </c>
      <c r="Y52" s="138">
        <f t="shared" si="33"/>
        <v>0.23005999999999999</v>
      </c>
      <c r="Z52" s="138">
        <f t="shared" si="34"/>
        <v>0.23005999999999999</v>
      </c>
      <c r="AA52" s="138">
        <f t="shared" si="35"/>
        <v>0.23005999999999999</v>
      </c>
      <c r="AB52" s="138">
        <f t="shared" si="36"/>
        <v>0.23005999999999999</v>
      </c>
      <c r="AC52" s="138">
        <f t="shared" si="37"/>
        <v>0.23005999999999999</v>
      </c>
      <c r="AD52" s="138">
        <f t="shared" si="38"/>
        <v>0.23005999999999999</v>
      </c>
      <c r="AE52" s="138">
        <f t="shared" si="39"/>
        <v>0.23005999999999999</v>
      </c>
      <c r="AF52" s="138">
        <f t="shared" si="40"/>
        <v>0.23005999999999999</v>
      </c>
      <c r="AG52" s="138">
        <f t="shared" si="41"/>
        <v>0.23005999999999999</v>
      </c>
      <c r="AH52" s="138">
        <f t="shared" si="42"/>
        <v>0.23005999999999999</v>
      </c>
      <c r="AI52" s="138">
        <f t="shared" si="43"/>
        <v>0.23005999999999999</v>
      </c>
      <c r="AJ52" s="138">
        <f t="shared" si="44"/>
        <v>0.23005999999999999</v>
      </c>
      <c r="AK52" s="138">
        <f t="shared" si="45"/>
        <v>0.23005999999999999</v>
      </c>
      <c r="AL52" s="138">
        <f t="shared" si="46"/>
        <v>0.23005999999999996</v>
      </c>
      <c r="AM52" s="138">
        <f t="shared" si="47"/>
        <v>0.23005999999999996</v>
      </c>
      <c r="AO52" s="77" t="str">
        <f t="shared" si="4"/>
        <v>DS-6 (DS-4) Temp. Sensitive DS</v>
      </c>
      <c r="AP52" s="78" t="s">
        <v>646</v>
      </c>
      <c r="AQ52" s="77" t="str">
        <f t="shared" si="5"/>
        <v>Capacity Charge (kw-dy)</v>
      </c>
      <c r="AR52" s="78" t="str">
        <f t="shared" si="6"/>
        <v>Prorated</v>
      </c>
      <c r="AS52" s="79">
        <f t="shared" si="7"/>
        <v>6</v>
      </c>
      <c r="AT52" s="78">
        <f t="shared" si="8"/>
        <v>0</v>
      </c>
      <c r="AU52" s="78">
        <f t="shared" si="9"/>
        <v>0.23005999999999999</v>
      </c>
      <c r="AV52" s="78">
        <f t="shared" si="10"/>
        <v>0.23005999999999999</v>
      </c>
      <c r="AW52" s="78">
        <f t="shared" si="11"/>
        <v>0.23005999999999999</v>
      </c>
      <c r="AX52" s="78">
        <f t="shared" si="12"/>
        <v>0.23005999999999999</v>
      </c>
      <c r="AY52" s="78">
        <f t="shared" si="13"/>
        <v>0.23005999999999999</v>
      </c>
      <c r="AZ52" s="78">
        <f t="shared" si="14"/>
        <v>0.23005999999999999</v>
      </c>
      <c r="BA52" s="78">
        <f t="shared" si="15"/>
        <v>0.23005999999999999</v>
      </c>
      <c r="BB52" s="78">
        <f t="shared" si="16"/>
        <v>0.23005999999999999</v>
      </c>
      <c r="BC52" s="78">
        <f t="shared" si="17"/>
        <v>0.23005999999999999</v>
      </c>
      <c r="BD52" s="78">
        <f t="shared" si="18"/>
        <v>0.23005999999999999</v>
      </c>
      <c r="BE52" s="78">
        <f t="shared" si="19"/>
        <v>0.23005999999999999</v>
      </c>
      <c r="BF52" s="78">
        <f t="shared" si="20"/>
        <v>0.23005999999999999</v>
      </c>
      <c r="BG52" s="78">
        <f t="shared" si="21"/>
        <v>0.23005999999999999</v>
      </c>
      <c r="BH52" s="78">
        <f t="shared" si="22"/>
        <v>0.23005999999999999</v>
      </c>
      <c r="BI52" s="78">
        <f t="shared" si="23"/>
        <v>0.23005999999999999</v>
      </c>
      <c r="BJ52" s="78">
        <f t="shared" si="24"/>
        <v>0.23005999999999999</v>
      </c>
      <c r="BK52" s="78">
        <f t="shared" si="25"/>
        <v>0.23005999999999999</v>
      </c>
      <c r="BL52" s="78">
        <f t="shared" si="26"/>
        <v>0.23005999999999999</v>
      </c>
      <c r="BM52" s="78">
        <f t="shared" si="27"/>
        <v>0.23005999999999999</v>
      </c>
      <c r="BN52" s="78">
        <f t="shared" si="28"/>
        <v>0.23005999999999999</v>
      </c>
      <c r="BO52" s="78">
        <f t="shared" si="29"/>
        <v>0.23005999999999999</v>
      </c>
      <c r="BP52" s="78">
        <f t="shared" si="30"/>
        <v>0.23005999999999999</v>
      </c>
      <c r="BQ52" s="78">
        <f t="shared" si="31"/>
        <v>0.23005999999999999</v>
      </c>
      <c r="BR52" s="78">
        <f t="shared" si="32"/>
        <v>0.23005999999999999</v>
      </c>
      <c r="BS52" s="77"/>
      <c r="BT52" s="77"/>
    </row>
    <row r="53" spans="1:72" ht="14.1" customHeight="1" x14ac:dyDescent="0.2">
      <c r="A53" s="55" t="str">
        <f t="shared" si="2"/>
        <v>GDS-1 (Residential)_Commodity Gas Charge (CGC)</v>
      </c>
      <c r="B53" s="80" t="s">
        <v>95</v>
      </c>
      <c r="C53" s="83" t="s">
        <v>698</v>
      </c>
      <c r="D53" s="150" t="s">
        <v>603</v>
      </c>
      <c r="E53" s="81"/>
      <c r="F53" s="73" t="s">
        <v>640</v>
      </c>
      <c r="G53" s="73">
        <v>0</v>
      </c>
      <c r="H53" s="73">
        <v>6</v>
      </c>
      <c r="I53" s="74" t="s">
        <v>699</v>
      </c>
      <c r="J53" s="75" t="s">
        <v>634</v>
      </c>
      <c r="K53" s="74"/>
      <c r="L53" s="82">
        <v>0.3513</v>
      </c>
      <c r="M53" s="138">
        <v>0.34820000000000001</v>
      </c>
      <c r="N53" s="138">
        <v>0.30780000000000002</v>
      </c>
      <c r="O53" s="138">
        <v>0.37119999999999997</v>
      </c>
      <c r="P53" s="138">
        <v>0.3206</v>
      </c>
      <c r="Q53" s="138">
        <v>0.34599999999999997</v>
      </c>
      <c r="R53" s="138">
        <v>0.34410000000000002</v>
      </c>
      <c r="S53" s="138">
        <v>0.33600000000000002</v>
      </c>
      <c r="T53" s="138">
        <v>0.34670000000000001</v>
      </c>
      <c r="U53" s="138">
        <v>0.39650000000000002</v>
      </c>
      <c r="V53" s="138">
        <v>0.3861</v>
      </c>
      <c r="W53" s="138">
        <v>0.3861</v>
      </c>
      <c r="X53" s="138">
        <v>0.3861</v>
      </c>
      <c r="Y53" s="138">
        <f t="shared" si="33"/>
        <v>0.3861</v>
      </c>
      <c r="Z53" s="138">
        <f t="shared" si="34"/>
        <v>0.3861</v>
      </c>
      <c r="AA53" s="138">
        <f t="shared" si="35"/>
        <v>0.3861</v>
      </c>
      <c r="AB53" s="138">
        <f t="shared" si="36"/>
        <v>0.3861</v>
      </c>
      <c r="AC53" s="138">
        <f t="shared" si="37"/>
        <v>0.3861</v>
      </c>
      <c r="AD53" s="138">
        <f t="shared" si="38"/>
        <v>0.3861</v>
      </c>
      <c r="AE53" s="138">
        <f t="shared" si="39"/>
        <v>0.3861</v>
      </c>
      <c r="AF53" s="138">
        <f t="shared" si="40"/>
        <v>0.3861</v>
      </c>
      <c r="AG53" s="138">
        <f t="shared" si="41"/>
        <v>0.3861</v>
      </c>
      <c r="AH53" s="138">
        <f t="shared" si="42"/>
        <v>0.3861</v>
      </c>
      <c r="AI53" s="138">
        <f t="shared" si="43"/>
        <v>0.3861</v>
      </c>
      <c r="AJ53" s="138">
        <f t="shared" si="44"/>
        <v>0.3861</v>
      </c>
      <c r="AK53" s="138">
        <f t="shared" si="45"/>
        <v>0.3861</v>
      </c>
      <c r="AL53" s="138">
        <f t="shared" si="46"/>
        <v>0.38609999999999994</v>
      </c>
      <c r="AM53" s="138">
        <f t="shared" si="47"/>
        <v>0.37277083333333333</v>
      </c>
      <c r="AO53" s="77" t="str">
        <f t="shared" si="4"/>
        <v>GDS-1 (Residential)</v>
      </c>
      <c r="AP53" s="78" t="s">
        <v>668</v>
      </c>
      <c r="AQ53" s="77" t="str">
        <f t="shared" si="5"/>
        <v>Commodity Gas Charge (CGC)</v>
      </c>
      <c r="AR53" s="78" t="str">
        <f t="shared" si="6"/>
        <v>Prorated</v>
      </c>
      <c r="AS53" s="79">
        <f t="shared" si="7"/>
        <v>6</v>
      </c>
      <c r="AT53" s="78">
        <f t="shared" si="8"/>
        <v>0</v>
      </c>
      <c r="AU53" s="78">
        <f t="shared" si="9"/>
        <v>0.34820000000000001</v>
      </c>
      <c r="AV53" s="78">
        <f t="shared" si="10"/>
        <v>0.30780000000000002</v>
      </c>
      <c r="AW53" s="78">
        <f t="shared" si="11"/>
        <v>0.37119999999999997</v>
      </c>
      <c r="AX53" s="78">
        <f t="shared" si="12"/>
        <v>0.3206</v>
      </c>
      <c r="AY53" s="78">
        <f t="shared" si="13"/>
        <v>0.34599999999999997</v>
      </c>
      <c r="AZ53" s="78">
        <f t="shared" si="14"/>
        <v>0.34410000000000002</v>
      </c>
      <c r="BA53" s="78">
        <f t="shared" si="15"/>
        <v>0.33600000000000002</v>
      </c>
      <c r="BB53" s="78">
        <f t="shared" si="16"/>
        <v>0.34670000000000001</v>
      </c>
      <c r="BC53" s="78">
        <f t="shared" si="17"/>
        <v>0.39650000000000002</v>
      </c>
      <c r="BD53" s="78">
        <f t="shared" si="18"/>
        <v>0.3861</v>
      </c>
      <c r="BE53" s="78">
        <f t="shared" si="19"/>
        <v>0.3861</v>
      </c>
      <c r="BF53" s="78">
        <f t="shared" si="20"/>
        <v>0.3861</v>
      </c>
      <c r="BG53" s="78">
        <f t="shared" si="21"/>
        <v>0.3861</v>
      </c>
      <c r="BH53" s="78">
        <f t="shared" si="22"/>
        <v>0.3861</v>
      </c>
      <c r="BI53" s="78">
        <f t="shared" si="23"/>
        <v>0.3861</v>
      </c>
      <c r="BJ53" s="78">
        <f t="shared" si="24"/>
        <v>0.3861</v>
      </c>
      <c r="BK53" s="78">
        <f t="shared" si="25"/>
        <v>0.3861</v>
      </c>
      <c r="BL53" s="78">
        <f t="shared" si="26"/>
        <v>0.3861</v>
      </c>
      <c r="BM53" s="78">
        <f t="shared" si="27"/>
        <v>0.3861</v>
      </c>
      <c r="BN53" s="78">
        <f t="shared" si="28"/>
        <v>0.3861</v>
      </c>
      <c r="BO53" s="78">
        <f t="shared" si="29"/>
        <v>0.3861</v>
      </c>
      <c r="BP53" s="78">
        <f t="shared" si="30"/>
        <v>0.3861</v>
      </c>
      <c r="BQ53" s="78">
        <f t="shared" si="31"/>
        <v>0.3861</v>
      </c>
      <c r="BR53" s="78">
        <f t="shared" si="32"/>
        <v>0.3861</v>
      </c>
      <c r="BS53" s="77"/>
      <c r="BT53" s="77"/>
    </row>
    <row r="54" spans="1:72" ht="14.1" customHeight="1" x14ac:dyDescent="0.2">
      <c r="A54" s="55" t="str">
        <f t="shared" si="2"/>
        <v>GDS-2 (Small General Delivery)_Commodity Gas Charge (CGC)</v>
      </c>
      <c r="B54" s="80" t="s">
        <v>669</v>
      </c>
      <c r="C54" s="83" t="s">
        <v>698</v>
      </c>
      <c r="D54" s="150"/>
      <c r="E54" s="81"/>
      <c r="F54" s="73" t="s">
        <v>640</v>
      </c>
      <c r="G54" s="73">
        <v>0</v>
      </c>
      <c r="H54" s="73">
        <v>6</v>
      </c>
      <c r="I54" s="74" t="s">
        <v>699</v>
      </c>
      <c r="J54" s="75" t="s">
        <v>634</v>
      </c>
      <c r="K54" s="74"/>
      <c r="L54" s="82">
        <v>0.3513</v>
      </c>
      <c r="M54" s="138">
        <v>0.34820000000000001</v>
      </c>
      <c r="N54" s="138">
        <v>0.30780000000000002</v>
      </c>
      <c r="O54" s="138">
        <v>0.37119999999999997</v>
      </c>
      <c r="P54" s="138">
        <v>0.3206</v>
      </c>
      <c r="Q54" s="138">
        <v>0.34599999999999997</v>
      </c>
      <c r="R54" s="138">
        <v>0.34410000000000002</v>
      </c>
      <c r="S54" s="138">
        <v>0.33600000000000002</v>
      </c>
      <c r="T54" s="138">
        <v>0.34670000000000001</v>
      </c>
      <c r="U54" s="138">
        <v>0.39650000000000002</v>
      </c>
      <c r="V54" s="138">
        <v>0.3861</v>
      </c>
      <c r="W54" s="138">
        <v>0.3861</v>
      </c>
      <c r="X54" s="138">
        <v>0.3861</v>
      </c>
      <c r="Y54" s="138">
        <f t="shared" si="33"/>
        <v>0.3861</v>
      </c>
      <c r="Z54" s="138">
        <f t="shared" si="34"/>
        <v>0.3861</v>
      </c>
      <c r="AA54" s="138">
        <f t="shared" si="35"/>
        <v>0.3861</v>
      </c>
      <c r="AB54" s="138">
        <f t="shared" si="36"/>
        <v>0.3861</v>
      </c>
      <c r="AC54" s="138">
        <f t="shared" si="37"/>
        <v>0.3861</v>
      </c>
      <c r="AD54" s="138">
        <f t="shared" si="38"/>
        <v>0.3861</v>
      </c>
      <c r="AE54" s="138">
        <f t="shared" si="39"/>
        <v>0.3861</v>
      </c>
      <c r="AF54" s="138">
        <f t="shared" si="40"/>
        <v>0.3861</v>
      </c>
      <c r="AG54" s="138">
        <f t="shared" si="41"/>
        <v>0.3861</v>
      </c>
      <c r="AH54" s="138">
        <f t="shared" si="42"/>
        <v>0.3861</v>
      </c>
      <c r="AI54" s="138">
        <f t="shared" si="43"/>
        <v>0.3861</v>
      </c>
      <c r="AJ54" s="138">
        <f t="shared" si="44"/>
        <v>0.3861</v>
      </c>
      <c r="AK54" s="138">
        <f t="shared" si="45"/>
        <v>0.3861</v>
      </c>
      <c r="AL54" s="138">
        <f t="shared" si="46"/>
        <v>0.38609999999999994</v>
      </c>
      <c r="AM54" s="138">
        <f t="shared" si="47"/>
        <v>0.37277083333333333</v>
      </c>
      <c r="AO54" s="77" t="str">
        <f t="shared" si="4"/>
        <v>GDS-2 (Small General Delivery)</v>
      </c>
      <c r="AP54" s="78" t="s">
        <v>670</v>
      </c>
      <c r="AQ54" s="77" t="str">
        <f t="shared" si="5"/>
        <v>Commodity Gas Charge (CGC)</v>
      </c>
      <c r="AR54" s="78" t="str">
        <f t="shared" si="6"/>
        <v>Prorated</v>
      </c>
      <c r="AS54" s="79">
        <f t="shared" si="7"/>
        <v>6</v>
      </c>
      <c r="AT54" s="78">
        <f t="shared" si="8"/>
        <v>0</v>
      </c>
      <c r="AU54" s="78">
        <f t="shared" si="9"/>
        <v>0.34820000000000001</v>
      </c>
      <c r="AV54" s="78">
        <f t="shared" si="10"/>
        <v>0.30780000000000002</v>
      </c>
      <c r="AW54" s="78">
        <f t="shared" si="11"/>
        <v>0.37119999999999997</v>
      </c>
      <c r="AX54" s="78">
        <f t="shared" si="12"/>
        <v>0.3206</v>
      </c>
      <c r="AY54" s="78">
        <f t="shared" si="13"/>
        <v>0.34599999999999997</v>
      </c>
      <c r="AZ54" s="78">
        <f t="shared" si="14"/>
        <v>0.34410000000000002</v>
      </c>
      <c r="BA54" s="78">
        <f t="shared" si="15"/>
        <v>0.33600000000000002</v>
      </c>
      <c r="BB54" s="78">
        <f t="shared" si="16"/>
        <v>0.34670000000000001</v>
      </c>
      <c r="BC54" s="78">
        <f t="shared" si="17"/>
        <v>0.39650000000000002</v>
      </c>
      <c r="BD54" s="78">
        <f t="shared" si="18"/>
        <v>0.3861</v>
      </c>
      <c r="BE54" s="78">
        <f t="shared" si="19"/>
        <v>0.3861</v>
      </c>
      <c r="BF54" s="78">
        <f t="shared" si="20"/>
        <v>0.3861</v>
      </c>
      <c r="BG54" s="78">
        <f t="shared" si="21"/>
        <v>0.3861</v>
      </c>
      <c r="BH54" s="78">
        <f t="shared" si="22"/>
        <v>0.3861</v>
      </c>
      <c r="BI54" s="78">
        <f t="shared" si="23"/>
        <v>0.3861</v>
      </c>
      <c r="BJ54" s="78">
        <f t="shared" si="24"/>
        <v>0.3861</v>
      </c>
      <c r="BK54" s="78">
        <f t="shared" si="25"/>
        <v>0.3861</v>
      </c>
      <c r="BL54" s="78">
        <f t="shared" si="26"/>
        <v>0.3861</v>
      </c>
      <c r="BM54" s="78">
        <f t="shared" si="27"/>
        <v>0.3861</v>
      </c>
      <c r="BN54" s="78">
        <f t="shared" si="28"/>
        <v>0.3861</v>
      </c>
      <c r="BO54" s="78">
        <f t="shared" si="29"/>
        <v>0.3861</v>
      </c>
      <c r="BP54" s="78">
        <f t="shared" si="30"/>
        <v>0.3861</v>
      </c>
      <c r="BQ54" s="78">
        <f t="shared" si="31"/>
        <v>0.3861</v>
      </c>
      <c r="BR54" s="78">
        <f t="shared" si="32"/>
        <v>0.3861</v>
      </c>
      <c r="BS54" s="77"/>
      <c r="BT54" s="77"/>
    </row>
    <row r="55" spans="1:72" ht="14.1" customHeight="1" x14ac:dyDescent="0.2">
      <c r="A55" s="55" t="str">
        <f t="shared" si="2"/>
        <v>GDS-3 (Intermediate General Delivery)_Commodity Gas Charge (CGC)</v>
      </c>
      <c r="B55" s="80" t="s">
        <v>671</v>
      </c>
      <c r="C55" s="83" t="s">
        <v>698</v>
      </c>
      <c r="D55" s="150"/>
      <c r="E55" s="81"/>
      <c r="F55" s="73" t="s">
        <v>640</v>
      </c>
      <c r="G55" s="73">
        <v>0</v>
      </c>
      <c r="H55" s="73">
        <v>6</v>
      </c>
      <c r="I55" s="74" t="s">
        <v>699</v>
      </c>
      <c r="J55" s="75" t="s">
        <v>634</v>
      </c>
      <c r="K55" s="74"/>
      <c r="L55" s="82">
        <v>0.3513</v>
      </c>
      <c r="M55" s="138">
        <v>0.34820000000000001</v>
      </c>
      <c r="N55" s="138">
        <v>0.30780000000000002</v>
      </c>
      <c r="O55" s="138">
        <v>0.37119999999999997</v>
      </c>
      <c r="P55" s="138">
        <v>0.3206</v>
      </c>
      <c r="Q55" s="138">
        <v>0.34599999999999997</v>
      </c>
      <c r="R55" s="138">
        <v>0.34410000000000002</v>
      </c>
      <c r="S55" s="138">
        <v>0.33600000000000002</v>
      </c>
      <c r="T55" s="138">
        <v>0.34670000000000001</v>
      </c>
      <c r="U55" s="138">
        <v>0.39650000000000002</v>
      </c>
      <c r="V55" s="138">
        <v>0.3861</v>
      </c>
      <c r="W55" s="138">
        <v>0.3861</v>
      </c>
      <c r="X55" s="138">
        <v>0.3861</v>
      </c>
      <c r="Y55" s="138">
        <f t="shared" si="33"/>
        <v>0.3861</v>
      </c>
      <c r="Z55" s="138">
        <f t="shared" si="34"/>
        <v>0.3861</v>
      </c>
      <c r="AA55" s="138">
        <f t="shared" si="35"/>
        <v>0.3861</v>
      </c>
      <c r="AB55" s="138">
        <f t="shared" si="36"/>
        <v>0.3861</v>
      </c>
      <c r="AC55" s="138">
        <f t="shared" si="37"/>
        <v>0.3861</v>
      </c>
      <c r="AD55" s="138">
        <f t="shared" si="38"/>
        <v>0.3861</v>
      </c>
      <c r="AE55" s="138">
        <f t="shared" si="39"/>
        <v>0.3861</v>
      </c>
      <c r="AF55" s="138">
        <f t="shared" si="40"/>
        <v>0.3861</v>
      </c>
      <c r="AG55" s="138">
        <f t="shared" si="41"/>
        <v>0.3861</v>
      </c>
      <c r="AH55" s="138">
        <f t="shared" si="42"/>
        <v>0.3861</v>
      </c>
      <c r="AI55" s="138">
        <f t="shared" si="43"/>
        <v>0.3861</v>
      </c>
      <c r="AJ55" s="138">
        <f t="shared" si="44"/>
        <v>0.3861</v>
      </c>
      <c r="AK55" s="138">
        <f t="shared" si="45"/>
        <v>0.3861</v>
      </c>
      <c r="AL55" s="138">
        <f t="shared" si="46"/>
        <v>0.38609999999999994</v>
      </c>
      <c r="AM55" s="138">
        <f t="shared" si="47"/>
        <v>0.37277083333333333</v>
      </c>
      <c r="AO55" s="77" t="str">
        <f t="shared" si="4"/>
        <v>GDS-3 (Intermediate General Delivery)</v>
      </c>
      <c r="AP55" s="78" t="s">
        <v>672</v>
      </c>
      <c r="AQ55" s="77" t="str">
        <f t="shared" si="5"/>
        <v>Commodity Gas Charge (CGC)</v>
      </c>
      <c r="AR55" s="78" t="str">
        <f t="shared" si="6"/>
        <v>Prorated</v>
      </c>
      <c r="AS55" s="79">
        <f t="shared" si="7"/>
        <v>6</v>
      </c>
      <c r="AT55" s="78">
        <f t="shared" si="8"/>
        <v>0</v>
      </c>
      <c r="AU55" s="78">
        <f t="shared" si="9"/>
        <v>0.34820000000000001</v>
      </c>
      <c r="AV55" s="78">
        <f t="shared" si="10"/>
        <v>0.30780000000000002</v>
      </c>
      <c r="AW55" s="78">
        <f t="shared" si="11"/>
        <v>0.37119999999999997</v>
      </c>
      <c r="AX55" s="78">
        <f t="shared" si="12"/>
        <v>0.3206</v>
      </c>
      <c r="AY55" s="78">
        <f t="shared" si="13"/>
        <v>0.34599999999999997</v>
      </c>
      <c r="AZ55" s="78">
        <f t="shared" si="14"/>
        <v>0.34410000000000002</v>
      </c>
      <c r="BA55" s="78">
        <f t="shared" si="15"/>
        <v>0.33600000000000002</v>
      </c>
      <c r="BB55" s="78">
        <f t="shared" si="16"/>
        <v>0.34670000000000001</v>
      </c>
      <c r="BC55" s="78">
        <f t="shared" si="17"/>
        <v>0.39650000000000002</v>
      </c>
      <c r="BD55" s="78">
        <f t="shared" si="18"/>
        <v>0.3861</v>
      </c>
      <c r="BE55" s="78">
        <f t="shared" si="19"/>
        <v>0.3861</v>
      </c>
      <c r="BF55" s="78">
        <f t="shared" si="20"/>
        <v>0.3861</v>
      </c>
      <c r="BG55" s="78">
        <f t="shared" si="21"/>
        <v>0.3861</v>
      </c>
      <c r="BH55" s="78">
        <f t="shared" si="22"/>
        <v>0.3861</v>
      </c>
      <c r="BI55" s="78">
        <f t="shared" si="23"/>
        <v>0.3861</v>
      </c>
      <c r="BJ55" s="78">
        <f t="shared" si="24"/>
        <v>0.3861</v>
      </c>
      <c r="BK55" s="78">
        <f t="shared" si="25"/>
        <v>0.3861</v>
      </c>
      <c r="BL55" s="78">
        <f t="shared" si="26"/>
        <v>0.3861</v>
      </c>
      <c r="BM55" s="78">
        <f t="shared" si="27"/>
        <v>0.3861</v>
      </c>
      <c r="BN55" s="78">
        <f t="shared" si="28"/>
        <v>0.3861</v>
      </c>
      <c r="BO55" s="78">
        <f t="shared" si="29"/>
        <v>0.3861</v>
      </c>
      <c r="BP55" s="78">
        <f t="shared" si="30"/>
        <v>0.3861</v>
      </c>
      <c r="BQ55" s="78">
        <f t="shared" si="31"/>
        <v>0.3861</v>
      </c>
      <c r="BR55" s="78">
        <f t="shared" si="32"/>
        <v>0.3861</v>
      </c>
      <c r="BS55" s="77"/>
      <c r="BT55" s="77"/>
    </row>
    <row r="56" spans="1:72" ht="14.1" customHeight="1" x14ac:dyDescent="0.2">
      <c r="A56" s="55" t="str">
        <f t="shared" si="2"/>
        <v>GDS-4 (Large General Delivery)_Commodity Gas Charge (CGC)</v>
      </c>
      <c r="B56" s="80" t="s">
        <v>673</v>
      </c>
      <c r="C56" s="83" t="s">
        <v>698</v>
      </c>
      <c r="D56" s="150"/>
      <c r="E56" s="81"/>
      <c r="F56" s="73" t="s">
        <v>640</v>
      </c>
      <c r="G56" s="73">
        <v>0</v>
      </c>
      <c r="H56" s="73">
        <v>6</v>
      </c>
      <c r="I56" s="74" t="s">
        <v>699</v>
      </c>
      <c r="J56" s="75" t="s">
        <v>634</v>
      </c>
      <c r="K56" s="74"/>
      <c r="L56" s="82">
        <v>0.3513</v>
      </c>
      <c r="M56" s="138">
        <v>0.34820000000000001</v>
      </c>
      <c r="N56" s="138">
        <v>0.30780000000000002</v>
      </c>
      <c r="O56" s="138">
        <v>0.37119999999999997</v>
      </c>
      <c r="P56" s="138">
        <v>0.3206</v>
      </c>
      <c r="Q56" s="138">
        <v>0.34599999999999997</v>
      </c>
      <c r="R56" s="138">
        <v>0.34410000000000002</v>
      </c>
      <c r="S56" s="138">
        <v>0.33600000000000002</v>
      </c>
      <c r="T56" s="138">
        <v>0.34670000000000001</v>
      </c>
      <c r="U56" s="138">
        <v>0.39650000000000002</v>
      </c>
      <c r="V56" s="138">
        <v>0.3861</v>
      </c>
      <c r="W56" s="138">
        <v>0.3861</v>
      </c>
      <c r="X56" s="138">
        <v>0.3861</v>
      </c>
      <c r="Y56" s="138">
        <f t="shared" si="33"/>
        <v>0.3861</v>
      </c>
      <c r="Z56" s="138">
        <f t="shared" si="34"/>
        <v>0.3861</v>
      </c>
      <c r="AA56" s="138">
        <f t="shared" si="35"/>
        <v>0.3861</v>
      </c>
      <c r="AB56" s="138">
        <f t="shared" si="36"/>
        <v>0.3861</v>
      </c>
      <c r="AC56" s="138">
        <f t="shared" si="37"/>
        <v>0.3861</v>
      </c>
      <c r="AD56" s="138">
        <f t="shared" si="38"/>
        <v>0.3861</v>
      </c>
      <c r="AE56" s="138">
        <f t="shared" si="39"/>
        <v>0.3861</v>
      </c>
      <c r="AF56" s="138">
        <f t="shared" si="40"/>
        <v>0.3861</v>
      </c>
      <c r="AG56" s="138">
        <f t="shared" si="41"/>
        <v>0.3861</v>
      </c>
      <c r="AH56" s="138">
        <f t="shared" si="42"/>
        <v>0.3861</v>
      </c>
      <c r="AI56" s="138">
        <f t="shared" si="43"/>
        <v>0.3861</v>
      </c>
      <c r="AJ56" s="138">
        <f t="shared" si="44"/>
        <v>0.3861</v>
      </c>
      <c r="AK56" s="138">
        <f t="shared" si="45"/>
        <v>0.3861</v>
      </c>
      <c r="AL56" s="138">
        <f t="shared" si="46"/>
        <v>0.38609999999999994</v>
      </c>
      <c r="AM56" s="138">
        <f t="shared" si="47"/>
        <v>0.37277083333333333</v>
      </c>
      <c r="AO56" s="77" t="str">
        <f t="shared" si="4"/>
        <v>GDS-4 (Large General Delivery)</v>
      </c>
      <c r="AP56" s="78" t="s">
        <v>674</v>
      </c>
      <c r="AQ56" s="77" t="str">
        <f t="shared" si="5"/>
        <v>Commodity Gas Charge (CGC)</v>
      </c>
      <c r="AR56" s="78" t="str">
        <f t="shared" si="6"/>
        <v>Prorated</v>
      </c>
      <c r="AS56" s="79">
        <f t="shared" si="7"/>
        <v>6</v>
      </c>
      <c r="AT56" s="78">
        <f t="shared" si="8"/>
        <v>0</v>
      </c>
      <c r="AU56" s="78">
        <f t="shared" si="9"/>
        <v>0.34820000000000001</v>
      </c>
      <c r="AV56" s="78">
        <f t="shared" si="10"/>
        <v>0.30780000000000002</v>
      </c>
      <c r="AW56" s="78">
        <f t="shared" si="11"/>
        <v>0.37119999999999997</v>
      </c>
      <c r="AX56" s="78">
        <f t="shared" si="12"/>
        <v>0.3206</v>
      </c>
      <c r="AY56" s="78">
        <f t="shared" si="13"/>
        <v>0.34599999999999997</v>
      </c>
      <c r="AZ56" s="78">
        <f t="shared" si="14"/>
        <v>0.34410000000000002</v>
      </c>
      <c r="BA56" s="78">
        <f t="shared" si="15"/>
        <v>0.33600000000000002</v>
      </c>
      <c r="BB56" s="78">
        <f t="shared" si="16"/>
        <v>0.34670000000000001</v>
      </c>
      <c r="BC56" s="78">
        <f t="shared" si="17"/>
        <v>0.39650000000000002</v>
      </c>
      <c r="BD56" s="78">
        <f t="shared" si="18"/>
        <v>0.3861</v>
      </c>
      <c r="BE56" s="78">
        <f t="shared" si="19"/>
        <v>0.3861</v>
      </c>
      <c r="BF56" s="78">
        <f t="shared" si="20"/>
        <v>0.3861</v>
      </c>
      <c r="BG56" s="78">
        <f t="shared" si="21"/>
        <v>0.3861</v>
      </c>
      <c r="BH56" s="78">
        <f t="shared" si="22"/>
        <v>0.3861</v>
      </c>
      <c r="BI56" s="78">
        <f t="shared" si="23"/>
        <v>0.3861</v>
      </c>
      <c r="BJ56" s="78">
        <f t="shared" si="24"/>
        <v>0.3861</v>
      </c>
      <c r="BK56" s="78">
        <f t="shared" si="25"/>
        <v>0.3861</v>
      </c>
      <c r="BL56" s="78">
        <f t="shared" si="26"/>
        <v>0.3861</v>
      </c>
      <c r="BM56" s="78">
        <f t="shared" si="27"/>
        <v>0.3861</v>
      </c>
      <c r="BN56" s="78">
        <f t="shared" si="28"/>
        <v>0.3861</v>
      </c>
      <c r="BO56" s="78">
        <f t="shared" si="29"/>
        <v>0.3861</v>
      </c>
      <c r="BP56" s="78">
        <f t="shared" si="30"/>
        <v>0.3861</v>
      </c>
      <c r="BQ56" s="78">
        <f t="shared" si="31"/>
        <v>0.3861</v>
      </c>
      <c r="BR56" s="78">
        <f t="shared" si="32"/>
        <v>0.3861</v>
      </c>
      <c r="BS56" s="77"/>
      <c r="BT56" s="77"/>
    </row>
    <row r="57" spans="1:72" ht="14.1" customHeight="1" x14ac:dyDescent="0.2">
      <c r="A57" s="55" t="str">
        <f t="shared" si="2"/>
        <v>GDS-5 (Seasonal)_Commodity Gas Charge (CGC)</v>
      </c>
      <c r="B57" s="80" t="s">
        <v>675</v>
      </c>
      <c r="C57" s="83" t="s">
        <v>698</v>
      </c>
      <c r="D57" s="150"/>
      <c r="E57" s="81"/>
      <c r="F57" s="73" t="s">
        <v>640</v>
      </c>
      <c r="G57" s="73">
        <v>0</v>
      </c>
      <c r="H57" s="73">
        <v>6</v>
      </c>
      <c r="I57" s="74" t="s">
        <v>699</v>
      </c>
      <c r="J57" s="75" t="s">
        <v>634</v>
      </c>
      <c r="K57" s="74"/>
      <c r="L57" s="82">
        <v>0.3513</v>
      </c>
      <c r="M57" s="138">
        <v>0.34820000000000001</v>
      </c>
      <c r="N57" s="138">
        <v>0.30780000000000002</v>
      </c>
      <c r="O57" s="138">
        <v>0.37119999999999997</v>
      </c>
      <c r="P57" s="138">
        <v>0.3206</v>
      </c>
      <c r="Q57" s="138">
        <v>0.34599999999999997</v>
      </c>
      <c r="R57" s="138">
        <v>0.34410000000000002</v>
      </c>
      <c r="S57" s="138">
        <v>0.33600000000000002</v>
      </c>
      <c r="T57" s="138">
        <v>0.34670000000000001</v>
      </c>
      <c r="U57" s="138">
        <v>0.39650000000000002</v>
      </c>
      <c r="V57" s="138">
        <v>0.3861</v>
      </c>
      <c r="W57" s="138">
        <v>0.3861</v>
      </c>
      <c r="X57" s="138">
        <v>0.3861</v>
      </c>
      <c r="Y57" s="138">
        <f t="shared" si="33"/>
        <v>0.3861</v>
      </c>
      <c r="Z57" s="138">
        <f t="shared" si="34"/>
        <v>0.3861</v>
      </c>
      <c r="AA57" s="138">
        <f t="shared" si="35"/>
        <v>0.3861</v>
      </c>
      <c r="AB57" s="138">
        <f t="shared" si="36"/>
        <v>0.3861</v>
      </c>
      <c r="AC57" s="138">
        <f t="shared" si="37"/>
        <v>0.3861</v>
      </c>
      <c r="AD57" s="138">
        <f t="shared" si="38"/>
        <v>0.3861</v>
      </c>
      <c r="AE57" s="138">
        <f t="shared" si="39"/>
        <v>0.3861</v>
      </c>
      <c r="AF57" s="138">
        <f t="shared" si="40"/>
        <v>0.3861</v>
      </c>
      <c r="AG57" s="138">
        <f t="shared" si="41"/>
        <v>0.3861</v>
      </c>
      <c r="AH57" s="138">
        <f t="shared" si="42"/>
        <v>0.3861</v>
      </c>
      <c r="AI57" s="138">
        <f t="shared" si="43"/>
        <v>0.3861</v>
      </c>
      <c r="AJ57" s="138">
        <f t="shared" si="44"/>
        <v>0.3861</v>
      </c>
      <c r="AK57" s="138">
        <f t="shared" si="45"/>
        <v>0.3861</v>
      </c>
      <c r="AL57" s="138">
        <f t="shared" si="46"/>
        <v>0.38609999999999994</v>
      </c>
      <c r="AM57" s="138">
        <f t="shared" si="47"/>
        <v>0.37277083333333333</v>
      </c>
      <c r="AO57" s="77" t="str">
        <f t="shared" si="4"/>
        <v>GDS-5 (Seasonal)</v>
      </c>
      <c r="AP57" s="78" t="s">
        <v>676</v>
      </c>
      <c r="AQ57" s="77" t="str">
        <f t="shared" si="5"/>
        <v>Commodity Gas Charge (CGC)</v>
      </c>
      <c r="AR57" s="78" t="str">
        <f t="shared" si="6"/>
        <v>Prorated</v>
      </c>
      <c r="AS57" s="79">
        <f t="shared" si="7"/>
        <v>6</v>
      </c>
      <c r="AT57" s="78">
        <f t="shared" si="8"/>
        <v>0</v>
      </c>
      <c r="AU57" s="78">
        <f t="shared" si="9"/>
        <v>0.34820000000000001</v>
      </c>
      <c r="AV57" s="78">
        <f t="shared" si="10"/>
        <v>0.30780000000000002</v>
      </c>
      <c r="AW57" s="78">
        <f t="shared" si="11"/>
        <v>0.37119999999999997</v>
      </c>
      <c r="AX57" s="78">
        <f t="shared" si="12"/>
        <v>0.3206</v>
      </c>
      <c r="AY57" s="78">
        <f t="shared" si="13"/>
        <v>0.34599999999999997</v>
      </c>
      <c r="AZ57" s="78">
        <f t="shared" si="14"/>
        <v>0.34410000000000002</v>
      </c>
      <c r="BA57" s="78">
        <f t="shared" si="15"/>
        <v>0.33600000000000002</v>
      </c>
      <c r="BB57" s="78">
        <f t="shared" si="16"/>
        <v>0.34670000000000001</v>
      </c>
      <c r="BC57" s="78">
        <f t="shared" si="17"/>
        <v>0.39650000000000002</v>
      </c>
      <c r="BD57" s="78">
        <f t="shared" si="18"/>
        <v>0.3861</v>
      </c>
      <c r="BE57" s="78">
        <f t="shared" si="19"/>
        <v>0.3861</v>
      </c>
      <c r="BF57" s="78">
        <f t="shared" si="20"/>
        <v>0.3861</v>
      </c>
      <c r="BG57" s="78">
        <f t="shared" si="21"/>
        <v>0.3861</v>
      </c>
      <c r="BH57" s="78">
        <f t="shared" si="22"/>
        <v>0.3861</v>
      </c>
      <c r="BI57" s="78">
        <f t="shared" si="23"/>
        <v>0.3861</v>
      </c>
      <c r="BJ57" s="78">
        <f t="shared" si="24"/>
        <v>0.3861</v>
      </c>
      <c r="BK57" s="78">
        <f t="shared" si="25"/>
        <v>0.3861</v>
      </c>
      <c r="BL57" s="78">
        <f t="shared" si="26"/>
        <v>0.3861</v>
      </c>
      <c r="BM57" s="78">
        <f t="shared" si="27"/>
        <v>0.3861</v>
      </c>
      <c r="BN57" s="78">
        <f t="shared" si="28"/>
        <v>0.3861</v>
      </c>
      <c r="BO57" s="78">
        <f t="shared" si="29"/>
        <v>0.3861</v>
      </c>
      <c r="BP57" s="78">
        <f t="shared" si="30"/>
        <v>0.3861</v>
      </c>
      <c r="BQ57" s="78">
        <f t="shared" si="31"/>
        <v>0.3861</v>
      </c>
      <c r="BR57" s="78">
        <f t="shared" si="32"/>
        <v>0.3861</v>
      </c>
      <c r="BS57" s="77"/>
      <c r="BT57" s="77"/>
    </row>
    <row r="58" spans="1:72" ht="14.1" customHeight="1" x14ac:dyDescent="0.2">
      <c r="A58" s="55" t="str">
        <f t="shared" si="2"/>
        <v>GDS-6 (Inadequate Capacity)_Commodity Gas Charge (CGC)</v>
      </c>
      <c r="B58" s="80" t="s">
        <v>700</v>
      </c>
      <c r="C58" s="83" t="s">
        <v>698</v>
      </c>
      <c r="D58" s="150"/>
      <c r="E58" s="81"/>
      <c r="F58" s="73" t="s">
        <v>640</v>
      </c>
      <c r="G58" s="73">
        <v>0</v>
      </c>
      <c r="H58" s="73">
        <v>6</v>
      </c>
      <c r="I58" s="74" t="s">
        <v>699</v>
      </c>
      <c r="J58" s="75" t="s">
        <v>634</v>
      </c>
      <c r="K58" s="74"/>
      <c r="L58" s="82">
        <v>0.3513</v>
      </c>
      <c r="M58" s="138">
        <v>0.34820000000000001</v>
      </c>
      <c r="N58" s="138">
        <v>0.30780000000000002</v>
      </c>
      <c r="O58" s="138">
        <v>0.37119999999999997</v>
      </c>
      <c r="P58" s="138">
        <v>0.3206</v>
      </c>
      <c r="Q58" s="138">
        <v>0.34599999999999997</v>
      </c>
      <c r="R58" s="138">
        <v>0.34410000000000002</v>
      </c>
      <c r="S58" s="138">
        <v>0.33600000000000002</v>
      </c>
      <c r="T58" s="138">
        <v>0.34670000000000001</v>
      </c>
      <c r="U58" s="138">
        <v>0.39650000000000002</v>
      </c>
      <c r="V58" s="138">
        <v>0.3861</v>
      </c>
      <c r="W58" s="138">
        <v>0.3861</v>
      </c>
      <c r="X58" s="138">
        <v>0.3861</v>
      </c>
      <c r="Y58" s="138">
        <f t="shared" si="33"/>
        <v>0.3861</v>
      </c>
      <c r="Z58" s="138">
        <f t="shared" si="34"/>
        <v>0.3861</v>
      </c>
      <c r="AA58" s="138">
        <f t="shared" si="35"/>
        <v>0.3861</v>
      </c>
      <c r="AB58" s="138">
        <f t="shared" si="36"/>
        <v>0.3861</v>
      </c>
      <c r="AC58" s="138">
        <f t="shared" si="37"/>
        <v>0.3861</v>
      </c>
      <c r="AD58" s="138">
        <f t="shared" si="38"/>
        <v>0.3861</v>
      </c>
      <c r="AE58" s="138">
        <f t="shared" si="39"/>
        <v>0.3861</v>
      </c>
      <c r="AF58" s="138">
        <f t="shared" si="40"/>
        <v>0.3861</v>
      </c>
      <c r="AG58" s="138">
        <f t="shared" si="41"/>
        <v>0.3861</v>
      </c>
      <c r="AH58" s="138">
        <f t="shared" si="42"/>
        <v>0.3861</v>
      </c>
      <c r="AI58" s="138">
        <f t="shared" si="43"/>
        <v>0.3861</v>
      </c>
      <c r="AJ58" s="138">
        <f t="shared" si="44"/>
        <v>0.3861</v>
      </c>
      <c r="AK58" s="138">
        <f t="shared" si="45"/>
        <v>0.3861</v>
      </c>
      <c r="AL58" s="138">
        <f t="shared" si="46"/>
        <v>0.38609999999999994</v>
      </c>
      <c r="AM58" s="138">
        <f t="shared" si="47"/>
        <v>0.37277083333333333</v>
      </c>
      <c r="AO58" s="77" t="str">
        <f t="shared" si="4"/>
        <v>GDS-6 (Inadequate Capacity)</v>
      </c>
      <c r="AP58" s="78" t="s">
        <v>701</v>
      </c>
      <c r="AQ58" s="77" t="str">
        <f t="shared" si="5"/>
        <v>Commodity Gas Charge (CGC)</v>
      </c>
      <c r="AR58" s="78" t="str">
        <f t="shared" si="6"/>
        <v>Prorated</v>
      </c>
      <c r="AS58" s="79">
        <f t="shared" si="7"/>
        <v>6</v>
      </c>
      <c r="AT58" s="78">
        <f t="shared" si="8"/>
        <v>0</v>
      </c>
      <c r="AU58" s="78">
        <f t="shared" si="9"/>
        <v>0.34820000000000001</v>
      </c>
      <c r="AV58" s="78">
        <f t="shared" si="10"/>
        <v>0.30780000000000002</v>
      </c>
      <c r="AW58" s="78">
        <f t="shared" si="11"/>
        <v>0.37119999999999997</v>
      </c>
      <c r="AX58" s="78">
        <f t="shared" si="12"/>
        <v>0.3206</v>
      </c>
      <c r="AY58" s="78">
        <f t="shared" si="13"/>
        <v>0.34599999999999997</v>
      </c>
      <c r="AZ58" s="78">
        <f t="shared" si="14"/>
        <v>0.34410000000000002</v>
      </c>
      <c r="BA58" s="78">
        <f t="shared" si="15"/>
        <v>0.33600000000000002</v>
      </c>
      <c r="BB58" s="78">
        <f t="shared" si="16"/>
        <v>0.34670000000000001</v>
      </c>
      <c r="BC58" s="78">
        <f t="shared" si="17"/>
        <v>0.39650000000000002</v>
      </c>
      <c r="BD58" s="78">
        <f t="shared" si="18"/>
        <v>0.3861</v>
      </c>
      <c r="BE58" s="78">
        <f t="shared" si="19"/>
        <v>0.3861</v>
      </c>
      <c r="BF58" s="78">
        <f t="shared" si="20"/>
        <v>0.3861</v>
      </c>
      <c r="BG58" s="78">
        <f t="shared" si="21"/>
        <v>0.3861</v>
      </c>
      <c r="BH58" s="78">
        <f t="shared" si="22"/>
        <v>0.3861</v>
      </c>
      <c r="BI58" s="78">
        <f t="shared" si="23"/>
        <v>0.3861</v>
      </c>
      <c r="BJ58" s="78">
        <f t="shared" si="24"/>
        <v>0.3861</v>
      </c>
      <c r="BK58" s="78">
        <f t="shared" si="25"/>
        <v>0.3861</v>
      </c>
      <c r="BL58" s="78">
        <f t="shared" si="26"/>
        <v>0.3861</v>
      </c>
      <c r="BM58" s="78">
        <f t="shared" si="27"/>
        <v>0.3861</v>
      </c>
      <c r="BN58" s="78">
        <f t="shared" si="28"/>
        <v>0.3861</v>
      </c>
      <c r="BO58" s="78">
        <f t="shared" si="29"/>
        <v>0.3861</v>
      </c>
      <c r="BP58" s="78">
        <f t="shared" si="30"/>
        <v>0.3861</v>
      </c>
      <c r="BQ58" s="78">
        <f t="shared" si="31"/>
        <v>0.3861</v>
      </c>
      <c r="BR58" s="78">
        <f t="shared" si="32"/>
        <v>0.3861</v>
      </c>
      <c r="BS58" s="77"/>
      <c r="BT58" s="77"/>
    </row>
    <row r="59" spans="1:72" ht="14.1" customHeight="1" x14ac:dyDescent="0.2">
      <c r="A59" s="55" t="str">
        <f t="shared" si="2"/>
        <v>DS-1 (Residential)_Customer Charge</v>
      </c>
      <c r="B59" s="80" t="s">
        <v>90</v>
      </c>
      <c r="C59" s="83" t="s">
        <v>557</v>
      </c>
      <c r="D59" s="150" t="s">
        <v>557</v>
      </c>
      <c r="E59" s="81"/>
      <c r="F59" s="73" t="s">
        <v>649</v>
      </c>
      <c r="G59" s="73">
        <v>0</v>
      </c>
      <c r="H59" s="73">
        <v>6</v>
      </c>
      <c r="I59" s="74" t="s">
        <v>641</v>
      </c>
      <c r="J59" s="75" t="s">
        <v>634</v>
      </c>
      <c r="K59" s="74"/>
      <c r="L59" s="82">
        <v>5.66</v>
      </c>
      <c r="M59" s="138">
        <v>5.89</v>
      </c>
      <c r="N59" s="138">
        <v>5.89</v>
      </c>
      <c r="O59" s="138">
        <v>5.89</v>
      </c>
      <c r="P59" s="138">
        <v>5.89</v>
      </c>
      <c r="Q59" s="138">
        <v>5.89</v>
      </c>
      <c r="R59" s="138">
        <v>5.89</v>
      </c>
      <c r="S59" s="138">
        <v>6.22</v>
      </c>
      <c r="T59" s="138">
        <v>6.22</v>
      </c>
      <c r="U59" s="138">
        <v>6.22</v>
      </c>
      <c r="V59" s="138">
        <v>6.22</v>
      </c>
      <c r="W59" s="138">
        <v>6.22</v>
      </c>
      <c r="X59" s="138">
        <v>6.22</v>
      </c>
      <c r="Y59" s="138">
        <f t="shared" si="33"/>
        <v>6.22</v>
      </c>
      <c r="Z59" s="138">
        <f t="shared" si="34"/>
        <v>6.22</v>
      </c>
      <c r="AA59" s="138">
        <f t="shared" si="35"/>
        <v>6.22</v>
      </c>
      <c r="AB59" s="138">
        <f t="shared" si="36"/>
        <v>6.22</v>
      </c>
      <c r="AC59" s="138">
        <f t="shared" si="37"/>
        <v>6.22</v>
      </c>
      <c r="AD59" s="138">
        <f t="shared" si="38"/>
        <v>6.22</v>
      </c>
      <c r="AE59" s="138">
        <f t="shared" si="39"/>
        <v>6.22</v>
      </c>
      <c r="AF59" s="138">
        <f t="shared" si="40"/>
        <v>6.22</v>
      </c>
      <c r="AG59" s="138">
        <f t="shared" si="41"/>
        <v>6.22</v>
      </c>
      <c r="AH59" s="138">
        <f t="shared" si="42"/>
        <v>6.22</v>
      </c>
      <c r="AI59" s="138">
        <f t="shared" si="43"/>
        <v>6.22</v>
      </c>
      <c r="AJ59" s="138">
        <f t="shared" si="44"/>
        <v>6.22</v>
      </c>
      <c r="AK59" s="138">
        <f t="shared" si="45"/>
        <v>6.22</v>
      </c>
      <c r="AL59" s="138">
        <f t="shared" si="46"/>
        <v>6.22</v>
      </c>
      <c r="AM59" s="138">
        <f t="shared" si="47"/>
        <v>6.1512500000000001</v>
      </c>
      <c r="AO59" s="77" t="str">
        <f t="shared" si="4"/>
        <v>DS-1 (Residential)</v>
      </c>
      <c r="AP59" s="78" t="s">
        <v>662</v>
      </c>
      <c r="AQ59" s="77" t="str">
        <f t="shared" si="5"/>
        <v>Customer Charge</v>
      </c>
      <c r="AR59" s="78" t="str">
        <f t="shared" si="6"/>
        <v>Billing Cycle</v>
      </c>
      <c r="AS59" s="79">
        <f t="shared" si="7"/>
        <v>6</v>
      </c>
      <c r="AT59" s="78">
        <f t="shared" si="8"/>
        <v>6</v>
      </c>
      <c r="AU59" s="78">
        <f t="shared" si="9"/>
        <v>5.89</v>
      </c>
      <c r="AV59" s="78">
        <f t="shared" si="10"/>
        <v>5.89</v>
      </c>
      <c r="AW59" s="78">
        <f t="shared" si="11"/>
        <v>5.89</v>
      </c>
      <c r="AX59" s="78">
        <f t="shared" si="12"/>
        <v>5.89</v>
      </c>
      <c r="AY59" s="78">
        <f t="shared" si="13"/>
        <v>5.89</v>
      </c>
      <c r="AZ59" s="78">
        <f t="shared" si="14"/>
        <v>5.89</v>
      </c>
      <c r="BA59" s="78">
        <f t="shared" si="15"/>
        <v>6.22</v>
      </c>
      <c r="BB59" s="78">
        <f t="shared" si="16"/>
        <v>6.22</v>
      </c>
      <c r="BC59" s="78">
        <f t="shared" si="17"/>
        <v>6.22</v>
      </c>
      <c r="BD59" s="78">
        <f t="shared" si="18"/>
        <v>6.22</v>
      </c>
      <c r="BE59" s="78">
        <f t="shared" si="19"/>
        <v>6.22</v>
      </c>
      <c r="BF59" s="78">
        <f t="shared" si="20"/>
        <v>6.22</v>
      </c>
      <c r="BG59" s="78">
        <f t="shared" si="21"/>
        <v>6.22</v>
      </c>
      <c r="BH59" s="78">
        <f t="shared" si="22"/>
        <v>6.22</v>
      </c>
      <c r="BI59" s="78">
        <f t="shared" si="23"/>
        <v>6.22</v>
      </c>
      <c r="BJ59" s="78">
        <f t="shared" si="24"/>
        <v>6.22</v>
      </c>
      <c r="BK59" s="78">
        <f t="shared" si="25"/>
        <v>6.22</v>
      </c>
      <c r="BL59" s="78">
        <f t="shared" si="26"/>
        <v>6.22</v>
      </c>
      <c r="BM59" s="78">
        <f t="shared" si="27"/>
        <v>6.22</v>
      </c>
      <c r="BN59" s="78">
        <f t="shared" si="28"/>
        <v>6.22</v>
      </c>
      <c r="BO59" s="78">
        <f t="shared" si="29"/>
        <v>6.22</v>
      </c>
      <c r="BP59" s="78">
        <f t="shared" si="30"/>
        <v>6.22</v>
      </c>
      <c r="BQ59" s="78">
        <f t="shared" si="31"/>
        <v>6.22</v>
      </c>
      <c r="BR59" s="78">
        <f t="shared" si="32"/>
        <v>6.22</v>
      </c>
      <c r="BS59" s="77"/>
      <c r="BT59" s="77"/>
    </row>
    <row r="60" spans="1:72" ht="14.1" customHeight="1" x14ac:dyDescent="0.2">
      <c r="A60" s="55" t="str">
        <f t="shared" si="2"/>
        <v>GDS-1 (Residential)_Customer Charge</v>
      </c>
      <c r="B60" s="80" t="s">
        <v>95</v>
      </c>
      <c r="C60" s="83" t="s">
        <v>557</v>
      </c>
      <c r="D60" s="150" t="s">
        <v>557</v>
      </c>
      <c r="E60" s="81"/>
      <c r="F60" s="73" t="s">
        <v>649</v>
      </c>
      <c r="G60" s="73">
        <v>0</v>
      </c>
      <c r="H60" s="73">
        <v>6</v>
      </c>
      <c r="I60" s="74" t="s">
        <v>641</v>
      </c>
      <c r="J60" s="75" t="s">
        <v>634</v>
      </c>
      <c r="K60" s="74"/>
      <c r="L60" s="82">
        <v>19.899999999999999</v>
      </c>
      <c r="M60" s="138">
        <v>19.899999999999999</v>
      </c>
      <c r="N60" s="138">
        <v>19.899999999999999</v>
      </c>
      <c r="O60" s="138">
        <v>19.899999999999999</v>
      </c>
      <c r="P60" s="138">
        <v>19.899999999999999</v>
      </c>
      <c r="Q60" s="138">
        <v>19.899999999999999</v>
      </c>
      <c r="R60" s="138">
        <v>19.899999999999999</v>
      </c>
      <c r="S60" s="138">
        <v>19.899999999999999</v>
      </c>
      <c r="T60" s="138">
        <v>19.899999999999999</v>
      </c>
      <c r="U60" s="138">
        <v>19.899999999999999</v>
      </c>
      <c r="V60" s="138">
        <v>19.899999999999999</v>
      </c>
      <c r="W60" s="138">
        <v>19.899999999999999</v>
      </c>
      <c r="X60" s="138">
        <v>19.899999999999999</v>
      </c>
      <c r="Y60" s="138">
        <f t="shared" si="33"/>
        <v>19.899999999999999</v>
      </c>
      <c r="Z60" s="138">
        <f t="shared" si="34"/>
        <v>19.899999999999999</v>
      </c>
      <c r="AA60" s="138">
        <f t="shared" si="35"/>
        <v>19.899999999999999</v>
      </c>
      <c r="AB60" s="138">
        <f t="shared" si="36"/>
        <v>19.899999999999999</v>
      </c>
      <c r="AC60" s="138">
        <f t="shared" si="37"/>
        <v>19.899999999999999</v>
      </c>
      <c r="AD60" s="138">
        <f t="shared" si="38"/>
        <v>19.899999999999999</v>
      </c>
      <c r="AE60" s="138">
        <f t="shared" si="39"/>
        <v>19.899999999999999</v>
      </c>
      <c r="AF60" s="138">
        <f t="shared" si="40"/>
        <v>19.899999999999999</v>
      </c>
      <c r="AG60" s="138">
        <f t="shared" si="41"/>
        <v>19.899999999999999</v>
      </c>
      <c r="AH60" s="138">
        <f t="shared" si="42"/>
        <v>19.899999999999999</v>
      </c>
      <c r="AI60" s="138">
        <f t="shared" si="43"/>
        <v>19.899999999999999</v>
      </c>
      <c r="AJ60" s="138">
        <f t="shared" si="44"/>
        <v>19.899999999999999</v>
      </c>
      <c r="AK60" s="138">
        <f t="shared" si="45"/>
        <v>19.899999999999999</v>
      </c>
      <c r="AL60" s="138">
        <f t="shared" si="46"/>
        <v>19.900000000000002</v>
      </c>
      <c r="AM60" s="138">
        <f t="shared" si="47"/>
        <v>19.899999999999991</v>
      </c>
      <c r="AO60" s="77" t="str">
        <f t="shared" si="4"/>
        <v>GDS-1 (Residential)</v>
      </c>
      <c r="AP60" s="78" t="s">
        <v>668</v>
      </c>
      <c r="AQ60" s="77" t="str">
        <f t="shared" si="5"/>
        <v>Customer Charge</v>
      </c>
      <c r="AR60" s="78" t="str">
        <f t="shared" si="6"/>
        <v>Billing Cycle</v>
      </c>
      <c r="AS60" s="79">
        <f t="shared" si="7"/>
        <v>6</v>
      </c>
      <c r="AT60" s="78">
        <f t="shared" si="8"/>
        <v>20</v>
      </c>
      <c r="AU60" s="78">
        <f t="shared" si="9"/>
        <v>19.899999999999999</v>
      </c>
      <c r="AV60" s="78">
        <f t="shared" si="10"/>
        <v>19.899999999999999</v>
      </c>
      <c r="AW60" s="78">
        <f t="shared" si="11"/>
        <v>19.899999999999999</v>
      </c>
      <c r="AX60" s="78">
        <f t="shared" si="12"/>
        <v>19.899999999999999</v>
      </c>
      <c r="AY60" s="78">
        <f t="shared" si="13"/>
        <v>19.899999999999999</v>
      </c>
      <c r="AZ60" s="78">
        <f t="shared" si="14"/>
        <v>19.899999999999999</v>
      </c>
      <c r="BA60" s="78">
        <f t="shared" si="15"/>
        <v>19.899999999999999</v>
      </c>
      <c r="BB60" s="78">
        <f t="shared" si="16"/>
        <v>19.899999999999999</v>
      </c>
      <c r="BC60" s="78">
        <f t="shared" si="17"/>
        <v>19.899999999999999</v>
      </c>
      <c r="BD60" s="78">
        <f t="shared" si="18"/>
        <v>19.899999999999999</v>
      </c>
      <c r="BE60" s="78">
        <f t="shared" si="19"/>
        <v>19.899999999999999</v>
      </c>
      <c r="BF60" s="78">
        <f t="shared" si="20"/>
        <v>19.899999999999999</v>
      </c>
      <c r="BG60" s="78">
        <f t="shared" si="21"/>
        <v>19.899999999999999</v>
      </c>
      <c r="BH60" s="78">
        <f t="shared" si="22"/>
        <v>19.899999999999999</v>
      </c>
      <c r="BI60" s="78">
        <f t="shared" si="23"/>
        <v>19.899999999999999</v>
      </c>
      <c r="BJ60" s="78">
        <f t="shared" si="24"/>
        <v>19.899999999999999</v>
      </c>
      <c r="BK60" s="78">
        <f t="shared" si="25"/>
        <v>19.899999999999999</v>
      </c>
      <c r="BL60" s="78">
        <f t="shared" si="26"/>
        <v>19.899999999999999</v>
      </c>
      <c r="BM60" s="78">
        <f t="shared" si="27"/>
        <v>19.899999999999999</v>
      </c>
      <c r="BN60" s="78">
        <f t="shared" si="28"/>
        <v>19.899999999999999</v>
      </c>
      <c r="BO60" s="78">
        <f t="shared" si="29"/>
        <v>19.899999999999999</v>
      </c>
      <c r="BP60" s="78">
        <f t="shared" si="30"/>
        <v>19.899999999999999</v>
      </c>
      <c r="BQ60" s="78">
        <f t="shared" si="31"/>
        <v>19.899999999999999</v>
      </c>
      <c r="BR60" s="78">
        <f t="shared" si="32"/>
        <v>19.899999999999999</v>
      </c>
      <c r="BS60" s="77"/>
      <c r="BT60" s="77"/>
    </row>
    <row r="61" spans="1:72" ht="14.1" customHeight="1" x14ac:dyDescent="0.2">
      <c r="A61" s="55" t="str">
        <f t="shared" si="2"/>
        <v>GDS-2 (Small General Delivery)_Customer Charge</v>
      </c>
      <c r="B61" s="80" t="s">
        <v>669</v>
      </c>
      <c r="C61" s="83" t="s">
        <v>557</v>
      </c>
      <c r="D61" s="150"/>
      <c r="E61" s="81"/>
      <c r="F61" s="73" t="s">
        <v>649</v>
      </c>
      <c r="G61" s="73">
        <v>0</v>
      </c>
      <c r="H61" s="73">
        <v>6</v>
      </c>
      <c r="I61" s="74" t="s">
        <v>641</v>
      </c>
      <c r="J61" s="75" t="s">
        <v>634</v>
      </c>
      <c r="K61" s="74"/>
      <c r="L61" s="82">
        <v>42.84</v>
      </c>
      <c r="M61" s="138">
        <v>42.84</v>
      </c>
      <c r="N61" s="138">
        <v>42.84</v>
      </c>
      <c r="O61" s="138">
        <v>42.84</v>
      </c>
      <c r="P61" s="138">
        <v>42.84</v>
      </c>
      <c r="Q61" s="138">
        <v>42.84</v>
      </c>
      <c r="R61" s="138">
        <v>42.84</v>
      </c>
      <c r="S61" s="138">
        <v>42.84</v>
      </c>
      <c r="T61" s="138">
        <v>42.84</v>
      </c>
      <c r="U61" s="138">
        <v>42.84</v>
      </c>
      <c r="V61" s="138">
        <v>42.84</v>
      </c>
      <c r="W61" s="138">
        <v>42.84</v>
      </c>
      <c r="X61" s="138">
        <v>42.84</v>
      </c>
      <c r="Y61" s="138">
        <f t="shared" si="33"/>
        <v>42.84</v>
      </c>
      <c r="Z61" s="138">
        <f t="shared" si="34"/>
        <v>42.84</v>
      </c>
      <c r="AA61" s="138">
        <f t="shared" si="35"/>
        <v>42.84</v>
      </c>
      <c r="AB61" s="138">
        <f t="shared" si="36"/>
        <v>42.84</v>
      </c>
      <c r="AC61" s="138">
        <f t="shared" si="37"/>
        <v>42.84</v>
      </c>
      <c r="AD61" s="138">
        <f t="shared" si="38"/>
        <v>42.84</v>
      </c>
      <c r="AE61" s="138">
        <f t="shared" si="39"/>
        <v>42.84</v>
      </c>
      <c r="AF61" s="138">
        <f t="shared" si="40"/>
        <v>42.84</v>
      </c>
      <c r="AG61" s="138">
        <f t="shared" si="41"/>
        <v>42.84</v>
      </c>
      <c r="AH61" s="138">
        <f t="shared" si="42"/>
        <v>42.84</v>
      </c>
      <c r="AI61" s="138">
        <f t="shared" si="43"/>
        <v>42.84</v>
      </c>
      <c r="AJ61" s="138">
        <f t="shared" si="44"/>
        <v>42.84</v>
      </c>
      <c r="AK61" s="138">
        <f t="shared" si="45"/>
        <v>42.84</v>
      </c>
      <c r="AL61" s="138">
        <f t="shared" si="46"/>
        <v>42.840000000000011</v>
      </c>
      <c r="AM61" s="138">
        <f t="shared" si="47"/>
        <v>42.840000000000025</v>
      </c>
      <c r="AO61" s="77" t="str">
        <f t="shared" si="4"/>
        <v>GDS-2 (Small General Delivery)</v>
      </c>
      <c r="AP61" s="78" t="s">
        <v>670</v>
      </c>
      <c r="AQ61" s="77" t="str">
        <f t="shared" si="5"/>
        <v>Customer Charge</v>
      </c>
      <c r="AR61" s="78" t="str">
        <f t="shared" si="6"/>
        <v>Billing Cycle</v>
      </c>
      <c r="AS61" s="79">
        <f t="shared" si="7"/>
        <v>6</v>
      </c>
      <c r="AT61" s="78">
        <f t="shared" si="8"/>
        <v>43</v>
      </c>
      <c r="AU61" s="78">
        <f t="shared" si="9"/>
        <v>42.84</v>
      </c>
      <c r="AV61" s="78">
        <f t="shared" si="10"/>
        <v>42.84</v>
      </c>
      <c r="AW61" s="78">
        <f t="shared" si="11"/>
        <v>42.84</v>
      </c>
      <c r="AX61" s="78">
        <f t="shared" si="12"/>
        <v>42.84</v>
      </c>
      <c r="AY61" s="78">
        <f t="shared" si="13"/>
        <v>42.84</v>
      </c>
      <c r="AZ61" s="78">
        <f t="shared" si="14"/>
        <v>42.84</v>
      </c>
      <c r="BA61" s="78">
        <f t="shared" si="15"/>
        <v>42.84</v>
      </c>
      <c r="BB61" s="78">
        <f t="shared" si="16"/>
        <v>42.84</v>
      </c>
      <c r="BC61" s="78">
        <f t="shared" si="17"/>
        <v>42.84</v>
      </c>
      <c r="BD61" s="78">
        <f t="shared" si="18"/>
        <v>42.84</v>
      </c>
      <c r="BE61" s="78">
        <f t="shared" si="19"/>
        <v>42.84</v>
      </c>
      <c r="BF61" s="78">
        <f t="shared" si="20"/>
        <v>42.84</v>
      </c>
      <c r="BG61" s="78">
        <f t="shared" si="21"/>
        <v>42.84</v>
      </c>
      <c r="BH61" s="78">
        <f t="shared" si="22"/>
        <v>42.84</v>
      </c>
      <c r="BI61" s="78">
        <f t="shared" si="23"/>
        <v>42.84</v>
      </c>
      <c r="BJ61" s="78">
        <f t="shared" si="24"/>
        <v>42.84</v>
      </c>
      <c r="BK61" s="78">
        <f t="shared" si="25"/>
        <v>42.84</v>
      </c>
      <c r="BL61" s="78">
        <f t="shared" si="26"/>
        <v>42.84</v>
      </c>
      <c r="BM61" s="78">
        <f t="shared" si="27"/>
        <v>42.84</v>
      </c>
      <c r="BN61" s="78">
        <f t="shared" si="28"/>
        <v>42.84</v>
      </c>
      <c r="BO61" s="78">
        <f t="shared" si="29"/>
        <v>42.84</v>
      </c>
      <c r="BP61" s="78">
        <f t="shared" si="30"/>
        <v>42.84</v>
      </c>
      <c r="BQ61" s="78">
        <f t="shared" si="31"/>
        <v>42.84</v>
      </c>
      <c r="BR61" s="78">
        <f t="shared" si="32"/>
        <v>42.84</v>
      </c>
      <c r="BS61" s="77"/>
      <c r="BT61" s="77"/>
    </row>
    <row r="62" spans="1:72" ht="14.1" customHeight="1" x14ac:dyDescent="0.2">
      <c r="A62" s="55" t="str">
        <f t="shared" si="2"/>
        <v>GDS-3 (Intermediate General Delivery)_Customer Charge</v>
      </c>
      <c r="B62" s="80" t="s">
        <v>671</v>
      </c>
      <c r="C62" s="83" t="s">
        <v>557</v>
      </c>
      <c r="D62" s="150"/>
      <c r="E62" s="81"/>
      <c r="F62" s="73" t="s">
        <v>649</v>
      </c>
      <c r="G62" s="73">
        <v>0</v>
      </c>
      <c r="H62" s="73">
        <v>6</v>
      </c>
      <c r="I62" s="74" t="s">
        <v>641</v>
      </c>
      <c r="J62" s="75" t="s">
        <v>634</v>
      </c>
      <c r="K62" s="74"/>
      <c r="L62" s="82">
        <v>269.83999999999997</v>
      </c>
      <c r="M62" s="138">
        <v>269.83999999999997</v>
      </c>
      <c r="N62" s="138">
        <v>269.83999999999997</v>
      </c>
      <c r="O62" s="138">
        <v>269.83999999999997</v>
      </c>
      <c r="P62" s="138">
        <v>269.83999999999997</v>
      </c>
      <c r="Q62" s="138">
        <v>269.83999999999997</v>
      </c>
      <c r="R62" s="138">
        <v>269.83999999999997</v>
      </c>
      <c r="S62" s="138">
        <v>269.83999999999997</v>
      </c>
      <c r="T62" s="138">
        <v>269.83999999999997</v>
      </c>
      <c r="U62" s="138">
        <v>269.83999999999997</v>
      </c>
      <c r="V62" s="138">
        <v>269.83999999999997</v>
      </c>
      <c r="W62" s="138">
        <v>269.83999999999997</v>
      </c>
      <c r="X62" s="138">
        <v>269.83999999999997</v>
      </c>
      <c r="Y62" s="138">
        <f t="shared" si="33"/>
        <v>269.83999999999997</v>
      </c>
      <c r="Z62" s="138">
        <f t="shared" si="34"/>
        <v>269.83999999999997</v>
      </c>
      <c r="AA62" s="138">
        <f t="shared" si="35"/>
        <v>269.83999999999997</v>
      </c>
      <c r="AB62" s="138">
        <f t="shared" si="36"/>
        <v>269.83999999999997</v>
      </c>
      <c r="AC62" s="138">
        <f t="shared" si="37"/>
        <v>269.83999999999997</v>
      </c>
      <c r="AD62" s="138">
        <f t="shared" si="38"/>
        <v>269.83999999999997</v>
      </c>
      <c r="AE62" s="138">
        <f t="shared" si="39"/>
        <v>269.83999999999997</v>
      </c>
      <c r="AF62" s="138">
        <f t="shared" si="40"/>
        <v>269.83999999999997</v>
      </c>
      <c r="AG62" s="138">
        <f t="shared" si="41"/>
        <v>269.83999999999997</v>
      </c>
      <c r="AH62" s="138">
        <f t="shared" si="42"/>
        <v>269.83999999999997</v>
      </c>
      <c r="AI62" s="138">
        <f t="shared" si="43"/>
        <v>269.83999999999997</v>
      </c>
      <c r="AJ62" s="138">
        <f t="shared" si="44"/>
        <v>269.83999999999997</v>
      </c>
      <c r="AK62" s="138">
        <f t="shared" si="45"/>
        <v>269.83999999999997</v>
      </c>
      <c r="AL62" s="138">
        <f t="shared" si="46"/>
        <v>269.84000000000003</v>
      </c>
      <c r="AM62" s="138">
        <f t="shared" si="47"/>
        <v>269.84000000000009</v>
      </c>
      <c r="AO62" s="77" t="str">
        <f t="shared" si="4"/>
        <v>GDS-3 (Intermediate General Delivery)</v>
      </c>
      <c r="AP62" s="78" t="s">
        <v>672</v>
      </c>
      <c r="AQ62" s="77" t="str">
        <f t="shared" si="5"/>
        <v>Customer Charge</v>
      </c>
      <c r="AR62" s="78" t="str">
        <f t="shared" si="6"/>
        <v>Billing Cycle</v>
      </c>
      <c r="AS62" s="79">
        <f t="shared" si="7"/>
        <v>6</v>
      </c>
      <c r="AT62" s="78">
        <f t="shared" si="8"/>
        <v>270</v>
      </c>
      <c r="AU62" s="78">
        <f t="shared" si="9"/>
        <v>269.83999999999997</v>
      </c>
      <c r="AV62" s="78">
        <f t="shared" si="10"/>
        <v>269.83999999999997</v>
      </c>
      <c r="AW62" s="78">
        <f t="shared" si="11"/>
        <v>269.83999999999997</v>
      </c>
      <c r="AX62" s="78">
        <f t="shared" si="12"/>
        <v>269.83999999999997</v>
      </c>
      <c r="AY62" s="78">
        <f t="shared" si="13"/>
        <v>269.83999999999997</v>
      </c>
      <c r="AZ62" s="78">
        <f t="shared" si="14"/>
        <v>269.83999999999997</v>
      </c>
      <c r="BA62" s="78">
        <f t="shared" si="15"/>
        <v>269.83999999999997</v>
      </c>
      <c r="BB62" s="78">
        <f t="shared" si="16"/>
        <v>269.83999999999997</v>
      </c>
      <c r="BC62" s="78">
        <f t="shared" si="17"/>
        <v>269.83999999999997</v>
      </c>
      <c r="BD62" s="78">
        <f t="shared" si="18"/>
        <v>269.83999999999997</v>
      </c>
      <c r="BE62" s="78">
        <f t="shared" si="19"/>
        <v>269.83999999999997</v>
      </c>
      <c r="BF62" s="78">
        <f t="shared" si="20"/>
        <v>269.83999999999997</v>
      </c>
      <c r="BG62" s="78">
        <f t="shared" si="21"/>
        <v>269.83999999999997</v>
      </c>
      <c r="BH62" s="78">
        <f t="shared" si="22"/>
        <v>269.83999999999997</v>
      </c>
      <c r="BI62" s="78">
        <f t="shared" si="23"/>
        <v>269.83999999999997</v>
      </c>
      <c r="BJ62" s="78">
        <f t="shared" si="24"/>
        <v>269.83999999999997</v>
      </c>
      <c r="BK62" s="78">
        <f t="shared" si="25"/>
        <v>269.83999999999997</v>
      </c>
      <c r="BL62" s="78">
        <f t="shared" si="26"/>
        <v>269.83999999999997</v>
      </c>
      <c r="BM62" s="78">
        <f t="shared" si="27"/>
        <v>269.83999999999997</v>
      </c>
      <c r="BN62" s="78">
        <f t="shared" si="28"/>
        <v>269.83999999999997</v>
      </c>
      <c r="BO62" s="78">
        <f t="shared" si="29"/>
        <v>269.83999999999997</v>
      </c>
      <c r="BP62" s="78">
        <f t="shared" si="30"/>
        <v>269.83999999999997</v>
      </c>
      <c r="BQ62" s="78">
        <f t="shared" si="31"/>
        <v>269.83999999999997</v>
      </c>
      <c r="BR62" s="78">
        <f t="shared" si="32"/>
        <v>269.83999999999997</v>
      </c>
      <c r="BS62" s="77"/>
      <c r="BT62" s="77"/>
    </row>
    <row r="63" spans="1:72" ht="14.1" customHeight="1" x14ac:dyDescent="0.2">
      <c r="A63" s="55" t="str">
        <f t="shared" si="2"/>
        <v>DS-5 (Lighting Service)_Customer Charge (Customer-owned Lighting Fixtures)</v>
      </c>
      <c r="B63" s="80" t="s">
        <v>647</v>
      </c>
      <c r="C63" s="83" t="s">
        <v>702</v>
      </c>
      <c r="D63" s="150"/>
      <c r="E63" s="81"/>
      <c r="F63" s="73" t="s">
        <v>649</v>
      </c>
      <c r="G63" s="73">
        <v>0</v>
      </c>
      <c r="H63" s="73">
        <v>6</v>
      </c>
      <c r="I63" s="74" t="s">
        <v>641</v>
      </c>
      <c r="J63" s="75" t="s">
        <v>634</v>
      </c>
      <c r="K63" s="74"/>
      <c r="L63" s="82">
        <v>20.73</v>
      </c>
      <c r="M63" s="138">
        <v>16.37</v>
      </c>
      <c r="N63" s="138">
        <v>16.37</v>
      </c>
      <c r="O63" s="138">
        <v>16.37</v>
      </c>
      <c r="P63" s="138">
        <v>16.37</v>
      </c>
      <c r="Q63" s="138">
        <v>16.37</v>
      </c>
      <c r="R63" s="138">
        <v>16.37</v>
      </c>
      <c r="S63" s="138">
        <v>17.11</v>
      </c>
      <c r="T63" s="138">
        <v>17.11</v>
      </c>
      <c r="U63" s="138">
        <v>17.11</v>
      </c>
      <c r="V63" s="138">
        <v>17.11</v>
      </c>
      <c r="W63" s="138">
        <v>17.11</v>
      </c>
      <c r="X63" s="138">
        <v>17.11</v>
      </c>
      <c r="Y63" s="138">
        <f t="shared" si="33"/>
        <v>17.11</v>
      </c>
      <c r="Z63" s="138">
        <f t="shared" si="34"/>
        <v>17.11</v>
      </c>
      <c r="AA63" s="138">
        <f t="shared" si="35"/>
        <v>17.11</v>
      </c>
      <c r="AB63" s="138">
        <f t="shared" si="36"/>
        <v>17.11</v>
      </c>
      <c r="AC63" s="138">
        <f t="shared" si="37"/>
        <v>17.11</v>
      </c>
      <c r="AD63" s="138">
        <f t="shared" si="38"/>
        <v>17.11</v>
      </c>
      <c r="AE63" s="138">
        <f t="shared" si="39"/>
        <v>17.11</v>
      </c>
      <c r="AF63" s="138">
        <f t="shared" si="40"/>
        <v>17.11</v>
      </c>
      <c r="AG63" s="138">
        <f t="shared" si="41"/>
        <v>17.11</v>
      </c>
      <c r="AH63" s="138">
        <f t="shared" si="42"/>
        <v>17.11</v>
      </c>
      <c r="AI63" s="138">
        <f t="shared" si="43"/>
        <v>17.11</v>
      </c>
      <c r="AJ63" s="138">
        <f t="shared" si="44"/>
        <v>17.11</v>
      </c>
      <c r="AK63" s="138">
        <f t="shared" si="45"/>
        <v>17.11</v>
      </c>
      <c r="AL63" s="138">
        <f t="shared" si="46"/>
        <v>17.110000000000003</v>
      </c>
      <c r="AM63" s="138">
        <f t="shared" si="47"/>
        <v>16.955833333333342</v>
      </c>
      <c r="AO63" s="77" t="str">
        <f t="shared" si="4"/>
        <v>DS-5 (Lighting Service)</v>
      </c>
      <c r="AP63" s="78" t="s">
        <v>650</v>
      </c>
      <c r="AQ63" s="77" t="str">
        <f t="shared" si="5"/>
        <v>Customer Charge (Customer-owned Lighting Fixtures)</v>
      </c>
      <c r="AR63" s="78" t="str">
        <f t="shared" si="6"/>
        <v>Billing Cycle</v>
      </c>
      <c r="AS63" s="79">
        <f t="shared" si="7"/>
        <v>6</v>
      </c>
      <c r="AT63" s="78">
        <f t="shared" si="8"/>
        <v>21</v>
      </c>
      <c r="AU63" s="78">
        <f t="shared" si="9"/>
        <v>16.37</v>
      </c>
      <c r="AV63" s="78">
        <f t="shared" si="10"/>
        <v>16.37</v>
      </c>
      <c r="AW63" s="78">
        <f t="shared" si="11"/>
        <v>16.37</v>
      </c>
      <c r="AX63" s="78">
        <f t="shared" si="12"/>
        <v>16.37</v>
      </c>
      <c r="AY63" s="78">
        <f t="shared" si="13"/>
        <v>16.37</v>
      </c>
      <c r="AZ63" s="78">
        <f t="shared" si="14"/>
        <v>16.37</v>
      </c>
      <c r="BA63" s="78">
        <f t="shared" si="15"/>
        <v>17.11</v>
      </c>
      <c r="BB63" s="78">
        <f t="shared" si="16"/>
        <v>17.11</v>
      </c>
      <c r="BC63" s="78">
        <f t="shared" si="17"/>
        <v>17.11</v>
      </c>
      <c r="BD63" s="78">
        <f t="shared" si="18"/>
        <v>17.11</v>
      </c>
      <c r="BE63" s="78">
        <f t="shared" si="19"/>
        <v>17.11</v>
      </c>
      <c r="BF63" s="78">
        <f t="shared" si="20"/>
        <v>17.11</v>
      </c>
      <c r="BG63" s="78">
        <f t="shared" si="21"/>
        <v>17.11</v>
      </c>
      <c r="BH63" s="78">
        <f t="shared" si="22"/>
        <v>17.11</v>
      </c>
      <c r="BI63" s="78">
        <f t="shared" si="23"/>
        <v>17.11</v>
      </c>
      <c r="BJ63" s="78">
        <f t="shared" si="24"/>
        <v>17.11</v>
      </c>
      <c r="BK63" s="78">
        <f t="shared" si="25"/>
        <v>17.11</v>
      </c>
      <c r="BL63" s="78">
        <f t="shared" si="26"/>
        <v>17.11</v>
      </c>
      <c r="BM63" s="78">
        <f t="shared" si="27"/>
        <v>17.11</v>
      </c>
      <c r="BN63" s="78">
        <f t="shared" si="28"/>
        <v>17.11</v>
      </c>
      <c r="BO63" s="78">
        <f t="shared" si="29"/>
        <v>17.11</v>
      </c>
      <c r="BP63" s="78">
        <f t="shared" si="30"/>
        <v>17.11</v>
      </c>
      <c r="BQ63" s="78">
        <f t="shared" si="31"/>
        <v>17.11</v>
      </c>
      <c r="BR63" s="78">
        <f t="shared" si="32"/>
        <v>17.11</v>
      </c>
      <c r="BS63" s="77"/>
      <c r="BT63" s="77"/>
    </row>
    <row r="64" spans="1:72" ht="14.1" customHeight="1" x14ac:dyDescent="0.2">
      <c r="A64" s="55" t="str">
        <f t="shared" si="2"/>
        <v>DS-3 (General Delivery Service)_Customer Charge &gt;100kV</v>
      </c>
      <c r="B64" s="80" t="s">
        <v>666</v>
      </c>
      <c r="C64" s="83" t="s">
        <v>703</v>
      </c>
      <c r="D64" s="150"/>
      <c r="E64" s="81"/>
      <c r="F64" s="73" t="s">
        <v>649</v>
      </c>
      <c r="G64" s="73">
        <v>0</v>
      </c>
      <c r="H64" s="73">
        <v>6</v>
      </c>
      <c r="I64" s="74" t="s">
        <v>641</v>
      </c>
      <c r="J64" s="75" t="s">
        <v>634</v>
      </c>
      <c r="K64" s="74"/>
      <c r="L64" s="82">
        <v>634.78</v>
      </c>
      <c r="M64" s="138">
        <v>649.96</v>
      </c>
      <c r="N64" s="138">
        <v>649.96</v>
      </c>
      <c r="O64" s="138">
        <v>649.96</v>
      </c>
      <c r="P64" s="138">
        <v>649.96</v>
      </c>
      <c r="Q64" s="138">
        <v>649.96</v>
      </c>
      <c r="R64" s="138">
        <v>649.96</v>
      </c>
      <c r="S64" s="138">
        <v>679.96</v>
      </c>
      <c r="T64" s="138">
        <v>679.96</v>
      </c>
      <c r="U64" s="138">
        <v>679.96</v>
      </c>
      <c r="V64" s="138">
        <v>679.96</v>
      </c>
      <c r="W64" s="138">
        <v>679.96</v>
      </c>
      <c r="X64" s="138">
        <v>679.96</v>
      </c>
      <c r="Y64" s="138">
        <f t="shared" si="33"/>
        <v>679.96</v>
      </c>
      <c r="Z64" s="138">
        <f t="shared" si="34"/>
        <v>679.96</v>
      </c>
      <c r="AA64" s="138">
        <f t="shared" si="35"/>
        <v>679.96</v>
      </c>
      <c r="AB64" s="138">
        <f t="shared" si="36"/>
        <v>679.96</v>
      </c>
      <c r="AC64" s="138">
        <f t="shared" si="37"/>
        <v>679.96</v>
      </c>
      <c r="AD64" s="138">
        <f t="shared" si="38"/>
        <v>679.96</v>
      </c>
      <c r="AE64" s="138">
        <f t="shared" si="39"/>
        <v>679.96</v>
      </c>
      <c r="AF64" s="138">
        <f t="shared" si="40"/>
        <v>679.96</v>
      </c>
      <c r="AG64" s="138">
        <f t="shared" si="41"/>
        <v>679.96</v>
      </c>
      <c r="AH64" s="138">
        <f t="shared" si="42"/>
        <v>679.96</v>
      </c>
      <c r="AI64" s="138">
        <f t="shared" si="43"/>
        <v>679.96</v>
      </c>
      <c r="AJ64" s="138">
        <f t="shared" si="44"/>
        <v>679.96</v>
      </c>
      <c r="AK64" s="138">
        <f t="shared" si="45"/>
        <v>679.96</v>
      </c>
      <c r="AL64" s="138">
        <f t="shared" si="46"/>
        <v>679.96</v>
      </c>
      <c r="AM64" s="138">
        <f t="shared" si="47"/>
        <v>673.70999999999958</v>
      </c>
      <c r="AO64" s="77" t="str">
        <f t="shared" si="4"/>
        <v>DS-3 (General Delivery Service)</v>
      </c>
      <c r="AP64" s="78" t="s">
        <v>667</v>
      </c>
      <c r="AQ64" s="77" t="str">
        <f t="shared" si="5"/>
        <v>Customer Charge &gt;100kV</v>
      </c>
      <c r="AR64" s="78" t="str">
        <f t="shared" si="6"/>
        <v>Billing Cycle</v>
      </c>
      <c r="AS64" s="79">
        <f t="shared" si="7"/>
        <v>6</v>
      </c>
      <c r="AT64" s="78">
        <f t="shared" si="8"/>
        <v>635</v>
      </c>
      <c r="AU64" s="78">
        <f t="shared" si="9"/>
        <v>649.96</v>
      </c>
      <c r="AV64" s="78">
        <f t="shared" si="10"/>
        <v>649.96</v>
      </c>
      <c r="AW64" s="78">
        <f t="shared" si="11"/>
        <v>649.96</v>
      </c>
      <c r="AX64" s="78">
        <f t="shared" si="12"/>
        <v>649.96</v>
      </c>
      <c r="AY64" s="78">
        <f t="shared" si="13"/>
        <v>649.96</v>
      </c>
      <c r="AZ64" s="78">
        <f t="shared" si="14"/>
        <v>649.96</v>
      </c>
      <c r="BA64" s="78">
        <f t="shared" si="15"/>
        <v>679.96</v>
      </c>
      <c r="BB64" s="78">
        <f t="shared" si="16"/>
        <v>679.96</v>
      </c>
      <c r="BC64" s="78">
        <f t="shared" si="17"/>
        <v>679.96</v>
      </c>
      <c r="BD64" s="78">
        <f t="shared" si="18"/>
        <v>679.96</v>
      </c>
      <c r="BE64" s="78">
        <f t="shared" si="19"/>
        <v>679.96</v>
      </c>
      <c r="BF64" s="78">
        <f t="shared" si="20"/>
        <v>679.96</v>
      </c>
      <c r="BG64" s="78">
        <f t="shared" si="21"/>
        <v>679.96</v>
      </c>
      <c r="BH64" s="78">
        <f t="shared" si="22"/>
        <v>679.96</v>
      </c>
      <c r="BI64" s="78">
        <f t="shared" si="23"/>
        <v>679.96</v>
      </c>
      <c r="BJ64" s="78">
        <f t="shared" si="24"/>
        <v>679.96</v>
      </c>
      <c r="BK64" s="78">
        <f t="shared" si="25"/>
        <v>679.96</v>
      </c>
      <c r="BL64" s="78">
        <f t="shared" si="26"/>
        <v>679.96</v>
      </c>
      <c r="BM64" s="78">
        <f t="shared" si="27"/>
        <v>679.96</v>
      </c>
      <c r="BN64" s="78">
        <f t="shared" si="28"/>
        <v>679.96</v>
      </c>
      <c r="BO64" s="78">
        <f t="shared" si="29"/>
        <v>679.96</v>
      </c>
      <c r="BP64" s="78">
        <f t="shared" si="30"/>
        <v>679.96</v>
      </c>
      <c r="BQ64" s="78">
        <f t="shared" si="31"/>
        <v>679.96</v>
      </c>
      <c r="BR64" s="78">
        <f t="shared" si="32"/>
        <v>679.96</v>
      </c>
      <c r="BS64" s="77"/>
      <c r="BT64" s="77"/>
    </row>
    <row r="65" spans="1:72" ht="14.1" customHeight="1" x14ac:dyDescent="0.2">
      <c r="A65" s="55" t="str">
        <f t="shared" si="2"/>
        <v>DS-4 (Large General Service)_Customer Charge &gt;100kV</v>
      </c>
      <c r="B65" s="80" t="s">
        <v>639</v>
      </c>
      <c r="C65" s="83" t="s">
        <v>703</v>
      </c>
      <c r="D65" s="150"/>
      <c r="E65" s="81"/>
      <c r="F65" s="73" t="s">
        <v>649</v>
      </c>
      <c r="G65" s="73">
        <v>0</v>
      </c>
      <c r="H65" s="73">
        <v>6</v>
      </c>
      <c r="I65" s="74" t="s">
        <v>641</v>
      </c>
      <c r="J65" s="75" t="s">
        <v>634</v>
      </c>
      <c r="K65" s="74"/>
      <c r="L65" s="82">
        <v>634.78</v>
      </c>
      <c r="M65" s="138">
        <v>649.96</v>
      </c>
      <c r="N65" s="138">
        <v>649.96</v>
      </c>
      <c r="O65" s="138">
        <v>649.96</v>
      </c>
      <c r="P65" s="138">
        <v>649.96</v>
      </c>
      <c r="Q65" s="138">
        <v>649.96</v>
      </c>
      <c r="R65" s="138">
        <v>649.96</v>
      </c>
      <c r="S65" s="138">
        <v>679.96</v>
      </c>
      <c r="T65" s="138">
        <v>679.96</v>
      </c>
      <c r="U65" s="138">
        <v>679.96</v>
      </c>
      <c r="V65" s="138">
        <v>679.96</v>
      </c>
      <c r="W65" s="138">
        <v>679.96</v>
      </c>
      <c r="X65" s="138">
        <v>679.96</v>
      </c>
      <c r="Y65" s="138">
        <f t="shared" si="33"/>
        <v>679.96</v>
      </c>
      <c r="Z65" s="138">
        <f t="shared" si="34"/>
        <v>679.96</v>
      </c>
      <c r="AA65" s="138">
        <f t="shared" si="35"/>
        <v>679.96</v>
      </c>
      <c r="AB65" s="138">
        <f t="shared" si="36"/>
        <v>679.96</v>
      </c>
      <c r="AC65" s="138">
        <f t="shared" si="37"/>
        <v>679.96</v>
      </c>
      <c r="AD65" s="138">
        <f t="shared" si="38"/>
        <v>679.96</v>
      </c>
      <c r="AE65" s="138">
        <f t="shared" si="39"/>
        <v>679.96</v>
      </c>
      <c r="AF65" s="138">
        <f t="shared" si="40"/>
        <v>679.96</v>
      </c>
      <c r="AG65" s="138">
        <f t="shared" si="41"/>
        <v>679.96</v>
      </c>
      <c r="AH65" s="138">
        <f t="shared" si="42"/>
        <v>679.96</v>
      </c>
      <c r="AI65" s="138">
        <f t="shared" si="43"/>
        <v>679.96</v>
      </c>
      <c r="AJ65" s="138">
        <f t="shared" si="44"/>
        <v>679.96</v>
      </c>
      <c r="AK65" s="138">
        <f t="shared" si="45"/>
        <v>679.96</v>
      </c>
      <c r="AL65" s="138">
        <f t="shared" si="46"/>
        <v>679.96</v>
      </c>
      <c r="AM65" s="138">
        <f t="shared" si="47"/>
        <v>673.70999999999958</v>
      </c>
      <c r="AO65" s="77" t="str">
        <f t="shared" si="4"/>
        <v>DS-4 (Large General Service)</v>
      </c>
      <c r="AP65" s="78" t="s">
        <v>642</v>
      </c>
      <c r="AQ65" s="77" t="str">
        <f t="shared" si="5"/>
        <v>Customer Charge &gt;100kV</v>
      </c>
      <c r="AR65" s="78" t="str">
        <f t="shared" si="6"/>
        <v>Billing Cycle</v>
      </c>
      <c r="AS65" s="79">
        <f t="shared" si="7"/>
        <v>6</v>
      </c>
      <c r="AT65" s="78">
        <f t="shared" si="8"/>
        <v>635</v>
      </c>
      <c r="AU65" s="78">
        <f t="shared" si="9"/>
        <v>649.96</v>
      </c>
      <c r="AV65" s="78">
        <f t="shared" si="10"/>
        <v>649.96</v>
      </c>
      <c r="AW65" s="78">
        <f t="shared" si="11"/>
        <v>649.96</v>
      </c>
      <c r="AX65" s="78">
        <f t="shared" si="12"/>
        <v>649.96</v>
      </c>
      <c r="AY65" s="78">
        <f t="shared" si="13"/>
        <v>649.96</v>
      </c>
      <c r="AZ65" s="78">
        <f t="shared" si="14"/>
        <v>649.96</v>
      </c>
      <c r="BA65" s="78">
        <f t="shared" si="15"/>
        <v>679.96</v>
      </c>
      <c r="BB65" s="78">
        <f t="shared" si="16"/>
        <v>679.96</v>
      </c>
      <c r="BC65" s="78">
        <f t="shared" si="17"/>
        <v>679.96</v>
      </c>
      <c r="BD65" s="78">
        <f t="shared" si="18"/>
        <v>679.96</v>
      </c>
      <c r="BE65" s="78">
        <f t="shared" si="19"/>
        <v>679.96</v>
      </c>
      <c r="BF65" s="78">
        <f t="shared" si="20"/>
        <v>679.96</v>
      </c>
      <c r="BG65" s="78">
        <f t="shared" si="21"/>
        <v>679.96</v>
      </c>
      <c r="BH65" s="78">
        <f t="shared" si="22"/>
        <v>679.96</v>
      </c>
      <c r="BI65" s="78">
        <f t="shared" si="23"/>
        <v>679.96</v>
      </c>
      <c r="BJ65" s="78">
        <f t="shared" si="24"/>
        <v>679.96</v>
      </c>
      <c r="BK65" s="78">
        <f t="shared" si="25"/>
        <v>679.96</v>
      </c>
      <c r="BL65" s="78">
        <f t="shared" si="26"/>
        <v>679.96</v>
      </c>
      <c r="BM65" s="78">
        <f t="shared" si="27"/>
        <v>679.96</v>
      </c>
      <c r="BN65" s="78">
        <f t="shared" si="28"/>
        <v>679.96</v>
      </c>
      <c r="BO65" s="78">
        <f t="shared" si="29"/>
        <v>679.96</v>
      </c>
      <c r="BP65" s="78">
        <f t="shared" si="30"/>
        <v>679.96</v>
      </c>
      <c r="BQ65" s="78">
        <f t="shared" si="31"/>
        <v>679.96</v>
      </c>
      <c r="BR65" s="78">
        <f t="shared" si="32"/>
        <v>679.96</v>
      </c>
      <c r="BS65" s="77"/>
      <c r="BT65" s="77"/>
    </row>
    <row r="66" spans="1:72" ht="14.1" customHeight="1" x14ac:dyDescent="0.2">
      <c r="A66" s="55" t="str">
        <f t="shared" si="2"/>
        <v>DS-6 (DS-3) Temp. Sensitive DS_Customer Charge &gt;100kV</v>
      </c>
      <c r="B66" s="80" t="s">
        <v>643</v>
      </c>
      <c r="C66" s="83" t="s">
        <v>703</v>
      </c>
      <c r="D66" s="150"/>
      <c r="E66" s="81"/>
      <c r="F66" s="73" t="s">
        <v>649</v>
      </c>
      <c r="G66" s="73">
        <v>0</v>
      </c>
      <c r="H66" s="73">
        <v>6</v>
      </c>
      <c r="I66" s="74" t="s">
        <v>641</v>
      </c>
      <c r="J66" s="75" t="s">
        <v>634</v>
      </c>
      <c r="K66" s="74"/>
      <c r="L66" s="82">
        <v>634.78</v>
      </c>
      <c r="M66" s="138">
        <v>649.96</v>
      </c>
      <c r="N66" s="138">
        <v>649.96</v>
      </c>
      <c r="O66" s="138">
        <v>649.96</v>
      </c>
      <c r="P66" s="138">
        <v>649.96</v>
      </c>
      <c r="Q66" s="138">
        <v>649.96</v>
      </c>
      <c r="R66" s="138">
        <v>649.96</v>
      </c>
      <c r="S66" s="138">
        <v>679.96</v>
      </c>
      <c r="T66" s="138">
        <v>679.96</v>
      </c>
      <c r="U66" s="138">
        <v>679.96</v>
      </c>
      <c r="V66" s="138">
        <v>679.96</v>
      </c>
      <c r="W66" s="138">
        <v>679.96</v>
      </c>
      <c r="X66" s="138">
        <v>679.96</v>
      </c>
      <c r="Y66" s="138">
        <f t="shared" si="33"/>
        <v>679.96</v>
      </c>
      <c r="Z66" s="138">
        <f t="shared" si="34"/>
        <v>679.96</v>
      </c>
      <c r="AA66" s="138">
        <f t="shared" si="35"/>
        <v>679.96</v>
      </c>
      <c r="AB66" s="138">
        <f t="shared" si="36"/>
        <v>679.96</v>
      </c>
      <c r="AC66" s="138">
        <f t="shared" si="37"/>
        <v>679.96</v>
      </c>
      <c r="AD66" s="138">
        <f t="shared" si="38"/>
        <v>679.96</v>
      </c>
      <c r="AE66" s="138">
        <f t="shared" si="39"/>
        <v>679.96</v>
      </c>
      <c r="AF66" s="138">
        <f t="shared" si="40"/>
        <v>679.96</v>
      </c>
      <c r="AG66" s="138">
        <f t="shared" si="41"/>
        <v>679.96</v>
      </c>
      <c r="AH66" s="138">
        <f t="shared" si="42"/>
        <v>679.96</v>
      </c>
      <c r="AI66" s="138">
        <f t="shared" si="43"/>
        <v>679.96</v>
      </c>
      <c r="AJ66" s="138">
        <f t="shared" si="44"/>
        <v>679.96</v>
      </c>
      <c r="AK66" s="138">
        <f t="shared" si="45"/>
        <v>679.96</v>
      </c>
      <c r="AL66" s="138">
        <f t="shared" si="46"/>
        <v>679.96</v>
      </c>
      <c r="AM66" s="138">
        <f t="shared" si="47"/>
        <v>673.70999999999958</v>
      </c>
      <c r="AO66" s="77" t="str">
        <f t="shared" si="4"/>
        <v>DS-6 (DS-3) Temp. Sensitive DS</v>
      </c>
      <c r="AP66" s="78" t="s">
        <v>644</v>
      </c>
      <c r="AQ66" s="77" t="str">
        <f t="shared" si="5"/>
        <v>Customer Charge &gt;100kV</v>
      </c>
      <c r="AR66" s="78" t="str">
        <f t="shared" si="6"/>
        <v>Billing Cycle</v>
      </c>
      <c r="AS66" s="79">
        <f t="shared" si="7"/>
        <v>6</v>
      </c>
      <c r="AT66" s="78">
        <f t="shared" si="8"/>
        <v>635</v>
      </c>
      <c r="AU66" s="78">
        <f t="shared" si="9"/>
        <v>649.96</v>
      </c>
      <c r="AV66" s="78">
        <f t="shared" si="10"/>
        <v>649.96</v>
      </c>
      <c r="AW66" s="78">
        <f t="shared" si="11"/>
        <v>649.96</v>
      </c>
      <c r="AX66" s="78">
        <f t="shared" si="12"/>
        <v>649.96</v>
      </c>
      <c r="AY66" s="78">
        <f t="shared" si="13"/>
        <v>649.96</v>
      </c>
      <c r="AZ66" s="78">
        <f t="shared" si="14"/>
        <v>649.96</v>
      </c>
      <c r="BA66" s="78">
        <f t="shared" si="15"/>
        <v>679.96</v>
      </c>
      <c r="BB66" s="78">
        <f t="shared" si="16"/>
        <v>679.96</v>
      </c>
      <c r="BC66" s="78">
        <f t="shared" si="17"/>
        <v>679.96</v>
      </c>
      <c r="BD66" s="78">
        <f t="shared" si="18"/>
        <v>679.96</v>
      </c>
      <c r="BE66" s="78">
        <f t="shared" si="19"/>
        <v>679.96</v>
      </c>
      <c r="BF66" s="78">
        <f t="shared" si="20"/>
        <v>679.96</v>
      </c>
      <c r="BG66" s="78">
        <f t="shared" si="21"/>
        <v>679.96</v>
      </c>
      <c r="BH66" s="78">
        <f t="shared" si="22"/>
        <v>679.96</v>
      </c>
      <c r="BI66" s="78">
        <f t="shared" si="23"/>
        <v>679.96</v>
      </c>
      <c r="BJ66" s="78">
        <f t="shared" si="24"/>
        <v>679.96</v>
      </c>
      <c r="BK66" s="78">
        <f t="shared" si="25"/>
        <v>679.96</v>
      </c>
      <c r="BL66" s="78">
        <f t="shared" si="26"/>
        <v>679.96</v>
      </c>
      <c r="BM66" s="78">
        <f t="shared" si="27"/>
        <v>679.96</v>
      </c>
      <c r="BN66" s="78">
        <f t="shared" si="28"/>
        <v>679.96</v>
      </c>
      <c r="BO66" s="78">
        <f t="shared" si="29"/>
        <v>679.96</v>
      </c>
      <c r="BP66" s="78">
        <f t="shared" si="30"/>
        <v>679.96</v>
      </c>
      <c r="BQ66" s="78">
        <f t="shared" si="31"/>
        <v>679.96</v>
      </c>
      <c r="BR66" s="78">
        <f t="shared" si="32"/>
        <v>679.96</v>
      </c>
      <c r="BS66" s="77"/>
      <c r="BT66" s="77"/>
    </row>
    <row r="67" spans="1:72" ht="14.1" customHeight="1" x14ac:dyDescent="0.2">
      <c r="A67" s="55" t="str">
        <f t="shared" si="2"/>
        <v>DS-6 (DS-4) Temp. Sensitive DS_Customer Charge &gt;100kV</v>
      </c>
      <c r="B67" s="80" t="s">
        <v>645</v>
      </c>
      <c r="C67" s="83" t="s">
        <v>703</v>
      </c>
      <c r="D67" s="150"/>
      <c r="E67" s="81"/>
      <c r="F67" s="73" t="s">
        <v>649</v>
      </c>
      <c r="G67" s="73">
        <v>0</v>
      </c>
      <c r="H67" s="73">
        <v>6</v>
      </c>
      <c r="I67" s="74" t="s">
        <v>641</v>
      </c>
      <c r="J67" s="75" t="s">
        <v>634</v>
      </c>
      <c r="K67" s="74"/>
      <c r="L67" s="82">
        <v>634.78</v>
      </c>
      <c r="M67" s="138">
        <v>649.96</v>
      </c>
      <c r="N67" s="138">
        <v>649.96</v>
      </c>
      <c r="O67" s="138">
        <v>649.96</v>
      </c>
      <c r="P67" s="138">
        <v>649.96</v>
      </c>
      <c r="Q67" s="138">
        <v>649.96</v>
      </c>
      <c r="R67" s="138">
        <v>649.96</v>
      </c>
      <c r="S67" s="138">
        <v>679.96</v>
      </c>
      <c r="T67" s="138">
        <v>679.96</v>
      </c>
      <c r="U67" s="138">
        <v>679.96</v>
      </c>
      <c r="V67" s="138">
        <v>679.96</v>
      </c>
      <c r="W67" s="138">
        <v>679.96</v>
      </c>
      <c r="X67" s="138">
        <v>679.96</v>
      </c>
      <c r="Y67" s="138">
        <f t="shared" si="33"/>
        <v>679.96</v>
      </c>
      <c r="Z67" s="138">
        <f t="shared" si="34"/>
        <v>679.96</v>
      </c>
      <c r="AA67" s="138">
        <f t="shared" si="35"/>
        <v>679.96</v>
      </c>
      <c r="AB67" s="138">
        <f t="shared" si="36"/>
        <v>679.96</v>
      </c>
      <c r="AC67" s="138">
        <f t="shared" si="37"/>
        <v>679.96</v>
      </c>
      <c r="AD67" s="138">
        <f t="shared" si="38"/>
        <v>679.96</v>
      </c>
      <c r="AE67" s="138">
        <f t="shared" si="39"/>
        <v>679.96</v>
      </c>
      <c r="AF67" s="138">
        <f t="shared" si="40"/>
        <v>679.96</v>
      </c>
      <c r="AG67" s="138">
        <f t="shared" si="41"/>
        <v>679.96</v>
      </c>
      <c r="AH67" s="138">
        <f t="shared" si="42"/>
        <v>679.96</v>
      </c>
      <c r="AI67" s="138">
        <f t="shared" si="43"/>
        <v>679.96</v>
      </c>
      <c r="AJ67" s="138">
        <f t="shared" si="44"/>
        <v>679.96</v>
      </c>
      <c r="AK67" s="138">
        <f t="shared" si="45"/>
        <v>679.96</v>
      </c>
      <c r="AL67" s="138">
        <f t="shared" si="46"/>
        <v>679.96</v>
      </c>
      <c r="AM67" s="138">
        <f t="shared" si="47"/>
        <v>673.70999999999958</v>
      </c>
      <c r="AO67" s="77" t="str">
        <f t="shared" si="4"/>
        <v>DS-6 (DS-4) Temp. Sensitive DS</v>
      </c>
      <c r="AP67" s="78" t="s">
        <v>646</v>
      </c>
      <c r="AQ67" s="77" t="str">
        <f t="shared" si="5"/>
        <v>Customer Charge &gt;100kV</v>
      </c>
      <c r="AR67" s="78" t="str">
        <f t="shared" si="6"/>
        <v>Billing Cycle</v>
      </c>
      <c r="AS67" s="79">
        <f t="shared" si="7"/>
        <v>6</v>
      </c>
      <c r="AT67" s="78">
        <f t="shared" si="8"/>
        <v>635</v>
      </c>
      <c r="AU67" s="78">
        <f t="shared" si="9"/>
        <v>649.96</v>
      </c>
      <c r="AV67" s="78">
        <f t="shared" si="10"/>
        <v>649.96</v>
      </c>
      <c r="AW67" s="78">
        <f t="shared" si="11"/>
        <v>649.96</v>
      </c>
      <c r="AX67" s="78">
        <f t="shared" si="12"/>
        <v>649.96</v>
      </c>
      <c r="AY67" s="78">
        <f t="shared" si="13"/>
        <v>649.96</v>
      </c>
      <c r="AZ67" s="78">
        <f t="shared" si="14"/>
        <v>649.96</v>
      </c>
      <c r="BA67" s="78">
        <f t="shared" si="15"/>
        <v>679.96</v>
      </c>
      <c r="BB67" s="78">
        <f t="shared" si="16"/>
        <v>679.96</v>
      </c>
      <c r="BC67" s="78">
        <f t="shared" si="17"/>
        <v>679.96</v>
      </c>
      <c r="BD67" s="78">
        <f t="shared" si="18"/>
        <v>679.96</v>
      </c>
      <c r="BE67" s="78">
        <f t="shared" si="19"/>
        <v>679.96</v>
      </c>
      <c r="BF67" s="78">
        <f t="shared" si="20"/>
        <v>679.96</v>
      </c>
      <c r="BG67" s="78">
        <f t="shared" si="21"/>
        <v>679.96</v>
      </c>
      <c r="BH67" s="78">
        <f t="shared" si="22"/>
        <v>679.96</v>
      </c>
      <c r="BI67" s="78">
        <f t="shared" si="23"/>
        <v>679.96</v>
      </c>
      <c r="BJ67" s="78">
        <f t="shared" si="24"/>
        <v>679.96</v>
      </c>
      <c r="BK67" s="78">
        <f t="shared" si="25"/>
        <v>679.96</v>
      </c>
      <c r="BL67" s="78">
        <f t="shared" si="26"/>
        <v>679.96</v>
      </c>
      <c r="BM67" s="78">
        <f t="shared" si="27"/>
        <v>679.96</v>
      </c>
      <c r="BN67" s="78">
        <f t="shared" si="28"/>
        <v>679.96</v>
      </c>
      <c r="BO67" s="78">
        <f t="shared" si="29"/>
        <v>679.96</v>
      </c>
      <c r="BP67" s="78">
        <f t="shared" si="30"/>
        <v>679.96</v>
      </c>
      <c r="BQ67" s="78">
        <f t="shared" si="31"/>
        <v>679.96</v>
      </c>
      <c r="BR67" s="78">
        <f t="shared" si="32"/>
        <v>679.96</v>
      </c>
      <c r="BS67" s="77"/>
      <c r="BT67" s="77"/>
    </row>
    <row r="68" spans="1:72" ht="14.1" customHeight="1" x14ac:dyDescent="0.2">
      <c r="A68" s="55" t="str">
        <f t="shared" si="2"/>
        <v>DS-3 (General Delivery Service)_Customer Charge High Voltage</v>
      </c>
      <c r="B68" s="80" t="s">
        <v>666</v>
      </c>
      <c r="C68" s="83" t="s">
        <v>704</v>
      </c>
      <c r="D68" s="150"/>
      <c r="E68" s="81"/>
      <c r="F68" s="73" t="s">
        <v>649</v>
      </c>
      <c r="G68" s="73">
        <v>0</v>
      </c>
      <c r="H68" s="73">
        <v>6</v>
      </c>
      <c r="I68" s="74" t="s">
        <v>641</v>
      </c>
      <c r="J68" s="75" t="s">
        <v>634</v>
      </c>
      <c r="K68" s="74"/>
      <c r="L68" s="82">
        <v>534.78</v>
      </c>
      <c r="M68" s="138">
        <v>519.96</v>
      </c>
      <c r="N68" s="138">
        <v>519.96</v>
      </c>
      <c r="O68" s="138">
        <v>519.96</v>
      </c>
      <c r="P68" s="138">
        <v>519.96</v>
      </c>
      <c r="Q68" s="138">
        <v>519.96</v>
      </c>
      <c r="R68" s="138">
        <v>519.96</v>
      </c>
      <c r="S68" s="138">
        <v>539.96</v>
      </c>
      <c r="T68" s="138">
        <v>539.96</v>
      </c>
      <c r="U68" s="138">
        <v>539.96</v>
      </c>
      <c r="V68" s="138">
        <v>539.96</v>
      </c>
      <c r="W68" s="138">
        <v>539.96</v>
      </c>
      <c r="X68" s="138">
        <v>539.96</v>
      </c>
      <c r="Y68" s="138">
        <f t="shared" si="33"/>
        <v>539.96</v>
      </c>
      <c r="Z68" s="138">
        <f t="shared" si="34"/>
        <v>539.96</v>
      </c>
      <c r="AA68" s="138">
        <f t="shared" si="35"/>
        <v>539.96</v>
      </c>
      <c r="AB68" s="138">
        <f t="shared" si="36"/>
        <v>539.96</v>
      </c>
      <c r="AC68" s="138">
        <f t="shared" si="37"/>
        <v>539.96</v>
      </c>
      <c r="AD68" s="138">
        <f t="shared" si="38"/>
        <v>539.96</v>
      </c>
      <c r="AE68" s="138">
        <f t="shared" si="39"/>
        <v>539.96</v>
      </c>
      <c r="AF68" s="138">
        <f t="shared" si="40"/>
        <v>539.96</v>
      </c>
      <c r="AG68" s="138">
        <f t="shared" si="41"/>
        <v>539.96</v>
      </c>
      <c r="AH68" s="138">
        <f t="shared" si="42"/>
        <v>539.96</v>
      </c>
      <c r="AI68" s="138">
        <f t="shared" si="43"/>
        <v>539.96</v>
      </c>
      <c r="AJ68" s="138">
        <f t="shared" si="44"/>
        <v>539.96</v>
      </c>
      <c r="AK68" s="138">
        <f t="shared" si="45"/>
        <v>539.96</v>
      </c>
      <c r="AL68" s="138">
        <f t="shared" si="46"/>
        <v>539.96</v>
      </c>
      <c r="AM68" s="138">
        <f t="shared" si="47"/>
        <v>535.79333333333307</v>
      </c>
      <c r="AO68" s="77" t="str">
        <f t="shared" si="4"/>
        <v>DS-3 (General Delivery Service)</v>
      </c>
      <c r="AP68" s="78" t="s">
        <v>667</v>
      </c>
      <c r="AQ68" s="77" t="str">
        <f t="shared" si="5"/>
        <v>Customer Charge High Voltage</v>
      </c>
      <c r="AR68" s="78" t="str">
        <f t="shared" si="6"/>
        <v>Billing Cycle</v>
      </c>
      <c r="AS68" s="79">
        <f t="shared" si="7"/>
        <v>6</v>
      </c>
      <c r="AT68" s="78">
        <f t="shared" si="8"/>
        <v>535</v>
      </c>
      <c r="AU68" s="78">
        <f t="shared" si="9"/>
        <v>519.96</v>
      </c>
      <c r="AV68" s="78">
        <f t="shared" si="10"/>
        <v>519.96</v>
      </c>
      <c r="AW68" s="78">
        <f t="shared" si="11"/>
        <v>519.96</v>
      </c>
      <c r="AX68" s="78">
        <f t="shared" si="12"/>
        <v>519.96</v>
      </c>
      <c r="AY68" s="78">
        <f t="shared" si="13"/>
        <v>519.96</v>
      </c>
      <c r="AZ68" s="78">
        <f t="shared" si="14"/>
        <v>519.96</v>
      </c>
      <c r="BA68" s="78">
        <f t="shared" si="15"/>
        <v>539.96</v>
      </c>
      <c r="BB68" s="78">
        <f t="shared" si="16"/>
        <v>539.96</v>
      </c>
      <c r="BC68" s="78">
        <f t="shared" si="17"/>
        <v>539.96</v>
      </c>
      <c r="BD68" s="78">
        <f t="shared" si="18"/>
        <v>539.96</v>
      </c>
      <c r="BE68" s="78">
        <f t="shared" si="19"/>
        <v>539.96</v>
      </c>
      <c r="BF68" s="78">
        <f t="shared" si="20"/>
        <v>539.96</v>
      </c>
      <c r="BG68" s="78">
        <f t="shared" si="21"/>
        <v>539.96</v>
      </c>
      <c r="BH68" s="78">
        <f t="shared" si="22"/>
        <v>539.96</v>
      </c>
      <c r="BI68" s="78">
        <f t="shared" si="23"/>
        <v>539.96</v>
      </c>
      <c r="BJ68" s="78">
        <f t="shared" si="24"/>
        <v>539.96</v>
      </c>
      <c r="BK68" s="78">
        <f t="shared" si="25"/>
        <v>539.96</v>
      </c>
      <c r="BL68" s="78">
        <f t="shared" si="26"/>
        <v>539.96</v>
      </c>
      <c r="BM68" s="78">
        <f t="shared" si="27"/>
        <v>539.96</v>
      </c>
      <c r="BN68" s="78">
        <f t="shared" si="28"/>
        <v>539.96</v>
      </c>
      <c r="BO68" s="78">
        <f t="shared" si="29"/>
        <v>539.96</v>
      </c>
      <c r="BP68" s="78">
        <f t="shared" si="30"/>
        <v>539.96</v>
      </c>
      <c r="BQ68" s="78">
        <f t="shared" si="31"/>
        <v>539.96</v>
      </c>
      <c r="BR68" s="78">
        <f t="shared" si="32"/>
        <v>539.96</v>
      </c>
      <c r="BS68" s="77"/>
      <c r="BT68" s="77"/>
    </row>
    <row r="69" spans="1:72" ht="14.1" customHeight="1" x14ac:dyDescent="0.2">
      <c r="A69" s="55" t="str">
        <f t="shared" si="2"/>
        <v>DS-4 (Large General Service)_Customer Charge High Voltage</v>
      </c>
      <c r="B69" s="80" t="s">
        <v>639</v>
      </c>
      <c r="C69" s="83" t="s">
        <v>704</v>
      </c>
      <c r="D69" s="150"/>
      <c r="E69" s="81"/>
      <c r="F69" s="73" t="s">
        <v>649</v>
      </c>
      <c r="G69" s="73">
        <v>0</v>
      </c>
      <c r="H69" s="73">
        <v>6</v>
      </c>
      <c r="I69" s="74" t="s">
        <v>641</v>
      </c>
      <c r="J69" s="75" t="s">
        <v>634</v>
      </c>
      <c r="K69" s="74"/>
      <c r="L69" s="82">
        <v>534.78</v>
      </c>
      <c r="M69" s="138">
        <v>519.96</v>
      </c>
      <c r="N69" s="138">
        <v>519.96</v>
      </c>
      <c r="O69" s="138">
        <v>519.96</v>
      </c>
      <c r="P69" s="138">
        <v>519.96</v>
      </c>
      <c r="Q69" s="138">
        <v>519.96</v>
      </c>
      <c r="R69" s="138">
        <v>519.96</v>
      </c>
      <c r="S69" s="138">
        <v>539.96</v>
      </c>
      <c r="T69" s="138">
        <v>539.96</v>
      </c>
      <c r="U69" s="138">
        <v>539.96</v>
      </c>
      <c r="V69" s="138">
        <v>539.96</v>
      </c>
      <c r="W69" s="138">
        <v>539.96</v>
      </c>
      <c r="X69" s="138">
        <v>539.96</v>
      </c>
      <c r="Y69" s="138">
        <f t="shared" si="33"/>
        <v>539.96</v>
      </c>
      <c r="Z69" s="138">
        <f t="shared" si="34"/>
        <v>539.96</v>
      </c>
      <c r="AA69" s="138">
        <f t="shared" si="35"/>
        <v>539.96</v>
      </c>
      <c r="AB69" s="138">
        <f t="shared" si="36"/>
        <v>539.96</v>
      </c>
      <c r="AC69" s="138">
        <f t="shared" si="37"/>
        <v>539.96</v>
      </c>
      <c r="AD69" s="138">
        <f t="shared" si="38"/>
        <v>539.96</v>
      </c>
      <c r="AE69" s="138">
        <f t="shared" si="39"/>
        <v>539.96</v>
      </c>
      <c r="AF69" s="138">
        <f t="shared" si="40"/>
        <v>539.96</v>
      </c>
      <c r="AG69" s="138">
        <f t="shared" si="41"/>
        <v>539.96</v>
      </c>
      <c r="AH69" s="138">
        <f t="shared" si="42"/>
        <v>539.96</v>
      </c>
      <c r="AI69" s="138">
        <f t="shared" si="43"/>
        <v>539.96</v>
      </c>
      <c r="AJ69" s="138">
        <f t="shared" si="44"/>
        <v>539.96</v>
      </c>
      <c r="AK69" s="138">
        <f t="shared" si="45"/>
        <v>539.96</v>
      </c>
      <c r="AL69" s="138">
        <f t="shared" si="46"/>
        <v>539.96</v>
      </c>
      <c r="AM69" s="138">
        <f t="shared" si="47"/>
        <v>535.79333333333307</v>
      </c>
      <c r="AO69" s="77" t="str">
        <f t="shared" si="4"/>
        <v>DS-4 (Large General Service)</v>
      </c>
      <c r="AP69" s="78" t="s">
        <v>642</v>
      </c>
      <c r="AQ69" s="77" t="str">
        <f t="shared" si="5"/>
        <v>Customer Charge High Voltage</v>
      </c>
      <c r="AR69" s="78" t="str">
        <f t="shared" si="6"/>
        <v>Billing Cycle</v>
      </c>
      <c r="AS69" s="79">
        <f t="shared" si="7"/>
        <v>6</v>
      </c>
      <c r="AT69" s="78">
        <f t="shared" si="8"/>
        <v>535</v>
      </c>
      <c r="AU69" s="78">
        <f t="shared" si="9"/>
        <v>519.96</v>
      </c>
      <c r="AV69" s="78">
        <f t="shared" si="10"/>
        <v>519.96</v>
      </c>
      <c r="AW69" s="78">
        <f t="shared" si="11"/>
        <v>519.96</v>
      </c>
      <c r="AX69" s="78">
        <f t="shared" si="12"/>
        <v>519.96</v>
      </c>
      <c r="AY69" s="78">
        <f t="shared" si="13"/>
        <v>519.96</v>
      </c>
      <c r="AZ69" s="78">
        <f t="shared" si="14"/>
        <v>519.96</v>
      </c>
      <c r="BA69" s="78">
        <f t="shared" si="15"/>
        <v>539.96</v>
      </c>
      <c r="BB69" s="78">
        <f t="shared" si="16"/>
        <v>539.96</v>
      </c>
      <c r="BC69" s="78">
        <f t="shared" si="17"/>
        <v>539.96</v>
      </c>
      <c r="BD69" s="78">
        <f t="shared" si="18"/>
        <v>539.96</v>
      </c>
      <c r="BE69" s="78">
        <f t="shared" si="19"/>
        <v>539.96</v>
      </c>
      <c r="BF69" s="78">
        <f t="shared" si="20"/>
        <v>539.96</v>
      </c>
      <c r="BG69" s="78">
        <f t="shared" si="21"/>
        <v>539.96</v>
      </c>
      <c r="BH69" s="78">
        <f t="shared" si="22"/>
        <v>539.96</v>
      </c>
      <c r="BI69" s="78">
        <f t="shared" si="23"/>
        <v>539.96</v>
      </c>
      <c r="BJ69" s="78">
        <f t="shared" si="24"/>
        <v>539.96</v>
      </c>
      <c r="BK69" s="78">
        <f t="shared" si="25"/>
        <v>539.96</v>
      </c>
      <c r="BL69" s="78">
        <f t="shared" si="26"/>
        <v>539.96</v>
      </c>
      <c r="BM69" s="78">
        <f t="shared" si="27"/>
        <v>539.96</v>
      </c>
      <c r="BN69" s="78">
        <f t="shared" si="28"/>
        <v>539.96</v>
      </c>
      <c r="BO69" s="78">
        <f t="shared" si="29"/>
        <v>539.96</v>
      </c>
      <c r="BP69" s="78">
        <f t="shared" si="30"/>
        <v>539.96</v>
      </c>
      <c r="BQ69" s="78">
        <f t="shared" si="31"/>
        <v>539.96</v>
      </c>
      <c r="BR69" s="78">
        <f t="shared" si="32"/>
        <v>539.96</v>
      </c>
      <c r="BS69" s="77"/>
      <c r="BT69" s="77"/>
    </row>
    <row r="70" spans="1:72" ht="14.1" customHeight="1" x14ac:dyDescent="0.2">
      <c r="A70" s="55" t="str">
        <f t="shared" ref="A70:A133" si="48">B70&amp;"_"&amp;C70</f>
        <v>DS-6 (DS-3) Temp. Sensitive DS_Customer Charge High Voltage</v>
      </c>
      <c r="B70" s="80" t="s">
        <v>643</v>
      </c>
      <c r="C70" s="83" t="s">
        <v>704</v>
      </c>
      <c r="D70" s="150"/>
      <c r="E70" s="81"/>
      <c r="F70" s="73" t="s">
        <v>649</v>
      </c>
      <c r="G70" s="73">
        <v>0</v>
      </c>
      <c r="H70" s="73">
        <v>6</v>
      </c>
      <c r="I70" s="74" t="s">
        <v>641</v>
      </c>
      <c r="J70" s="75" t="s">
        <v>634</v>
      </c>
      <c r="K70" s="74"/>
      <c r="L70" s="82">
        <v>534.78</v>
      </c>
      <c r="M70" s="138">
        <v>519.96</v>
      </c>
      <c r="N70" s="138">
        <v>519.96</v>
      </c>
      <c r="O70" s="138">
        <v>519.96</v>
      </c>
      <c r="P70" s="138">
        <v>519.96</v>
      </c>
      <c r="Q70" s="138">
        <v>519.96</v>
      </c>
      <c r="R70" s="138">
        <v>519.96</v>
      </c>
      <c r="S70" s="138">
        <v>539.96</v>
      </c>
      <c r="T70" s="138">
        <v>539.96</v>
      </c>
      <c r="U70" s="138">
        <v>539.96</v>
      </c>
      <c r="V70" s="138">
        <v>539.96</v>
      </c>
      <c r="W70" s="138">
        <v>539.96</v>
      </c>
      <c r="X70" s="138">
        <v>539.96</v>
      </c>
      <c r="Y70" s="138">
        <f t="shared" si="33"/>
        <v>539.96</v>
      </c>
      <c r="Z70" s="138">
        <f t="shared" si="34"/>
        <v>539.96</v>
      </c>
      <c r="AA70" s="138">
        <f t="shared" si="35"/>
        <v>539.96</v>
      </c>
      <c r="AB70" s="138">
        <f t="shared" si="36"/>
        <v>539.96</v>
      </c>
      <c r="AC70" s="138">
        <f t="shared" si="37"/>
        <v>539.96</v>
      </c>
      <c r="AD70" s="138">
        <f t="shared" si="38"/>
        <v>539.96</v>
      </c>
      <c r="AE70" s="138">
        <f t="shared" si="39"/>
        <v>539.96</v>
      </c>
      <c r="AF70" s="138">
        <f t="shared" si="40"/>
        <v>539.96</v>
      </c>
      <c r="AG70" s="138">
        <f t="shared" si="41"/>
        <v>539.96</v>
      </c>
      <c r="AH70" s="138">
        <f t="shared" si="42"/>
        <v>539.96</v>
      </c>
      <c r="AI70" s="138">
        <f t="shared" si="43"/>
        <v>539.96</v>
      </c>
      <c r="AJ70" s="138">
        <f t="shared" si="44"/>
        <v>539.96</v>
      </c>
      <c r="AK70" s="138">
        <f t="shared" si="45"/>
        <v>539.96</v>
      </c>
      <c r="AL70" s="138">
        <f t="shared" si="46"/>
        <v>539.96</v>
      </c>
      <c r="AM70" s="138">
        <f t="shared" si="47"/>
        <v>535.79333333333307</v>
      </c>
      <c r="AO70" s="77" t="str">
        <f t="shared" ref="AO70:AO133" si="49">IF(B70="","",B70)</f>
        <v>DS-6 (DS-3) Temp. Sensitive DS</v>
      </c>
      <c r="AP70" s="78" t="s">
        <v>644</v>
      </c>
      <c r="AQ70" s="77" t="str">
        <f t="shared" ref="AQ70:AQ133" si="50">IF(B70="","",C70)</f>
        <v>Customer Charge High Voltage</v>
      </c>
      <c r="AR70" s="78" t="str">
        <f t="shared" ref="AR70:AR133" si="51">IF(B70="","",F70)</f>
        <v>Billing Cycle</v>
      </c>
      <c r="AS70" s="79">
        <f t="shared" ref="AS70:AS133" si="52">IF(B70="","",H70)</f>
        <v>6</v>
      </c>
      <c r="AT70" s="78">
        <f t="shared" ref="AT70:AT133" si="53">IF(B70="","",ROUND(L70,$H$6))</f>
        <v>535</v>
      </c>
      <c r="AU70" s="78">
        <f t="shared" ref="AU70:AU133" si="54">IF($B70="","",ROUND(IF(M70="",AT70,M70),$H70))</f>
        <v>519.96</v>
      </c>
      <c r="AV70" s="78">
        <f t="shared" ref="AV70:AV133" si="55">IF($B70="","",ROUND(IF(N70="",AU70,N70),$H70))</f>
        <v>519.96</v>
      </c>
      <c r="AW70" s="78">
        <f t="shared" ref="AW70:AW133" si="56">IF($B70="","",ROUND(IF(O70="",AV70,O70),$H70))</f>
        <v>519.96</v>
      </c>
      <c r="AX70" s="78">
        <f t="shared" ref="AX70:AX133" si="57">IF($B70="","",ROUND(IF(P70="",AW70,P70),$H70))</f>
        <v>519.96</v>
      </c>
      <c r="AY70" s="78">
        <f t="shared" ref="AY70:AY133" si="58">IF($B70="","",ROUND(IF(Q70="",AX70,Q70),$H70))</f>
        <v>519.96</v>
      </c>
      <c r="AZ70" s="78">
        <f t="shared" ref="AZ70:AZ133" si="59">IF($B70="","",ROUND(IF(R70="",AY70,R70),$H70))</f>
        <v>519.96</v>
      </c>
      <c r="BA70" s="78">
        <f t="shared" ref="BA70:BA133" si="60">IF($B70="","",ROUND(IF(S70="",AZ70,S70),$H70))</f>
        <v>539.96</v>
      </c>
      <c r="BB70" s="78">
        <f t="shared" ref="BB70:BB133" si="61">IF($B70="","",ROUND(IF(T70="",BA70,T70),$H70))</f>
        <v>539.96</v>
      </c>
      <c r="BC70" s="78">
        <f t="shared" ref="BC70:BC133" si="62">IF($B70="","",ROUND(IF(U70="",BB70,U70),$H70))</f>
        <v>539.96</v>
      </c>
      <c r="BD70" s="78">
        <f t="shared" ref="BD70:BD133" si="63">IF($B70="","",ROUND(IF(V70="",BC70,V70),$H70))</f>
        <v>539.96</v>
      </c>
      <c r="BE70" s="78">
        <f t="shared" ref="BE70:BE133" si="64">IF($B70="","",ROUND(IF(W70="",BD70,W70),$H70))</f>
        <v>539.96</v>
      </c>
      <c r="BF70" s="78">
        <f t="shared" ref="BF70:BF133" si="65">IF($B70="","",ROUND(IF(X70="",BE70,X70),$H70))</f>
        <v>539.96</v>
      </c>
      <c r="BG70" s="78">
        <f t="shared" ref="BG70:BG133" si="66">IF($B70="","",ROUND(IF(Y70="",BF70,Y70),$H70))</f>
        <v>539.96</v>
      </c>
      <c r="BH70" s="78">
        <f t="shared" ref="BH70:BH133" si="67">IF($B70="","",ROUND(IF(Z70="",BG70,Z70),$H70))</f>
        <v>539.96</v>
      </c>
      <c r="BI70" s="78">
        <f t="shared" ref="BI70:BI133" si="68">IF($B70="","",ROUND(IF(AA70="",BH70,AA70),$H70))</f>
        <v>539.96</v>
      </c>
      <c r="BJ70" s="78">
        <f t="shared" ref="BJ70:BJ133" si="69">IF($B70="","",ROUND(IF(AB70="",BI70,AB70),$H70))</f>
        <v>539.96</v>
      </c>
      <c r="BK70" s="78">
        <f t="shared" ref="BK70:BK133" si="70">IF($B70="","",ROUND(IF(AC70="",BJ70,AC70),$H70))</f>
        <v>539.96</v>
      </c>
      <c r="BL70" s="78">
        <f t="shared" ref="BL70:BL133" si="71">IF($B70="","",ROUND(IF(AD70="",BK70,AD70),$H70))</f>
        <v>539.96</v>
      </c>
      <c r="BM70" s="78">
        <f t="shared" ref="BM70:BM133" si="72">IF($B70="","",ROUND(IF(AE70="",BL70,AE70),$H70))</f>
        <v>539.96</v>
      </c>
      <c r="BN70" s="78">
        <f t="shared" ref="BN70:BN133" si="73">IF($B70="","",ROUND(IF(AF70="",BM70,AF70),$H70))</f>
        <v>539.96</v>
      </c>
      <c r="BO70" s="78">
        <f t="shared" ref="BO70:BO133" si="74">IF($B70="","",ROUND(IF(AG70="",BN70,AG70),$H70))</f>
        <v>539.96</v>
      </c>
      <c r="BP70" s="78">
        <f t="shared" ref="BP70:BP133" si="75">IF($B70="","",ROUND(IF(AH70="",BO70,AH70),$H70))</f>
        <v>539.96</v>
      </c>
      <c r="BQ70" s="78">
        <f t="shared" ref="BQ70:BQ133" si="76">IF($B70="","",ROUND(IF(AI70="",BP70,AI70),$H70))</f>
        <v>539.96</v>
      </c>
      <c r="BR70" s="78">
        <f t="shared" ref="BR70:BR133" si="77">IF($B70="","",ROUND(IF(AJ70="",BQ70,AJ70),$H70))</f>
        <v>539.96</v>
      </c>
      <c r="BS70" s="77"/>
      <c r="BT70" s="77"/>
    </row>
    <row r="71" spans="1:72" ht="14.1" customHeight="1" x14ac:dyDescent="0.2">
      <c r="A71" s="55" t="str">
        <f t="shared" si="48"/>
        <v>DS-6 (DS-4) Temp. Sensitive DS_Customer Charge High Voltage</v>
      </c>
      <c r="B71" s="80" t="s">
        <v>645</v>
      </c>
      <c r="C71" s="83" t="s">
        <v>704</v>
      </c>
      <c r="D71" s="150"/>
      <c r="E71" s="81"/>
      <c r="F71" s="73" t="s">
        <v>649</v>
      </c>
      <c r="G71" s="73">
        <v>0</v>
      </c>
      <c r="H71" s="73">
        <v>6</v>
      </c>
      <c r="I71" s="74" t="s">
        <v>641</v>
      </c>
      <c r="J71" s="75" t="s">
        <v>634</v>
      </c>
      <c r="K71" s="74"/>
      <c r="L71" s="82">
        <v>534.78</v>
      </c>
      <c r="M71" s="138">
        <v>519.96</v>
      </c>
      <c r="N71" s="138">
        <v>519.96</v>
      </c>
      <c r="O71" s="138">
        <v>519.96</v>
      </c>
      <c r="P71" s="138">
        <v>519.96</v>
      </c>
      <c r="Q71" s="138">
        <v>519.96</v>
      </c>
      <c r="R71" s="138">
        <v>519.96</v>
      </c>
      <c r="S71" s="138">
        <v>539.96</v>
      </c>
      <c r="T71" s="138">
        <v>539.96</v>
      </c>
      <c r="U71" s="138">
        <v>539.96</v>
      </c>
      <c r="V71" s="138">
        <v>539.96</v>
      </c>
      <c r="W71" s="138">
        <v>539.96</v>
      </c>
      <c r="X71" s="138">
        <v>539.96</v>
      </c>
      <c r="Y71" s="138">
        <f t="shared" ref="Y71:Y134" si="78">X71</f>
        <v>539.96</v>
      </c>
      <c r="Z71" s="138">
        <f t="shared" ref="Z71:Z134" si="79">Y71</f>
        <v>539.96</v>
      </c>
      <c r="AA71" s="138">
        <f t="shared" ref="AA71:AA134" si="80">Z71</f>
        <v>539.96</v>
      </c>
      <c r="AB71" s="138">
        <f t="shared" ref="AB71:AB134" si="81">AA71</f>
        <v>539.96</v>
      </c>
      <c r="AC71" s="138">
        <f t="shared" ref="AC71:AC134" si="82">AB71</f>
        <v>539.96</v>
      </c>
      <c r="AD71" s="138">
        <f t="shared" ref="AD71:AD134" si="83">AC71</f>
        <v>539.96</v>
      </c>
      <c r="AE71" s="138">
        <f t="shared" ref="AE71:AE134" si="84">AD71</f>
        <v>539.96</v>
      </c>
      <c r="AF71" s="138">
        <f t="shared" ref="AF71:AF134" si="85">AE71</f>
        <v>539.96</v>
      </c>
      <c r="AG71" s="138">
        <f t="shared" ref="AG71:AG134" si="86">AF71</f>
        <v>539.96</v>
      </c>
      <c r="AH71" s="138">
        <f t="shared" ref="AH71:AH134" si="87">AG71</f>
        <v>539.96</v>
      </c>
      <c r="AI71" s="138">
        <f t="shared" ref="AI71:AI134" si="88">AH71</f>
        <v>539.96</v>
      </c>
      <c r="AJ71" s="138">
        <f t="shared" ref="AJ71:AJ134" si="89">AI71</f>
        <v>539.96</v>
      </c>
      <c r="AK71" s="138">
        <f t="shared" ref="AK71:AK134" si="90">AJ71</f>
        <v>539.96</v>
      </c>
      <c r="AL71" s="138">
        <f t="shared" ref="AL71:AL134" si="91">AVERAGE(Z71:AK71)</f>
        <v>539.96</v>
      </c>
      <c r="AM71" s="138">
        <f t="shared" ref="AM71:AM134" si="92">AVERAGE(N71:AK71)</f>
        <v>535.79333333333307</v>
      </c>
      <c r="AO71" s="77" t="str">
        <f t="shared" si="49"/>
        <v>DS-6 (DS-4) Temp. Sensitive DS</v>
      </c>
      <c r="AP71" s="78" t="s">
        <v>646</v>
      </c>
      <c r="AQ71" s="77" t="str">
        <f t="shared" si="50"/>
        <v>Customer Charge High Voltage</v>
      </c>
      <c r="AR71" s="78" t="str">
        <f t="shared" si="51"/>
        <v>Billing Cycle</v>
      </c>
      <c r="AS71" s="79">
        <f t="shared" si="52"/>
        <v>6</v>
      </c>
      <c r="AT71" s="78">
        <f t="shared" si="53"/>
        <v>535</v>
      </c>
      <c r="AU71" s="78">
        <f t="shared" si="54"/>
        <v>519.96</v>
      </c>
      <c r="AV71" s="78">
        <f t="shared" si="55"/>
        <v>519.96</v>
      </c>
      <c r="AW71" s="78">
        <f t="shared" si="56"/>
        <v>519.96</v>
      </c>
      <c r="AX71" s="78">
        <f t="shared" si="57"/>
        <v>519.96</v>
      </c>
      <c r="AY71" s="78">
        <f t="shared" si="58"/>
        <v>519.96</v>
      </c>
      <c r="AZ71" s="78">
        <f t="shared" si="59"/>
        <v>519.96</v>
      </c>
      <c r="BA71" s="78">
        <f t="shared" si="60"/>
        <v>539.96</v>
      </c>
      <c r="BB71" s="78">
        <f t="shared" si="61"/>
        <v>539.96</v>
      </c>
      <c r="BC71" s="78">
        <f t="shared" si="62"/>
        <v>539.96</v>
      </c>
      <c r="BD71" s="78">
        <f t="shared" si="63"/>
        <v>539.96</v>
      </c>
      <c r="BE71" s="78">
        <f t="shared" si="64"/>
        <v>539.96</v>
      </c>
      <c r="BF71" s="78">
        <f t="shared" si="65"/>
        <v>539.96</v>
      </c>
      <c r="BG71" s="78">
        <f t="shared" si="66"/>
        <v>539.96</v>
      </c>
      <c r="BH71" s="78">
        <f t="shared" si="67"/>
        <v>539.96</v>
      </c>
      <c r="BI71" s="78">
        <f t="shared" si="68"/>
        <v>539.96</v>
      </c>
      <c r="BJ71" s="78">
        <f t="shared" si="69"/>
        <v>539.96</v>
      </c>
      <c r="BK71" s="78">
        <f t="shared" si="70"/>
        <v>539.96</v>
      </c>
      <c r="BL71" s="78">
        <f t="shared" si="71"/>
        <v>539.96</v>
      </c>
      <c r="BM71" s="78">
        <f t="shared" si="72"/>
        <v>539.96</v>
      </c>
      <c r="BN71" s="78">
        <f t="shared" si="73"/>
        <v>539.96</v>
      </c>
      <c r="BO71" s="78">
        <f t="shared" si="74"/>
        <v>539.96</v>
      </c>
      <c r="BP71" s="78">
        <f t="shared" si="75"/>
        <v>539.96</v>
      </c>
      <c r="BQ71" s="78">
        <f t="shared" si="76"/>
        <v>539.96</v>
      </c>
      <c r="BR71" s="78">
        <f t="shared" si="77"/>
        <v>539.96</v>
      </c>
      <c r="BS71" s="77"/>
      <c r="BT71" s="77"/>
    </row>
    <row r="72" spans="1:72" ht="14.1" customHeight="1" x14ac:dyDescent="0.2">
      <c r="A72" s="55" t="str">
        <f t="shared" si="48"/>
        <v>GDS-4 (Large General Delivery)_Customer Charge MDCQ &lt; 10000 (Rider S and T)</v>
      </c>
      <c r="B72" s="80" t="s">
        <v>673</v>
      </c>
      <c r="C72" s="83" t="s">
        <v>705</v>
      </c>
      <c r="D72" s="150"/>
      <c r="E72" s="81"/>
      <c r="F72" s="73" t="s">
        <v>649</v>
      </c>
      <c r="G72" s="73">
        <v>0</v>
      </c>
      <c r="H72" s="73">
        <v>6</v>
      </c>
      <c r="I72" s="74" t="s">
        <v>641</v>
      </c>
      <c r="J72" s="75" t="s">
        <v>634</v>
      </c>
      <c r="K72" s="74"/>
      <c r="L72" s="82">
        <v>499.84</v>
      </c>
      <c r="M72" s="138">
        <v>499.84</v>
      </c>
      <c r="N72" s="138">
        <v>499.84</v>
      </c>
      <c r="O72" s="138">
        <v>499.84</v>
      </c>
      <c r="P72" s="138">
        <v>499.84</v>
      </c>
      <c r="Q72" s="138">
        <v>499.84</v>
      </c>
      <c r="R72" s="138">
        <v>499.84</v>
      </c>
      <c r="S72" s="138">
        <v>499.84</v>
      </c>
      <c r="T72" s="138">
        <v>499.84</v>
      </c>
      <c r="U72" s="138">
        <v>499.84</v>
      </c>
      <c r="V72" s="138">
        <v>499.84</v>
      </c>
      <c r="W72" s="138">
        <v>499.84</v>
      </c>
      <c r="X72" s="138">
        <v>499.84</v>
      </c>
      <c r="Y72" s="138">
        <f t="shared" si="78"/>
        <v>499.84</v>
      </c>
      <c r="Z72" s="138">
        <f t="shared" si="79"/>
        <v>499.84</v>
      </c>
      <c r="AA72" s="138">
        <f t="shared" si="80"/>
        <v>499.84</v>
      </c>
      <c r="AB72" s="138">
        <f t="shared" si="81"/>
        <v>499.84</v>
      </c>
      <c r="AC72" s="138">
        <f t="shared" si="82"/>
        <v>499.84</v>
      </c>
      <c r="AD72" s="138">
        <f t="shared" si="83"/>
        <v>499.84</v>
      </c>
      <c r="AE72" s="138">
        <f t="shared" si="84"/>
        <v>499.84</v>
      </c>
      <c r="AF72" s="138">
        <f t="shared" si="85"/>
        <v>499.84</v>
      </c>
      <c r="AG72" s="138">
        <f t="shared" si="86"/>
        <v>499.84</v>
      </c>
      <c r="AH72" s="138">
        <f t="shared" si="87"/>
        <v>499.84</v>
      </c>
      <c r="AI72" s="138">
        <f t="shared" si="88"/>
        <v>499.84</v>
      </c>
      <c r="AJ72" s="138">
        <f t="shared" si="89"/>
        <v>499.84</v>
      </c>
      <c r="AK72" s="138">
        <f t="shared" si="90"/>
        <v>499.84</v>
      </c>
      <c r="AL72" s="138">
        <f t="shared" si="91"/>
        <v>499.84000000000009</v>
      </c>
      <c r="AM72" s="138">
        <f t="shared" si="92"/>
        <v>499.84000000000009</v>
      </c>
      <c r="AO72" s="77" t="str">
        <f t="shared" si="49"/>
        <v>GDS-4 (Large General Delivery)</v>
      </c>
      <c r="AP72" s="78" t="s">
        <v>674</v>
      </c>
      <c r="AQ72" s="77" t="str">
        <f t="shared" si="50"/>
        <v>Customer Charge MDCQ &lt; 10000 (Rider S and T)</v>
      </c>
      <c r="AR72" s="78" t="str">
        <f t="shared" si="51"/>
        <v>Billing Cycle</v>
      </c>
      <c r="AS72" s="79">
        <f t="shared" si="52"/>
        <v>6</v>
      </c>
      <c r="AT72" s="78">
        <f t="shared" si="53"/>
        <v>500</v>
      </c>
      <c r="AU72" s="78">
        <f t="shared" si="54"/>
        <v>499.84</v>
      </c>
      <c r="AV72" s="78">
        <f t="shared" si="55"/>
        <v>499.84</v>
      </c>
      <c r="AW72" s="78">
        <f t="shared" si="56"/>
        <v>499.84</v>
      </c>
      <c r="AX72" s="78">
        <f t="shared" si="57"/>
        <v>499.84</v>
      </c>
      <c r="AY72" s="78">
        <f t="shared" si="58"/>
        <v>499.84</v>
      </c>
      <c r="AZ72" s="78">
        <f t="shared" si="59"/>
        <v>499.84</v>
      </c>
      <c r="BA72" s="78">
        <f t="shared" si="60"/>
        <v>499.84</v>
      </c>
      <c r="BB72" s="78">
        <f t="shared" si="61"/>
        <v>499.84</v>
      </c>
      <c r="BC72" s="78">
        <f t="shared" si="62"/>
        <v>499.84</v>
      </c>
      <c r="BD72" s="78">
        <f t="shared" si="63"/>
        <v>499.84</v>
      </c>
      <c r="BE72" s="78">
        <f t="shared" si="64"/>
        <v>499.84</v>
      </c>
      <c r="BF72" s="78">
        <f t="shared" si="65"/>
        <v>499.84</v>
      </c>
      <c r="BG72" s="78">
        <f t="shared" si="66"/>
        <v>499.84</v>
      </c>
      <c r="BH72" s="78">
        <f t="shared" si="67"/>
        <v>499.84</v>
      </c>
      <c r="BI72" s="78">
        <f t="shared" si="68"/>
        <v>499.84</v>
      </c>
      <c r="BJ72" s="78">
        <f t="shared" si="69"/>
        <v>499.84</v>
      </c>
      <c r="BK72" s="78">
        <f t="shared" si="70"/>
        <v>499.84</v>
      </c>
      <c r="BL72" s="78">
        <f t="shared" si="71"/>
        <v>499.84</v>
      </c>
      <c r="BM72" s="78">
        <f t="shared" si="72"/>
        <v>499.84</v>
      </c>
      <c r="BN72" s="78">
        <f t="shared" si="73"/>
        <v>499.84</v>
      </c>
      <c r="BO72" s="78">
        <f t="shared" si="74"/>
        <v>499.84</v>
      </c>
      <c r="BP72" s="78">
        <f t="shared" si="75"/>
        <v>499.84</v>
      </c>
      <c r="BQ72" s="78">
        <f t="shared" si="76"/>
        <v>499.84</v>
      </c>
      <c r="BR72" s="78">
        <f t="shared" si="77"/>
        <v>499.84</v>
      </c>
      <c r="BS72" s="77"/>
      <c r="BT72" s="77"/>
    </row>
    <row r="73" spans="1:72" ht="14.1" customHeight="1" x14ac:dyDescent="0.2">
      <c r="A73" s="55" t="str">
        <f t="shared" si="48"/>
        <v>GDS-5 (Seasonal)_Customer Charge MDCQ &lt; 3250 (Rider S and T)</v>
      </c>
      <c r="B73" s="80" t="s">
        <v>675</v>
      </c>
      <c r="C73" s="83" t="s">
        <v>706</v>
      </c>
      <c r="D73" s="150"/>
      <c r="E73" s="81"/>
      <c r="F73" s="73" t="s">
        <v>649</v>
      </c>
      <c r="G73" s="73">
        <v>0</v>
      </c>
      <c r="H73" s="73">
        <v>6</v>
      </c>
      <c r="I73" s="74" t="s">
        <v>641</v>
      </c>
      <c r="J73" s="75" t="s">
        <v>634</v>
      </c>
      <c r="K73" s="74"/>
      <c r="L73" s="82">
        <v>409.84</v>
      </c>
      <c r="M73" s="138">
        <v>409.84</v>
      </c>
      <c r="N73" s="138">
        <v>409.84</v>
      </c>
      <c r="O73" s="138">
        <v>409.84</v>
      </c>
      <c r="P73" s="138">
        <v>409.84</v>
      </c>
      <c r="Q73" s="138">
        <v>409.84</v>
      </c>
      <c r="R73" s="138">
        <v>409.84</v>
      </c>
      <c r="S73" s="138">
        <v>409.84</v>
      </c>
      <c r="T73" s="138">
        <v>409.84</v>
      </c>
      <c r="U73" s="138">
        <v>409.84</v>
      </c>
      <c r="V73" s="138">
        <v>409.84</v>
      </c>
      <c r="W73" s="138">
        <v>409.84</v>
      </c>
      <c r="X73" s="138">
        <v>409.84</v>
      </c>
      <c r="Y73" s="138">
        <f t="shared" si="78"/>
        <v>409.84</v>
      </c>
      <c r="Z73" s="138">
        <f t="shared" si="79"/>
        <v>409.84</v>
      </c>
      <c r="AA73" s="138">
        <f t="shared" si="80"/>
        <v>409.84</v>
      </c>
      <c r="AB73" s="138">
        <f t="shared" si="81"/>
        <v>409.84</v>
      </c>
      <c r="AC73" s="138">
        <f t="shared" si="82"/>
        <v>409.84</v>
      </c>
      <c r="AD73" s="138">
        <f t="shared" si="83"/>
        <v>409.84</v>
      </c>
      <c r="AE73" s="138">
        <f t="shared" si="84"/>
        <v>409.84</v>
      </c>
      <c r="AF73" s="138">
        <f t="shared" si="85"/>
        <v>409.84</v>
      </c>
      <c r="AG73" s="138">
        <f t="shared" si="86"/>
        <v>409.84</v>
      </c>
      <c r="AH73" s="138">
        <f t="shared" si="87"/>
        <v>409.84</v>
      </c>
      <c r="AI73" s="138">
        <f t="shared" si="88"/>
        <v>409.84</v>
      </c>
      <c r="AJ73" s="138">
        <f t="shared" si="89"/>
        <v>409.84</v>
      </c>
      <c r="AK73" s="138">
        <f t="shared" si="90"/>
        <v>409.84</v>
      </c>
      <c r="AL73" s="138">
        <f t="shared" si="91"/>
        <v>409.84000000000009</v>
      </c>
      <c r="AM73" s="138">
        <f t="shared" si="92"/>
        <v>409.84000000000009</v>
      </c>
      <c r="AO73" s="77" t="str">
        <f t="shared" si="49"/>
        <v>GDS-5 (Seasonal)</v>
      </c>
      <c r="AP73" s="78" t="s">
        <v>676</v>
      </c>
      <c r="AQ73" s="77" t="str">
        <f t="shared" si="50"/>
        <v>Customer Charge MDCQ &lt; 3250 (Rider S and T)</v>
      </c>
      <c r="AR73" s="78" t="str">
        <f t="shared" si="51"/>
        <v>Billing Cycle</v>
      </c>
      <c r="AS73" s="79">
        <f t="shared" si="52"/>
        <v>6</v>
      </c>
      <c r="AT73" s="78">
        <f t="shared" si="53"/>
        <v>410</v>
      </c>
      <c r="AU73" s="78">
        <f t="shared" si="54"/>
        <v>409.84</v>
      </c>
      <c r="AV73" s="78">
        <f t="shared" si="55"/>
        <v>409.84</v>
      </c>
      <c r="AW73" s="78">
        <f t="shared" si="56"/>
        <v>409.84</v>
      </c>
      <c r="AX73" s="78">
        <f t="shared" si="57"/>
        <v>409.84</v>
      </c>
      <c r="AY73" s="78">
        <f t="shared" si="58"/>
        <v>409.84</v>
      </c>
      <c r="AZ73" s="78">
        <f t="shared" si="59"/>
        <v>409.84</v>
      </c>
      <c r="BA73" s="78">
        <f t="shared" si="60"/>
        <v>409.84</v>
      </c>
      <c r="BB73" s="78">
        <f t="shared" si="61"/>
        <v>409.84</v>
      </c>
      <c r="BC73" s="78">
        <f t="shared" si="62"/>
        <v>409.84</v>
      </c>
      <c r="BD73" s="78">
        <f t="shared" si="63"/>
        <v>409.84</v>
      </c>
      <c r="BE73" s="78">
        <f t="shared" si="64"/>
        <v>409.84</v>
      </c>
      <c r="BF73" s="78">
        <f t="shared" si="65"/>
        <v>409.84</v>
      </c>
      <c r="BG73" s="78">
        <f t="shared" si="66"/>
        <v>409.84</v>
      </c>
      <c r="BH73" s="78">
        <f t="shared" si="67"/>
        <v>409.84</v>
      </c>
      <c r="BI73" s="78">
        <f t="shared" si="68"/>
        <v>409.84</v>
      </c>
      <c r="BJ73" s="78">
        <f t="shared" si="69"/>
        <v>409.84</v>
      </c>
      <c r="BK73" s="78">
        <f t="shared" si="70"/>
        <v>409.84</v>
      </c>
      <c r="BL73" s="78">
        <f t="shared" si="71"/>
        <v>409.84</v>
      </c>
      <c r="BM73" s="78">
        <f t="shared" si="72"/>
        <v>409.84</v>
      </c>
      <c r="BN73" s="78">
        <f t="shared" si="73"/>
        <v>409.84</v>
      </c>
      <c r="BO73" s="78">
        <f t="shared" si="74"/>
        <v>409.84</v>
      </c>
      <c r="BP73" s="78">
        <f t="shared" si="75"/>
        <v>409.84</v>
      </c>
      <c r="BQ73" s="78">
        <f t="shared" si="76"/>
        <v>409.84</v>
      </c>
      <c r="BR73" s="78">
        <f t="shared" si="77"/>
        <v>409.84</v>
      </c>
      <c r="BS73" s="77"/>
      <c r="BT73" s="77"/>
    </row>
    <row r="74" spans="1:72" ht="14.1" customHeight="1" x14ac:dyDescent="0.2">
      <c r="A74" s="55" t="str">
        <f t="shared" si="48"/>
        <v>GDS-4 (Large General Delivery)_Customer Charge MDCQ &gt; 10000 (Rider S and T)</v>
      </c>
      <c r="B74" s="80" t="s">
        <v>673</v>
      </c>
      <c r="C74" s="83" t="s">
        <v>707</v>
      </c>
      <c r="D74" s="150"/>
      <c r="E74" s="81"/>
      <c r="F74" s="73" t="s">
        <v>649</v>
      </c>
      <c r="G74" s="73">
        <v>0</v>
      </c>
      <c r="H74" s="73">
        <v>6</v>
      </c>
      <c r="I74" s="74" t="s">
        <v>641</v>
      </c>
      <c r="J74" s="75" t="s">
        <v>634</v>
      </c>
      <c r="K74" s="74"/>
      <c r="L74" s="82">
        <v>1099.8399999999999</v>
      </c>
      <c r="M74" s="138">
        <v>1099.8399999999999</v>
      </c>
      <c r="N74" s="138">
        <v>1099.8399999999999</v>
      </c>
      <c r="O74" s="138">
        <v>1099.8399999999999</v>
      </c>
      <c r="P74" s="138">
        <v>1099.8399999999999</v>
      </c>
      <c r="Q74" s="138">
        <v>1099.8399999999999</v>
      </c>
      <c r="R74" s="138">
        <v>1099.8399999999999</v>
      </c>
      <c r="S74" s="138">
        <v>1099.8399999999999</v>
      </c>
      <c r="T74" s="138">
        <v>1099.8399999999999</v>
      </c>
      <c r="U74" s="138">
        <v>1099.8399999999999</v>
      </c>
      <c r="V74" s="138">
        <v>1099.8399999999999</v>
      </c>
      <c r="W74" s="138">
        <v>1099.8399999999999</v>
      </c>
      <c r="X74" s="138">
        <v>1099.8399999999999</v>
      </c>
      <c r="Y74" s="138">
        <f t="shared" si="78"/>
        <v>1099.8399999999999</v>
      </c>
      <c r="Z74" s="138">
        <f t="shared" si="79"/>
        <v>1099.8399999999999</v>
      </c>
      <c r="AA74" s="138">
        <f t="shared" si="80"/>
        <v>1099.8399999999999</v>
      </c>
      <c r="AB74" s="138">
        <f t="shared" si="81"/>
        <v>1099.8399999999999</v>
      </c>
      <c r="AC74" s="138">
        <f t="shared" si="82"/>
        <v>1099.8399999999999</v>
      </c>
      <c r="AD74" s="138">
        <f t="shared" si="83"/>
        <v>1099.8399999999999</v>
      </c>
      <c r="AE74" s="138">
        <f t="shared" si="84"/>
        <v>1099.8399999999999</v>
      </c>
      <c r="AF74" s="138">
        <f t="shared" si="85"/>
        <v>1099.8399999999999</v>
      </c>
      <c r="AG74" s="138">
        <f t="shared" si="86"/>
        <v>1099.8399999999999</v>
      </c>
      <c r="AH74" s="138">
        <f t="shared" si="87"/>
        <v>1099.8399999999999</v>
      </c>
      <c r="AI74" s="138">
        <f t="shared" si="88"/>
        <v>1099.8399999999999</v>
      </c>
      <c r="AJ74" s="138">
        <f t="shared" si="89"/>
        <v>1099.8399999999999</v>
      </c>
      <c r="AK74" s="138">
        <f t="shared" si="90"/>
        <v>1099.8399999999999</v>
      </c>
      <c r="AL74" s="138">
        <f t="shared" si="91"/>
        <v>1099.8399999999999</v>
      </c>
      <c r="AM74" s="138">
        <f t="shared" si="92"/>
        <v>1099.8399999999999</v>
      </c>
      <c r="AO74" s="77" t="str">
        <f t="shared" si="49"/>
        <v>GDS-4 (Large General Delivery)</v>
      </c>
      <c r="AP74" s="78" t="s">
        <v>674</v>
      </c>
      <c r="AQ74" s="77" t="str">
        <f t="shared" si="50"/>
        <v>Customer Charge MDCQ &gt; 10000 (Rider S and T)</v>
      </c>
      <c r="AR74" s="78" t="str">
        <f t="shared" si="51"/>
        <v>Billing Cycle</v>
      </c>
      <c r="AS74" s="79">
        <f t="shared" si="52"/>
        <v>6</v>
      </c>
      <c r="AT74" s="78">
        <f t="shared" si="53"/>
        <v>1100</v>
      </c>
      <c r="AU74" s="78">
        <f t="shared" si="54"/>
        <v>1099.8399999999999</v>
      </c>
      <c r="AV74" s="78">
        <f t="shared" si="55"/>
        <v>1099.8399999999999</v>
      </c>
      <c r="AW74" s="78">
        <f t="shared" si="56"/>
        <v>1099.8399999999999</v>
      </c>
      <c r="AX74" s="78">
        <f t="shared" si="57"/>
        <v>1099.8399999999999</v>
      </c>
      <c r="AY74" s="78">
        <f t="shared" si="58"/>
        <v>1099.8399999999999</v>
      </c>
      <c r="AZ74" s="78">
        <f t="shared" si="59"/>
        <v>1099.8399999999999</v>
      </c>
      <c r="BA74" s="78">
        <f t="shared" si="60"/>
        <v>1099.8399999999999</v>
      </c>
      <c r="BB74" s="78">
        <f t="shared" si="61"/>
        <v>1099.8399999999999</v>
      </c>
      <c r="BC74" s="78">
        <f t="shared" si="62"/>
        <v>1099.8399999999999</v>
      </c>
      <c r="BD74" s="78">
        <f t="shared" si="63"/>
        <v>1099.8399999999999</v>
      </c>
      <c r="BE74" s="78">
        <f t="shared" si="64"/>
        <v>1099.8399999999999</v>
      </c>
      <c r="BF74" s="78">
        <f t="shared" si="65"/>
        <v>1099.8399999999999</v>
      </c>
      <c r="BG74" s="78">
        <f t="shared" si="66"/>
        <v>1099.8399999999999</v>
      </c>
      <c r="BH74" s="78">
        <f t="shared" si="67"/>
        <v>1099.8399999999999</v>
      </c>
      <c r="BI74" s="78">
        <f t="shared" si="68"/>
        <v>1099.8399999999999</v>
      </c>
      <c r="BJ74" s="78">
        <f t="shared" si="69"/>
        <v>1099.8399999999999</v>
      </c>
      <c r="BK74" s="78">
        <f t="shared" si="70"/>
        <v>1099.8399999999999</v>
      </c>
      <c r="BL74" s="78">
        <f t="shared" si="71"/>
        <v>1099.8399999999999</v>
      </c>
      <c r="BM74" s="78">
        <f t="shared" si="72"/>
        <v>1099.8399999999999</v>
      </c>
      <c r="BN74" s="78">
        <f t="shared" si="73"/>
        <v>1099.8399999999999</v>
      </c>
      <c r="BO74" s="78">
        <f t="shared" si="74"/>
        <v>1099.8399999999999</v>
      </c>
      <c r="BP74" s="78">
        <f t="shared" si="75"/>
        <v>1099.8399999999999</v>
      </c>
      <c r="BQ74" s="78">
        <f t="shared" si="76"/>
        <v>1099.8399999999999</v>
      </c>
      <c r="BR74" s="78">
        <f t="shared" si="77"/>
        <v>1099.8399999999999</v>
      </c>
      <c r="BS74" s="77"/>
      <c r="BT74" s="77"/>
    </row>
    <row r="75" spans="1:72" ht="14.1" customHeight="1" x14ac:dyDescent="0.2">
      <c r="A75" s="55" t="str">
        <f t="shared" si="48"/>
        <v>GDS-5 (Seasonal)_Customer Charge MDCQ &gt; 3250 (Rider S and T)</v>
      </c>
      <c r="B75" s="80" t="s">
        <v>675</v>
      </c>
      <c r="C75" s="83" t="s">
        <v>708</v>
      </c>
      <c r="D75" s="150"/>
      <c r="E75" s="81"/>
      <c r="F75" s="73" t="s">
        <v>649</v>
      </c>
      <c r="G75" s="73">
        <v>0</v>
      </c>
      <c r="H75" s="73">
        <v>6</v>
      </c>
      <c r="I75" s="74" t="s">
        <v>641</v>
      </c>
      <c r="J75" s="75" t="s">
        <v>634</v>
      </c>
      <c r="K75" s="74"/>
      <c r="L75" s="82">
        <v>809.84</v>
      </c>
      <c r="M75" s="138">
        <v>809.84</v>
      </c>
      <c r="N75" s="138">
        <v>809.84</v>
      </c>
      <c r="O75" s="138">
        <v>809.84</v>
      </c>
      <c r="P75" s="138">
        <v>809.84</v>
      </c>
      <c r="Q75" s="138">
        <v>809.84</v>
      </c>
      <c r="R75" s="138">
        <v>809.84</v>
      </c>
      <c r="S75" s="138">
        <v>809.84</v>
      </c>
      <c r="T75" s="138">
        <v>809.84</v>
      </c>
      <c r="U75" s="138">
        <v>809.84</v>
      </c>
      <c r="V75" s="138">
        <v>809.84</v>
      </c>
      <c r="W75" s="138">
        <v>809.84</v>
      </c>
      <c r="X75" s="138">
        <v>809.84</v>
      </c>
      <c r="Y75" s="138">
        <f t="shared" si="78"/>
        <v>809.84</v>
      </c>
      <c r="Z75" s="138">
        <f t="shared" si="79"/>
        <v>809.84</v>
      </c>
      <c r="AA75" s="138">
        <f t="shared" si="80"/>
        <v>809.84</v>
      </c>
      <c r="AB75" s="138">
        <f t="shared" si="81"/>
        <v>809.84</v>
      </c>
      <c r="AC75" s="138">
        <f t="shared" si="82"/>
        <v>809.84</v>
      </c>
      <c r="AD75" s="138">
        <f t="shared" si="83"/>
        <v>809.84</v>
      </c>
      <c r="AE75" s="138">
        <f t="shared" si="84"/>
        <v>809.84</v>
      </c>
      <c r="AF75" s="138">
        <f t="shared" si="85"/>
        <v>809.84</v>
      </c>
      <c r="AG75" s="138">
        <f t="shared" si="86"/>
        <v>809.84</v>
      </c>
      <c r="AH75" s="138">
        <f t="shared" si="87"/>
        <v>809.84</v>
      </c>
      <c r="AI75" s="138">
        <f t="shared" si="88"/>
        <v>809.84</v>
      </c>
      <c r="AJ75" s="138">
        <f t="shared" si="89"/>
        <v>809.84</v>
      </c>
      <c r="AK75" s="138">
        <f t="shared" si="90"/>
        <v>809.84</v>
      </c>
      <c r="AL75" s="138">
        <f t="shared" si="91"/>
        <v>809.84</v>
      </c>
      <c r="AM75" s="138">
        <f t="shared" si="92"/>
        <v>809.84</v>
      </c>
      <c r="AO75" s="77" t="str">
        <f t="shared" si="49"/>
        <v>GDS-5 (Seasonal)</v>
      </c>
      <c r="AP75" s="78" t="s">
        <v>676</v>
      </c>
      <c r="AQ75" s="77" t="str">
        <f t="shared" si="50"/>
        <v>Customer Charge MDCQ &gt; 3250 (Rider S and T)</v>
      </c>
      <c r="AR75" s="78" t="str">
        <f t="shared" si="51"/>
        <v>Billing Cycle</v>
      </c>
      <c r="AS75" s="79">
        <f t="shared" si="52"/>
        <v>6</v>
      </c>
      <c r="AT75" s="78">
        <f t="shared" si="53"/>
        <v>810</v>
      </c>
      <c r="AU75" s="78">
        <f t="shared" si="54"/>
        <v>809.84</v>
      </c>
      <c r="AV75" s="78">
        <f t="shared" si="55"/>
        <v>809.84</v>
      </c>
      <c r="AW75" s="78">
        <f t="shared" si="56"/>
        <v>809.84</v>
      </c>
      <c r="AX75" s="78">
        <f t="shared" si="57"/>
        <v>809.84</v>
      </c>
      <c r="AY75" s="78">
        <f t="shared" si="58"/>
        <v>809.84</v>
      </c>
      <c r="AZ75" s="78">
        <f t="shared" si="59"/>
        <v>809.84</v>
      </c>
      <c r="BA75" s="78">
        <f t="shared" si="60"/>
        <v>809.84</v>
      </c>
      <c r="BB75" s="78">
        <f t="shared" si="61"/>
        <v>809.84</v>
      </c>
      <c r="BC75" s="78">
        <f t="shared" si="62"/>
        <v>809.84</v>
      </c>
      <c r="BD75" s="78">
        <f t="shared" si="63"/>
        <v>809.84</v>
      </c>
      <c r="BE75" s="78">
        <f t="shared" si="64"/>
        <v>809.84</v>
      </c>
      <c r="BF75" s="78">
        <f t="shared" si="65"/>
        <v>809.84</v>
      </c>
      <c r="BG75" s="78">
        <f t="shared" si="66"/>
        <v>809.84</v>
      </c>
      <c r="BH75" s="78">
        <f t="shared" si="67"/>
        <v>809.84</v>
      </c>
      <c r="BI75" s="78">
        <f t="shared" si="68"/>
        <v>809.84</v>
      </c>
      <c r="BJ75" s="78">
        <f t="shared" si="69"/>
        <v>809.84</v>
      </c>
      <c r="BK75" s="78">
        <f t="shared" si="70"/>
        <v>809.84</v>
      </c>
      <c r="BL75" s="78">
        <f t="shared" si="71"/>
        <v>809.84</v>
      </c>
      <c r="BM75" s="78">
        <f t="shared" si="72"/>
        <v>809.84</v>
      </c>
      <c r="BN75" s="78">
        <f t="shared" si="73"/>
        <v>809.84</v>
      </c>
      <c r="BO75" s="78">
        <f t="shared" si="74"/>
        <v>809.84</v>
      </c>
      <c r="BP75" s="78">
        <f t="shared" si="75"/>
        <v>809.84</v>
      </c>
      <c r="BQ75" s="78">
        <f t="shared" si="76"/>
        <v>809.84</v>
      </c>
      <c r="BR75" s="78">
        <f t="shared" si="77"/>
        <v>809.84</v>
      </c>
      <c r="BS75" s="77"/>
      <c r="BT75" s="77"/>
    </row>
    <row r="76" spans="1:72" ht="14.1" customHeight="1" x14ac:dyDescent="0.2">
      <c r="A76" s="55" t="str">
        <f t="shared" si="48"/>
        <v>DS-2 (Small General Service)_Customer Charge Primary</v>
      </c>
      <c r="B76" s="80" t="s">
        <v>665</v>
      </c>
      <c r="C76" s="83" t="s">
        <v>709</v>
      </c>
      <c r="D76" s="150"/>
      <c r="E76" s="81"/>
      <c r="F76" s="73" t="s">
        <v>649</v>
      </c>
      <c r="G76" s="73">
        <v>0</v>
      </c>
      <c r="H76" s="73">
        <v>6</v>
      </c>
      <c r="I76" s="74" t="s">
        <v>641</v>
      </c>
      <c r="J76" s="75" t="s">
        <v>634</v>
      </c>
      <c r="K76" s="74"/>
      <c r="L76" s="82">
        <v>144.78</v>
      </c>
      <c r="M76" s="138">
        <v>139.96</v>
      </c>
      <c r="N76" s="138">
        <v>139.96</v>
      </c>
      <c r="O76" s="138">
        <v>139.96</v>
      </c>
      <c r="P76" s="138">
        <v>139.96</v>
      </c>
      <c r="Q76" s="138">
        <v>139.96</v>
      </c>
      <c r="R76" s="138">
        <v>139.96</v>
      </c>
      <c r="S76" s="138">
        <v>149.96</v>
      </c>
      <c r="T76" s="138">
        <v>149.96</v>
      </c>
      <c r="U76" s="138">
        <v>149.96</v>
      </c>
      <c r="V76" s="138">
        <v>149.96</v>
      </c>
      <c r="W76" s="138">
        <v>149.96</v>
      </c>
      <c r="X76" s="138">
        <v>149.96</v>
      </c>
      <c r="Y76" s="138">
        <f t="shared" si="78"/>
        <v>149.96</v>
      </c>
      <c r="Z76" s="138">
        <f t="shared" si="79"/>
        <v>149.96</v>
      </c>
      <c r="AA76" s="138">
        <f t="shared" si="80"/>
        <v>149.96</v>
      </c>
      <c r="AB76" s="138">
        <f t="shared" si="81"/>
        <v>149.96</v>
      </c>
      <c r="AC76" s="138">
        <f t="shared" si="82"/>
        <v>149.96</v>
      </c>
      <c r="AD76" s="138">
        <f t="shared" si="83"/>
        <v>149.96</v>
      </c>
      <c r="AE76" s="138">
        <f t="shared" si="84"/>
        <v>149.96</v>
      </c>
      <c r="AF76" s="138">
        <f t="shared" si="85"/>
        <v>149.96</v>
      </c>
      <c r="AG76" s="138">
        <f t="shared" si="86"/>
        <v>149.96</v>
      </c>
      <c r="AH76" s="138">
        <f t="shared" si="87"/>
        <v>149.96</v>
      </c>
      <c r="AI76" s="138">
        <f t="shared" si="88"/>
        <v>149.96</v>
      </c>
      <c r="AJ76" s="138">
        <f t="shared" si="89"/>
        <v>149.96</v>
      </c>
      <c r="AK76" s="138">
        <f t="shared" si="90"/>
        <v>149.96</v>
      </c>
      <c r="AL76" s="138">
        <f t="shared" si="91"/>
        <v>149.96</v>
      </c>
      <c r="AM76" s="138">
        <f t="shared" si="92"/>
        <v>147.87666666666669</v>
      </c>
      <c r="AO76" s="77" t="str">
        <f t="shared" si="49"/>
        <v>DS-2 (Small General Service)</v>
      </c>
      <c r="AP76" s="78" t="s">
        <v>664</v>
      </c>
      <c r="AQ76" s="77" t="str">
        <f t="shared" si="50"/>
        <v>Customer Charge Primary</v>
      </c>
      <c r="AR76" s="78" t="str">
        <f t="shared" si="51"/>
        <v>Billing Cycle</v>
      </c>
      <c r="AS76" s="79">
        <f t="shared" si="52"/>
        <v>6</v>
      </c>
      <c r="AT76" s="78">
        <f t="shared" si="53"/>
        <v>145</v>
      </c>
      <c r="AU76" s="78">
        <f t="shared" si="54"/>
        <v>139.96</v>
      </c>
      <c r="AV76" s="78">
        <f t="shared" si="55"/>
        <v>139.96</v>
      </c>
      <c r="AW76" s="78">
        <f t="shared" si="56"/>
        <v>139.96</v>
      </c>
      <c r="AX76" s="78">
        <f t="shared" si="57"/>
        <v>139.96</v>
      </c>
      <c r="AY76" s="78">
        <f t="shared" si="58"/>
        <v>139.96</v>
      </c>
      <c r="AZ76" s="78">
        <f t="shared" si="59"/>
        <v>139.96</v>
      </c>
      <c r="BA76" s="78">
        <f t="shared" si="60"/>
        <v>149.96</v>
      </c>
      <c r="BB76" s="78">
        <f t="shared" si="61"/>
        <v>149.96</v>
      </c>
      <c r="BC76" s="78">
        <f t="shared" si="62"/>
        <v>149.96</v>
      </c>
      <c r="BD76" s="78">
        <f t="shared" si="63"/>
        <v>149.96</v>
      </c>
      <c r="BE76" s="78">
        <f t="shared" si="64"/>
        <v>149.96</v>
      </c>
      <c r="BF76" s="78">
        <f t="shared" si="65"/>
        <v>149.96</v>
      </c>
      <c r="BG76" s="78">
        <f t="shared" si="66"/>
        <v>149.96</v>
      </c>
      <c r="BH76" s="78">
        <f t="shared" si="67"/>
        <v>149.96</v>
      </c>
      <c r="BI76" s="78">
        <f t="shared" si="68"/>
        <v>149.96</v>
      </c>
      <c r="BJ76" s="78">
        <f t="shared" si="69"/>
        <v>149.96</v>
      </c>
      <c r="BK76" s="78">
        <f t="shared" si="70"/>
        <v>149.96</v>
      </c>
      <c r="BL76" s="78">
        <f t="shared" si="71"/>
        <v>149.96</v>
      </c>
      <c r="BM76" s="78">
        <f t="shared" si="72"/>
        <v>149.96</v>
      </c>
      <c r="BN76" s="78">
        <f t="shared" si="73"/>
        <v>149.96</v>
      </c>
      <c r="BO76" s="78">
        <f t="shared" si="74"/>
        <v>149.96</v>
      </c>
      <c r="BP76" s="78">
        <f t="shared" si="75"/>
        <v>149.96</v>
      </c>
      <c r="BQ76" s="78">
        <f t="shared" si="76"/>
        <v>149.96</v>
      </c>
      <c r="BR76" s="78">
        <f t="shared" si="77"/>
        <v>149.96</v>
      </c>
      <c r="BS76" s="77">
        <v>2000</v>
      </c>
      <c r="BT76" s="77" t="s">
        <v>654</v>
      </c>
    </row>
    <row r="77" spans="1:72" ht="14.1" customHeight="1" x14ac:dyDescent="0.2">
      <c r="A77" s="55" t="str">
        <f t="shared" si="48"/>
        <v>DS-3 (General Delivery Service)_Customer Charge Primary</v>
      </c>
      <c r="B77" s="80" t="s">
        <v>666</v>
      </c>
      <c r="C77" s="83" t="s">
        <v>709</v>
      </c>
      <c r="D77" s="150"/>
      <c r="E77" s="81"/>
      <c r="F77" s="73" t="s">
        <v>649</v>
      </c>
      <c r="G77" s="73">
        <v>0</v>
      </c>
      <c r="H77" s="73">
        <v>6</v>
      </c>
      <c r="I77" s="74" t="s">
        <v>641</v>
      </c>
      <c r="J77" s="75" t="s">
        <v>634</v>
      </c>
      <c r="K77" s="74"/>
      <c r="L77" s="82">
        <v>144.78</v>
      </c>
      <c r="M77" s="138">
        <v>139.96</v>
      </c>
      <c r="N77" s="138">
        <v>139.96</v>
      </c>
      <c r="O77" s="138">
        <v>139.96</v>
      </c>
      <c r="P77" s="138">
        <v>139.96</v>
      </c>
      <c r="Q77" s="138">
        <v>139.96</v>
      </c>
      <c r="R77" s="138">
        <v>139.96</v>
      </c>
      <c r="S77" s="138">
        <v>149.96</v>
      </c>
      <c r="T77" s="138">
        <v>149.96</v>
      </c>
      <c r="U77" s="138">
        <v>149.96</v>
      </c>
      <c r="V77" s="138">
        <v>149.96</v>
      </c>
      <c r="W77" s="138">
        <v>149.96</v>
      </c>
      <c r="X77" s="138">
        <v>149.96</v>
      </c>
      <c r="Y77" s="138">
        <f t="shared" si="78"/>
        <v>149.96</v>
      </c>
      <c r="Z77" s="138">
        <f t="shared" si="79"/>
        <v>149.96</v>
      </c>
      <c r="AA77" s="138">
        <f t="shared" si="80"/>
        <v>149.96</v>
      </c>
      <c r="AB77" s="138">
        <f t="shared" si="81"/>
        <v>149.96</v>
      </c>
      <c r="AC77" s="138">
        <f t="shared" si="82"/>
        <v>149.96</v>
      </c>
      <c r="AD77" s="138">
        <f t="shared" si="83"/>
        <v>149.96</v>
      </c>
      <c r="AE77" s="138">
        <f t="shared" si="84"/>
        <v>149.96</v>
      </c>
      <c r="AF77" s="138">
        <f t="shared" si="85"/>
        <v>149.96</v>
      </c>
      <c r="AG77" s="138">
        <f t="shared" si="86"/>
        <v>149.96</v>
      </c>
      <c r="AH77" s="138">
        <f t="shared" si="87"/>
        <v>149.96</v>
      </c>
      <c r="AI77" s="138">
        <f t="shared" si="88"/>
        <v>149.96</v>
      </c>
      <c r="AJ77" s="138">
        <f t="shared" si="89"/>
        <v>149.96</v>
      </c>
      <c r="AK77" s="138">
        <f t="shared" si="90"/>
        <v>149.96</v>
      </c>
      <c r="AL77" s="138">
        <f t="shared" si="91"/>
        <v>149.96</v>
      </c>
      <c r="AM77" s="138">
        <f t="shared" si="92"/>
        <v>147.87666666666669</v>
      </c>
      <c r="AO77" s="77" t="str">
        <f t="shared" si="49"/>
        <v>DS-3 (General Delivery Service)</v>
      </c>
      <c r="AP77" s="78" t="s">
        <v>667</v>
      </c>
      <c r="AQ77" s="77" t="str">
        <f t="shared" si="50"/>
        <v>Customer Charge Primary</v>
      </c>
      <c r="AR77" s="78" t="str">
        <f t="shared" si="51"/>
        <v>Billing Cycle</v>
      </c>
      <c r="AS77" s="79">
        <f t="shared" si="52"/>
        <v>6</v>
      </c>
      <c r="AT77" s="78">
        <f t="shared" si="53"/>
        <v>145</v>
      </c>
      <c r="AU77" s="78">
        <f t="shared" si="54"/>
        <v>139.96</v>
      </c>
      <c r="AV77" s="78">
        <f t="shared" si="55"/>
        <v>139.96</v>
      </c>
      <c r="AW77" s="78">
        <f t="shared" si="56"/>
        <v>139.96</v>
      </c>
      <c r="AX77" s="78">
        <f t="shared" si="57"/>
        <v>139.96</v>
      </c>
      <c r="AY77" s="78">
        <f t="shared" si="58"/>
        <v>139.96</v>
      </c>
      <c r="AZ77" s="78">
        <f t="shared" si="59"/>
        <v>139.96</v>
      </c>
      <c r="BA77" s="78">
        <f t="shared" si="60"/>
        <v>149.96</v>
      </c>
      <c r="BB77" s="78">
        <f t="shared" si="61"/>
        <v>149.96</v>
      </c>
      <c r="BC77" s="78">
        <f t="shared" si="62"/>
        <v>149.96</v>
      </c>
      <c r="BD77" s="78">
        <f t="shared" si="63"/>
        <v>149.96</v>
      </c>
      <c r="BE77" s="78">
        <f t="shared" si="64"/>
        <v>149.96</v>
      </c>
      <c r="BF77" s="78">
        <f t="shared" si="65"/>
        <v>149.96</v>
      </c>
      <c r="BG77" s="78">
        <f t="shared" si="66"/>
        <v>149.96</v>
      </c>
      <c r="BH77" s="78">
        <f t="shared" si="67"/>
        <v>149.96</v>
      </c>
      <c r="BI77" s="78">
        <f t="shared" si="68"/>
        <v>149.96</v>
      </c>
      <c r="BJ77" s="78">
        <f t="shared" si="69"/>
        <v>149.96</v>
      </c>
      <c r="BK77" s="78">
        <f t="shared" si="70"/>
        <v>149.96</v>
      </c>
      <c r="BL77" s="78">
        <f t="shared" si="71"/>
        <v>149.96</v>
      </c>
      <c r="BM77" s="78">
        <f t="shared" si="72"/>
        <v>149.96</v>
      </c>
      <c r="BN77" s="78">
        <f t="shared" si="73"/>
        <v>149.96</v>
      </c>
      <c r="BO77" s="78">
        <f t="shared" si="74"/>
        <v>149.96</v>
      </c>
      <c r="BP77" s="78">
        <f t="shared" si="75"/>
        <v>149.96</v>
      </c>
      <c r="BQ77" s="78">
        <f t="shared" si="76"/>
        <v>149.96</v>
      </c>
      <c r="BR77" s="78">
        <f t="shared" si="77"/>
        <v>149.96</v>
      </c>
      <c r="BS77" s="77">
        <v>2000</v>
      </c>
      <c r="BT77" s="77" t="s">
        <v>684</v>
      </c>
    </row>
    <row r="78" spans="1:72" ht="14.1" customHeight="1" x14ac:dyDescent="0.2">
      <c r="A78" s="55" t="str">
        <f t="shared" si="48"/>
        <v>DS-4 (Large General Service)_Customer Charge Primary</v>
      </c>
      <c r="B78" s="80" t="s">
        <v>639</v>
      </c>
      <c r="C78" s="83" t="s">
        <v>709</v>
      </c>
      <c r="D78" s="150"/>
      <c r="E78" s="81"/>
      <c r="F78" s="73" t="s">
        <v>649</v>
      </c>
      <c r="G78" s="73">
        <v>0</v>
      </c>
      <c r="H78" s="73">
        <v>6</v>
      </c>
      <c r="I78" s="74" t="s">
        <v>641</v>
      </c>
      <c r="J78" s="75" t="s">
        <v>634</v>
      </c>
      <c r="K78" s="74"/>
      <c r="L78" s="82">
        <v>144.78</v>
      </c>
      <c r="M78" s="138">
        <v>139.96</v>
      </c>
      <c r="N78" s="138">
        <v>139.96</v>
      </c>
      <c r="O78" s="138">
        <v>139.96</v>
      </c>
      <c r="P78" s="138">
        <v>139.96</v>
      </c>
      <c r="Q78" s="138">
        <v>139.96</v>
      </c>
      <c r="R78" s="138">
        <v>139.96</v>
      </c>
      <c r="S78" s="138">
        <v>149.96</v>
      </c>
      <c r="T78" s="138">
        <v>149.96</v>
      </c>
      <c r="U78" s="138">
        <v>149.96</v>
      </c>
      <c r="V78" s="138">
        <v>149.96</v>
      </c>
      <c r="W78" s="138">
        <v>149.96</v>
      </c>
      <c r="X78" s="138">
        <v>149.96</v>
      </c>
      <c r="Y78" s="138">
        <f t="shared" si="78"/>
        <v>149.96</v>
      </c>
      <c r="Z78" s="138">
        <f t="shared" si="79"/>
        <v>149.96</v>
      </c>
      <c r="AA78" s="138">
        <f t="shared" si="80"/>
        <v>149.96</v>
      </c>
      <c r="AB78" s="138">
        <f t="shared" si="81"/>
        <v>149.96</v>
      </c>
      <c r="AC78" s="138">
        <f t="shared" si="82"/>
        <v>149.96</v>
      </c>
      <c r="AD78" s="138">
        <f t="shared" si="83"/>
        <v>149.96</v>
      </c>
      <c r="AE78" s="138">
        <f t="shared" si="84"/>
        <v>149.96</v>
      </c>
      <c r="AF78" s="138">
        <f t="shared" si="85"/>
        <v>149.96</v>
      </c>
      <c r="AG78" s="138">
        <f t="shared" si="86"/>
        <v>149.96</v>
      </c>
      <c r="AH78" s="138">
        <f t="shared" si="87"/>
        <v>149.96</v>
      </c>
      <c r="AI78" s="138">
        <f t="shared" si="88"/>
        <v>149.96</v>
      </c>
      <c r="AJ78" s="138">
        <f t="shared" si="89"/>
        <v>149.96</v>
      </c>
      <c r="AK78" s="138">
        <f t="shared" si="90"/>
        <v>149.96</v>
      </c>
      <c r="AL78" s="138">
        <f t="shared" si="91"/>
        <v>149.96</v>
      </c>
      <c r="AM78" s="138">
        <f t="shared" si="92"/>
        <v>147.87666666666669</v>
      </c>
      <c r="AO78" s="77" t="str">
        <f t="shared" si="49"/>
        <v>DS-4 (Large General Service)</v>
      </c>
      <c r="AP78" s="78" t="s">
        <v>642</v>
      </c>
      <c r="AQ78" s="77" t="str">
        <f t="shared" si="50"/>
        <v>Customer Charge Primary</v>
      </c>
      <c r="AR78" s="78" t="str">
        <f t="shared" si="51"/>
        <v>Billing Cycle</v>
      </c>
      <c r="AS78" s="79">
        <f t="shared" si="52"/>
        <v>6</v>
      </c>
      <c r="AT78" s="78">
        <f t="shared" si="53"/>
        <v>145</v>
      </c>
      <c r="AU78" s="78">
        <f t="shared" si="54"/>
        <v>139.96</v>
      </c>
      <c r="AV78" s="78">
        <f t="shared" si="55"/>
        <v>139.96</v>
      </c>
      <c r="AW78" s="78">
        <f t="shared" si="56"/>
        <v>139.96</v>
      </c>
      <c r="AX78" s="78">
        <f t="shared" si="57"/>
        <v>139.96</v>
      </c>
      <c r="AY78" s="78">
        <f t="shared" si="58"/>
        <v>139.96</v>
      </c>
      <c r="AZ78" s="78">
        <f t="shared" si="59"/>
        <v>139.96</v>
      </c>
      <c r="BA78" s="78">
        <f t="shared" si="60"/>
        <v>149.96</v>
      </c>
      <c r="BB78" s="78">
        <f t="shared" si="61"/>
        <v>149.96</v>
      </c>
      <c r="BC78" s="78">
        <f t="shared" si="62"/>
        <v>149.96</v>
      </c>
      <c r="BD78" s="78">
        <f t="shared" si="63"/>
        <v>149.96</v>
      </c>
      <c r="BE78" s="78">
        <f t="shared" si="64"/>
        <v>149.96</v>
      </c>
      <c r="BF78" s="78">
        <f t="shared" si="65"/>
        <v>149.96</v>
      </c>
      <c r="BG78" s="78">
        <f t="shared" si="66"/>
        <v>149.96</v>
      </c>
      <c r="BH78" s="78">
        <f t="shared" si="67"/>
        <v>149.96</v>
      </c>
      <c r="BI78" s="78">
        <f t="shared" si="68"/>
        <v>149.96</v>
      </c>
      <c r="BJ78" s="78">
        <f t="shared" si="69"/>
        <v>149.96</v>
      </c>
      <c r="BK78" s="78">
        <f t="shared" si="70"/>
        <v>149.96</v>
      </c>
      <c r="BL78" s="78">
        <f t="shared" si="71"/>
        <v>149.96</v>
      </c>
      <c r="BM78" s="78">
        <f t="shared" si="72"/>
        <v>149.96</v>
      </c>
      <c r="BN78" s="78">
        <f t="shared" si="73"/>
        <v>149.96</v>
      </c>
      <c r="BO78" s="78">
        <f t="shared" si="74"/>
        <v>149.96</v>
      </c>
      <c r="BP78" s="78">
        <f t="shared" si="75"/>
        <v>149.96</v>
      </c>
      <c r="BQ78" s="78">
        <f t="shared" si="76"/>
        <v>149.96</v>
      </c>
      <c r="BR78" s="78">
        <f t="shared" si="77"/>
        <v>149.96</v>
      </c>
      <c r="BS78" s="77"/>
      <c r="BT78" s="77"/>
    </row>
    <row r="79" spans="1:72" ht="14.1" customHeight="1" x14ac:dyDescent="0.2">
      <c r="A79" s="55" t="str">
        <f t="shared" si="48"/>
        <v>DS-6 (DS-3) Temp. Sensitive DS_Customer Charge Primary</v>
      </c>
      <c r="B79" s="80" t="s">
        <v>643</v>
      </c>
      <c r="C79" s="83" t="s">
        <v>709</v>
      </c>
      <c r="D79" s="150"/>
      <c r="E79" s="81"/>
      <c r="F79" s="73" t="s">
        <v>649</v>
      </c>
      <c r="G79" s="73">
        <v>0</v>
      </c>
      <c r="H79" s="73">
        <v>6</v>
      </c>
      <c r="I79" s="74" t="s">
        <v>641</v>
      </c>
      <c r="J79" s="75" t="s">
        <v>634</v>
      </c>
      <c r="K79" s="74"/>
      <c r="L79" s="82">
        <v>144.78</v>
      </c>
      <c r="M79" s="138">
        <v>139.96</v>
      </c>
      <c r="N79" s="138">
        <v>139.96</v>
      </c>
      <c r="O79" s="138">
        <v>139.96</v>
      </c>
      <c r="P79" s="138">
        <v>139.96</v>
      </c>
      <c r="Q79" s="138">
        <v>139.96</v>
      </c>
      <c r="R79" s="138">
        <v>139.96</v>
      </c>
      <c r="S79" s="138">
        <v>149.96</v>
      </c>
      <c r="T79" s="138">
        <v>149.96</v>
      </c>
      <c r="U79" s="138">
        <v>149.96</v>
      </c>
      <c r="V79" s="138">
        <v>149.96</v>
      </c>
      <c r="W79" s="138">
        <v>149.96</v>
      </c>
      <c r="X79" s="138">
        <v>149.96</v>
      </c>
      <c r="Y79" s="138">
        <f t="shared" si="78"/>
        <v>149.96</v>
      </c>
      <c r="Z79" s="138">
        <f t="shared" si="79"/>
        <v>149.96</v>
      </c>
      <c r="AA79" s="138">
        <f t="shared" si="80"/>
        <v>149.96</v>
      </c>
      <c r="AB79" s="138">
        <f t="shared" si="81"/>
        <v>149.96</v>
      </c>
      <c r="AC79" s="138">
        <f t="shared" si="82"/>
        <v>149.96</v>
      </c>
      <c r="AD79" s="138">
        <f t="shared" si="83"/>
        <v>149.96</v>
      </c>
      <c r="AE79" s="138">
        <f t="shared" si="84"/>
        <v>149.96</v>
      </c>
      <c r="AF79" s="138">
        <f t="shared" si="85"/>
        <v>149.96</v>
      </c>
      <c r="AG79" s="138">
        <f t="shared" si="86"/>
        <v>149.96</v>
      </c>
      <c r="AH79" s="138">
        <f t="shared" si="87"/>
        <v>149.96</v>
      </c>
      <c r="AI79" s="138">
        <f t="shared" si="88"/>
        <v>149.96</v>
      </c>
      <c r="AJ79" s="138">
        <f t="shared" si="89"/>
        <v>149.96</v>
      </c>
      <c r="AK79" s="138">
        <f t="shared" si="90"/>
        <v>149.96</v>
      </c>
      <c r="AL79" s="138">
        <f t="shared" si="91"/>
        <v>149.96</v>
      </c>
      <c r="AM79" s="138">
        <f t="shared" si="92"/>
        <v>147.87666666666669</v>
      </c>
      <c r="AO79" s="77" t="str">
        <f t="shared" si="49"/>
        <v>DS-6 (DS-3) Temp. Sensitive DS</v>
      </c>
      <c r="AP79" s="78" t="s">
        <v>644</v>
      </c>
      <c r="AQ79" s="77" t="str">
        <f t="shared" si="50"/>
        <v>Customer Charge Primary</v>
      </c>
      <c r="AR79" s="78" t="str">
        <f t="shared" si="51"/>
        <v>Billing Cycle</v>
      </c>
      <c r="AS79" s="79">
        <f t="shared" si="52"/>
        <v>6</v>
      </c>
      <c r="AT79" s="78">
        <f t="shared" si="53"/>
        <v>145</v>
      </c>
      <c r="AU79" s="78">
        <f t="shared" si="54"/>
        <v>139.96</v>
      </c>
      <c r="AV79" s="78">
        <f t="shared" si="55"/>
        <v>139.96</v>
      </c>
      <c r="AW79" s="78">
        <f t="shared" si="56"/>
        <v>139.96</v>
      </c>
      <c r="AX79" s="78">
        <f t="shared" si="57"/>
        <v>139.96</v>
      </c>
      <c r="AY79" s="78">
        <f t="shared" si="58"/>
        <v>139.96</v>
      </c>
      <c r="AZ79" s="78">
        <f t="shared" si="59"/>
        <v>139.96</v>
      </c>
      <c r="BA79" s="78">
        <f t="shared" si="60"/>
        <v>149.96</v>
      </c>
      <c r="BB79" s="78">
        <f t="shared" si="61"/>
        <v>149.96</v>
      </c>
      <c r="BC79" s="78">
        <f t="shared" si="62"/>
        <v>149.96</v>
      </c>
      <c r="BD79" s="78">
        <f t="shared" si="63"/>
        <v>149.96</v>
      </c>
      <c r="BE79" s="78">
        <f t="shared" si="64"/>
        <v>149.96</v>
      </c>
      <c r="BF79" s="78">
        <f t="shared" si="65"/>
        <v>149.96</v>
      </c>
      <c r="BG79" s="78">
        <f t="shared" si="66"/>
        <v>149.96</v>
      </c>
      <c r="BH79" s="78">
        <f t="shared" si="67"/>
        <v>149.96</v>
      </c>
      <c r="BI79" s="78">
        <f t="shared" si="68"/>
        <v>149.96</v>
      </c>
      <c r="BJ79" s="78">
        <f t="shared" si="69"/>
        <v>149.96</v>
      </c>
      <c r="BK79" s="78">
        <f t="shared" si="70"/>
        <v>149.96</v>
      </c>
      <c r="BL79" s="78">
        <f t="shared" si="71"/>
        <v>149.96</v>
      </c>
      <c r="BM79" s="78">
        <f t="shared" si="72"/>
        <v>149.96</v>
      </c>
      <c r="BN79" s="78">
        <f t="shared" si="73"/>
        <v>149.96</v>
      </c>
      <c r="BO79" s="78">
        <f t="shared" si="74"/>
        <v>149.96</v>
      </c>
      <c r="BP79" s="78">
        <f t="shared" si="75"/>
        <v>149.96</v>
      </c>
      <c r="BQ79" s="78">
        <f t="shared" si="76"/>
        <v>149.96</v>
      </c>
      <c r="BR79" s="78">
        <f t="shared" si="77"/>
        <v>149.96</v>
      </c>
      <c r="BS79" s="77"/>
      <c r="BT79" s="77"/>
    </row>
    <row r="80" spans="1:72" ht="14.1" customHeight="1" x14ac:dyDescent="0.2">
      <c r="A80" s="55" t="str">
        <f t="shared" si="48"/>
        <v>DS-6 (DS-4) Temp. Sensitive DS_Customer Charge Primary</v>
      </c>
      <c r="B80" s="80" t="s">
        <v>645</v>
      </c>
      <c r="C80" s="83" t="s">
        <v>709</v>
      </c>
      <c r="D80" s="150"/>
      <c r="E80" s="81"/>
      <c r="F80" s="73" t="s">
        <v>649</v>
      </c>
      <c r="G80" s="73">
        <v>0</v>
      </c>
      <c r="H80" s="73">
        <v>6</v>
      </c>
      <c r="I80" s="74" t="s">
        <v>641</v>
      </c>
      <c r="J80" s="75" t="s">
        <v>634</v>
      </c>
      <c r="K80" s="74"/>
      <c r="L80" s="82">
        <v>144.78</v>
      </c>
      <c r="M80" s="138">
        <v>139.96</v>
      </c>
      <c r="N80" s="138">
        <v>139.96</v>
      </c>
      <c r="O80" s="138">
        <v>139.96</v>
      </c>
      <c r="P80" s="138">
        <v>139.96</v>
      </c>
      <c r="Q80" s="138">
        <v>139.96</v>
      </c>
      <c r="R80" s="138">
        <v>139.96</v>
      </c>
      <c r="S80" s="138">
        <v>149.96</v>
      </c>
      <c r="T80" s="138">
        <v>149.96</v>
      </c>
      <c r="U80" s="138">
        <v>149.96</v>
      </c>
      <c r="V80" s="138">
        <v>149.96</v>
      </c>
      <c r="W80" s="138">
        <v>149.96</v>
      </c>
      <c r="X80" s="138">
        <v>149.96</v>
      </c>
      <c r="Y80" s="138">
        <f t="shared" si="78"/>
        <v>149.96</v>
      </c>
      <c r="Z80" s="138">
        <f t="shared" si="79"/>
        <v>149.96</v>
      </c>
      <c r="AA80" s="138">
        <f t="shared" si="80"/>
        <v>149.96</v>
      </c>
      <c r="AB80" s="138">
        <f t="shared" si="81"/>
        <v>149.96</v>
      </c>
      <c r="AC80" s="138">
        <f t="shared" si="82"/>
        <v>149.96</v>
      </c>
      <c r="AD80" s="138">
        <f t="shared" si="83"/>
        <v>149.96</v>
      </c>
      <c r="AE80" s="138">
        <f t="shared" si="84"/>
        <v>149.96</v>
      </c>
      <c r="AF80" s="138">
        <f t="shared" si="85"/>
        <v>149.96</v>
      </c>
      <c r="AG80" s="138">
        <f t="shared" si="86"/>
        <v>149.96</v>
      </c>
      <c r="AH80" s="138">
        <f t="shared" si="87"/>
        <v>149.96</v>
      </c>
      <c r="AI80" s="138">
        <f t="shared" si="88"/>
        <v>149.96</v>
      </c>
      <c r="AJ80" s="138">
        <f t="shared" si="89"/>
        <v>149.96</v>
      </c>
      <c r="AK80" s="138">
        <f t="shared" si="90"/>
        <v>149.96</v>
      </c>
      <c r="AL80" s="138">
        <f t="shared" si="91"/>
        <v>149.96</v>
      </c>
      <c r="AM80" s="138">
        <f t="shared" si="92"/>
        <v>147.87666666666669</v>
      </c>
      <c r="AO80" s="77" t="str">
        <f t="shared" si="49"/>
        <v>DS-6 (DS-4) Temp. Sensitive DS</v>
      </c>
      <c r="AP80" s="78" t="s">
        <v>646</v>
      </c>
      <c r="AQ80" s="77" t="str">
        <f t="shared" si="50"/>
        <v>Customer Charge Primary</v>
      </c>
      <c r="AR80" s="78" t="str">
        <f t="shared" si="51"/>
        <v>Billing Cycle</v>
      </c>
      <c r="AS80" s="79">
        <f t="shared" si="52"/>
        <v>6</v>
      </c>
      <c r="AT80" s="78">
        <f t="shared" si="53"/>
        <v>145</v>
      </c>
      <c r="AU80" s="78">
        <f t="shared" si="54"/>
        <v>139.96</v>
      </c>
      <c r="AV80" s="78">
        <f t="shared" si="55"/>
        <v>139.96</v>
      </c>
      <c r="AW80" s="78">
        <f t="shared" si="56"/>
        <v>139.96</v>
      </c>
      <c r="AX80" s="78">
        <f t="shared" si="57"/>
        <v>139.96</v>
      </c>
      <c r="AY80" s="78">
        <f t="shared" si="58"/>
        <v>139.96</v>
      </c>
      <c r="AZ80" s="78">
        <f t="shared" si="59"/>
        <v>139.96</v>
      </c>
      <c r="BA80" s="78">
        <f t="shared" si="60"/>
        <v>149.96</v>
      </c>
      <c r="BB80" s="78">
        <f t="shared" si="61"/>
        <v>149.96</v>
      </c>
      <c r="BC80" s="78">
        <f t="shared" si="62"/>
        <v>149.96</v>
      </c>
      <c r="BD80" s="78">
        <f t="shared" si="63"/>
        <v>149.96</v>
      </c>
      <c r="BE80" s="78">
        <f t="shared" si="64"/>
        <v>149.96</v>
      </c>
      <c r="BF80" s="78">
        <f t="shared" si="65"/>
        <v>149.96</v>
      </c>
      <c r="BG80" s="78">
        <f t="shared" si="66"/>
        <v>149.96</v>
      </c>
      <c r="BH80" s="78">
        <f t="shared" si="67"/>
        <v>149.96</v>
      </c>
      <c r="BI80" s="78">
        <f t="shared" si="68"/>
        <v>149.96</v>
      </c>
      <c r="BJ80" s="78">
        <f t="shared" si="69"/>
        <v>149.96</v>
      </c>
      <c r="BK80" s="78">
        <f t="shared" si="70"/>
        <v>149.96</v>
      </c>
      <c r="BL80" s="78">
        <f t="shared" si="71"/>
        <v>149.96</v>
      </c>
      <c r="BM80" s="78">
        <f t="shared" si="72"/>
        <v>149.96</v>
      </c>
      <c r="BN80" s="78">
        <f t="shared" si="73"/>
        <v>149.96</v>
      </c>
      <c r="BO80" s="78">
        <f t="shared" si="74"/>
        <v>149.96</v>
      </c>
      <c r="BP80" s="78">
        <f t="shared" si="75"/>
        <v>149.96</v>
      </c>
      <c r="BQ80" s="78">
        <f t="shared" si="76"/>
        <v>149.96</v>
      </c>
      <c r="BR80" s="78">
        <f t="shared" si="77"/>
        <v>149.96</v>
      </c>
      <c r="BS80" s="77"/>
      <c r="BT80" s="77"/>
    </row>
    <row r="81" spans="1:72" ht="14.1" customHeight="1" x14ac:dyDescent="0.2">
      <c r="A81" s="55" t="str">
        <f t="shared" si="48"/>
        <v>DS-2 (Small General Service)_Customer Charge Secondary</v>
      </c>
      <c r="B81" s="80" t="s">
        <v>665</v>
      </c>
      <c r="C81" s="83" t="s">
        <v>710</v>
      </c>
      <c r="D81" s="150"/>
      <c r="E81" s="81"/>
      <c r="F81" s="73" t="s">
        <v>649</v>
      </c>
      <c r="G81" s="73">
        <v>0</v>
      </c>
      <c r="H81" s="73">
        <v>6</v>
      </c>
      <c r="I81" s="74" t="s">
        <v>641</v>
      </c>
      <c r="J81" s="75" t="s">
        <v>634</v>
      </c>
      <c r="K81" s="74"/>
      <c r="L81" s="82">
        <v>20.21</v>
      </c>
      <c r="M81" s="138">
        <v>16.329999999999998</v>
      </c>
      <c r="N81" s="138">
        <v>16.329999999999998</v>
      </c>
      <c r="O81" s="138">
        <v>16.329999999999998</v>
      </c>
      <c r="P81" s="138">
        <v>16.329999999999998</v>
      </c>
      <c r="Q81" s="138">
        <v>16.329999999999998</v>
      </c>
      <c r="R81" s="138">
        <v>16.329999999999998</v>
      </c>
      <c r="S81" s="138">
        <v>17.07</v>
      </c>
      <c r="T81" s="138">
        <v>17.07</v>
      </c>
      <c r="U81" s="138">
        <v>17.07</v>
      </c>
      <c r="V81" s="138">
        <v>17.07</v>
      </c>
      <c r="W81" s="138">
        <v>17.07</v>
      </c>
      <c r="X81" s="138">
        <v>17.07</v>
      </c>
      <c r="Y81" s="138">
        <f t="shared" si="78"/>
        <v>17.07</v>
      </c>
      <c r="Z81" s="138">
        <f t="shared" si="79"/>
        <v>17.07</v>
      </c>
      <c r="AA81" s="138">
        <f t="shared" si="80"/>
        <v>17.07</v>
      </c>
      <c r="AB81" s="138">
        <f t="shared" si="81"/>
        <v>17.07</v>
      </c>
      <c r="AC81" s="138">
        <f t="shared" si="82"/>
        <v>17.07</v>
      </c>
      <c r="AD81" s="138">
        <f t="shared" si="83"/>
        <v>17.07</v>
      </c>
      <c r="AE81" s="138">
        <f t="shared" si="84"/>
        <v>17.07</v>
      </c>
      <c r="AF81" s="138">
        <f t="shared" si="85"/>
        <v>17.07</v>
      </c>
      <c r="AG81" s="138">
        <f t="shared" si="86"/>
        <v>17.07</v>
      </c>
      <c r="AH81" s="138">
        <f t="shared" si="87"/>
        <v>17.07</v>
      </c>
      <c r="AI81" s="138">
        <f t="shared" si="88"/>
        <v>17.07</v>
      </c>
      <c r="AJ81" s="138">
        <f t="shared" si="89"/>
        <v>17.07</v>
      </c>
      <c r="AK81" s="138">
        <f t="shared" si="90"/>
        <v>17.07</v>
      </c>
      <c r="AL81" s="138">
        <f t="shared" si="91"/>
        <v>17.069999999999997</v>
      </c>
      <c r="AM81" s="138">
        <f t="shared" si="92"/>
        <v>16.915833333333328</v>
      </c>
      <c r="AO81" s="77" t="str">
        <f t="shared" si="49"/>
        <v>DS-2 (Small General Service)</v>
      </c>
      <c r="AP81" s="78" t="s">
        <v>664</v>
      </c>
      <c r="AQ81" s="77" t="str">
        <f t="shared" si="50"/>
        <v>Customer Charge Secondary</v>
      </c>
      <c r="AR81" s="78" t="str">
        <f t="shared" si="51"/>
        <v>Billing Cycle</v>
      </c>
      <c r="AS81" s="79">
        <f t="shared" si="52"/>
        <v>6</v>
      </c>
      <c r="AT81" s="78">
        <f t="shared" si="53"/>
        <v>20</v>
      </c>
      <c r="AU81" s="78">
        <f t="shared" si="54"/>
        <v>16.329999999999998</v>
      </c>
      <c r="AV81" s="78">
        <f t="shared" si="55"/>
        <v>16.329999999999998</v>
      </c>
      <c r="AW81" s="78">
        <f t="shared" si="56"/>
        <v>16.329999999999998</v>
      </c>
      <c r="AX81" s="78">
        <f t="shared" si="57"/>
        <v>16.329999999999998</v>
      </c>
      <c r="AY81" s="78">
        <f t="shared" si="58"/>
        <v>16.329999999999998</v>
      </c>
      <c r="AZ81" s="78">
        <f t="shared" si="59"/>
        <v>16.329999999999998</v>
      </c>
      <c r="BA81" s="78">
        <f t="shared" si="60"/>
        <v>17.07</v>
      </c>
      <c r="BB81" s="78">
        <f t="shared" si="61"/>
        <v>17.07</v>
      </c>
      <c r="BC81" s="78">
        <f t="shared" si="62"/>
        <v>17.07</v>
      </c>
      <c r="BD81" s="78">
        <f t="shared" si="63"/>
        <v>17.07</v>
      </c>
      <c r="BE81" s="78">
        <f t="shared" si="64"/>
        <v>17.07</v>
      </c>
      <c r="BF81" s="78">
        <f t="shared" si="65"/>
        <v>17.07</v>
      </c>
      <c r="BG81" s="78">
        <f t="shared" si="66"/>
        <v>17.07</v>
      </c>
      <c r="BH81" s="78">
        <f t="shared" si="67"/>
        <v>17.07</v>
      </c>
      <c r="BI81" s="78">
        <f t="shared" si="68"/>
        <v>17.07</v>
      </c>
      <c r="BJ81" s="78">
        <f t="shared" si="69"/>
        <v>17.07</v>
      </c>
      <c r="BK81" s="78">
        <f t="shared" si="70"/>
        <v>17.07</v>
      </c>
      <c r="BL81" s="78">
        <f t="shared" si="71"/>
        <v>17.07</v>
      </c>
      <c r="BM81" s="78">
        <f t="shared" si="72"/>
        <v>17.07</v>
      </c>
      <c r="BN81" s="78">
        <f t="shared" si="73"/>
        <v>17.07</v>
      </c>
      <c r="BO81" s="78">
        <f t="shared" si="74"/>
        <v>17.07</v>
      </c>
      <c r="BP81" s="78">
        <f t="shared" si="75"/>
        <v>17.07</v>
      </c>
      <c r="BQ81" s="78">
        <f t="shared" si="76"/>
        <v>17.07</v>
      </c>
      <c r="BR81" s="78">
        <f t="shared" si="77"/>
        <v>17.07</v>
      </c>
      <c r="BS81" s="77"/>
      <c r="BT81" s="77"/>
    </row>
    <row r="82" spans="1:72" ht="14.1" customHeight="1" x14ac:dyDescent="0.2">
      <c r="A82" s="55" t="str">
        <f t="shared" si="48"/>
        <v>DS-3 (General Delivery Service)_Customer Charge Secondary</v>
      </c>
      <c r="B82" s="80" t="s">
        <v>666</v>
      </c>
      <c r="C82" s="83" t="s">
        <v>710</v>
      </c>
      <c r="D82" s="150"/>
      <c r="E82" s="81"/>
      <c r="F82" s="73" t="s">
        <v>649</v>
      </c>
      <c r="G82" s="73">
        <v>0</v>
      </c>
      <c r="H82" s="73">
        <v>6</v>
      </c>
      <c r="I82" s="74" t="s">
        <v>641</v>
      </c>
      <c r="J82" s="75" t="s">
        <v>634</v>
      </c>
      <c r="K82" s="74"/>
      <c r="L82" s="82">
        <v>44.78</v>
      </c>
      <c r="M82" s="138">
        <v>39.96</v>
      </c>
      <c r="N82" s="138">
        <v>39.96</v>
      </c>
      <c r="O82" s="138">
        <v>39.96</v>
      </c>
      <c r="P82" s="138">
        <v>39.96</v>
      </c>
      <c r="Q82" s="138">
        <v>39.96</v>
      </c>
      <c r="R82" s="138">
        <v>39.96</v>
      </c>
      <c r="S82" s="138">
        <v>39.96</v>
      </c>
      <c r="T82" s="138">
        <v>39.96</v>
      </c>
      <c r="U82" s="138">
        <v>39.96</v>
      </c>
      <c r="V82" s="138">
        <v>39.96</v>
      </c>
      <c r="W82" s="138">
        <v>39.96</v>
      </c>
      <c r="X82" s="138">
        <v>39.96</v>
      </c>
      <c r="Y82" s="138">
        <f t="shared" si="78"/>
        <v>39.96</v>
      </c>
      <c r="Z82" s="138">
        <f t="shared" si="79"/>
        <v>39.96</v>
      </c>
      <c r="AA82" s="138">
        <f t="shared" si="80"/>
        <v>39.96</v>
      </c>
      <c r="AB82" s="138">
        <f t="shared" si="81"/>
        <v>39.96</v>
      </c>
      <c r="AC82" s="138">
        <f t="shared" si="82"/>
        <v>39.96</v>
      </c>
      <c r="AD82" s="138">
        <f t="shared" si="83"/>
        <v>39.96</v>
      </c>
      <c r="AE82" s="138">
        <f t="shared" si="84"/>
        <v>39.96</v>
      </c>
      <c r="AF82" s="138">
        <f t="shared" si="85"/>
        <v>39.96</v>
      </c>
      <c r="AG82" s="138">
        <f t="shared" si="86"/>
        <v>39.96</v>
      </c>
      <c r="AH82" s="138">
        <f t="shared" si="87"/>
        <v>39.96</v>
      </c>
      <c r="AI82" s="138">
        <f t="shared" si="88"/>
        <v>39.96</v>
      </c>
      <c r="AJ82" s="138">
        <f t="shared" si="89"/>
        <v>39.96</v>
      </c>
      <c r="AK82" s="138">
        <f t="shared" si="90"/>
        <v>39.96</v>
      </c>
      <c r="AL82" s="138">
        <f t="shared" si="91"/>
        <v>39.959999999999994</v>
      </c>
      <c r="AM82" s="138">
        <f t="shared" si="92"/>
        <v>39.960000000000015</v>
      </c>
      <c r="AO82" s="77" t="str">
        <f t="shared" si="49"/>
        <v>DS-3 (General Delivery Service)</v>
      </c>
      <c r="AP82" s="78" t="s">
        <v>667</v>
      </c>
      <c r="AQ82" s="77" t="str">
        <f t="shared" si="50"/>
        <v>Customer Charge Secondary</v>
      </c>
      <c r="AR82" s="78" t="str">
        <f t="shared" si="51"/>
        <v>Billing Cycle</v>
      </c>
      <c r="AS82" s="79">
        <f t="shared" si="52"/>
        <v>6</v>
      </c>
      <c r="AT82" s="78">
        <f t="shared" si="53"/>
        <v>45</v>
      </c>
      <c r="AU82" s="78">
        <f t="shared" si="54"/>
        <v>39.96</v>
      </c>
      <c r="AV82" s="78">
        <f t="shared" si="55"/>
        <v>39.96</v>
      </c>
      <c r="AW82" s="78">
        <f t="shared" si="56"/>
        <v>39.96</v>
      </c>
      <c r="AX82" s="78">
        <f t="shared" si="57"/>
        <v>39.96</v>
      </c>
      <c r="AY82" s="78">
        <f t="shared" si="58"/>
        <v>39.96</v>
      </c>
      <c r="AZ82" s="78">
        <f t="shared" si="59"/>
        <v>39.96</v>
      </c>
      <c r="BA82" s="78">
        <f t="shared" si="60"/>
        <v>39.96</v>
      </c>
      <c r="BB82" s="78">
        <f t="shared" si="61"/>
        <v>39.96</v>
      </c>
      <c r="BC82" s="78">
        <f t="shared" si="62"/>
        <v>39.96</v>
      </c>
      <c r="BD82" s="78">
        <f t="shared" si="63"/>
        <v>39.96</v>
      </c>
      <c r="BE82" s="78">
        <f t="shared" si="64"/>
        <v>39.96</v>
      </c>
      <c r="BF82" s="78">
        <f t="shared" si="65"/>
        <v>39.96</v>
      </c>
      <c r="BG82" s="78">
        <f t="shared" si="66"/>
        <v>39.96</v>
      </c>
      <c r="BH82" s="78">
        <f t="shared" si="67"/>
        <v>39.96</v>
      </c>
      <c r="BI82" s="78">
        <f t="shared" si="68"/>
        <v>39.96</v>
      </c>
      <c r="BJ82" s="78">
        <f t="shared" si="69"/>
        <v>39.96</v>
      </c>
      <c r="BK82" s="78">
        <f t="shared" si="70"/>
        <v>39.96</v>
      </c>
      <c r="BL82" s="78">
        <f t="shared" si="71"/>
        <v>39.96</v>
      </c>
      <c r="BM82" s="78">
        <f t="shared" si="72"/>
        <v>39.96</v>
      </c>
      <c r="BN82" s="78">
        <f t="shared" si="73"/>
        <v>39.96</v>
      </c>
      <c r="BO82" s="78">
        <f t="shared" si="74"/>
        <v>39.96</v>
      </c>
      <c r="BP82" s="78">
        <f t="shared" si="75"/>
        <v>39.96</v>
      </c>
      <c r="BQ82" s="78">
        <f t="shared" si="76"/>
        <v>39.96</v>
      </c>
      <c r="BR82" s="78">
        <f t="shared" si="77"/>
        <v>39.96</v>
      </c>
      <c r="BS82" s="77"/>
      <c r="BT82" s="77"/>
    </row>
    <row r="83" spans="1:72" ht="14.1" customHeight="1" x14ac:dyDescent="0.2">
      <c r="A83" s="55" t="str">
        <f t="shared" si="48"/>
        <v>DS-4 (Large General Service)_Customer Charge Secondary</v>
      </c>
      <c r="B83" s="80" t="s">
        <v>639</v>
      </c>
      <c r="C83" s="83" t="s">
        <v>710</v>
      </c>
      <c r="D83" s="150"/>
      <c r="E83" s="81"/>
      <c r="F83" s="73" t="s">
        <v>649</v>
      </c>
      <c r="G83" s="73">
        <v>0</v>
      </c>
      <c r="H83" s="73">
        <v>6</v>
      </c>
      <c r="I83" s="74" t="s">
        <v>641</v>
      </c>
      <c r="J83" s="75" t="s">
        <v>634</v>
      </c>
      <c r="K83" s="74"/>
      <c r="L83" s="82">
        <v>44.78</v>
      </c>
      <c r="M83" s="138">
        <v>39.96</v>
      </c>
      <c r="N83" s="138">
        <v>39.96</v>
      </c>
      <c r="O83" s="138">
        <v>39.96</v>
      </c>
      <c r="P83" s="138">
        <v>39.96</v>
      </c>
      <c r="Q83" s="138">
        <v>39.96</v>
      </c>
      <c r="R83" s="138">
        <v>39.96</v>
      </c>
      <c r="S83" s="138">
        <v>39.96</v>
      </c>
      <c r="T83" s="138">
        <v>39.96</v>
      </c>
      <c r="U83" s="138">
        <v>39.96</v>
      </c>
      <c r="V83" s="138">
        <v>39.96</v>
      </c>
      <c r="W83" s="138">
        <v>39.96</v>
      </c>
      <c r="X83" s="138">
        <v>39.96</v>
      </c>
      <c r="Y83" s="138">
        <f t="shared" si="78"/>
        <v>39.96</v>
      </c>
      <c r="Z83" s="138">
        <f t="shared" si="79"/>
        <v>39.96</v>
      </c>
      <c r="AA83" s="138">
        <f t="shared" si="80"/>
        <v>39.96</v>
      </c>
      <c r="AB83" s="138">
        <f t="shared" si="81"/>
        <v>39.96</v>
      </c>
      <c r="AC83" s="138">
        <f t="shared" si="82"/>
        <v>39.96</v>
      </c>
      <c r="AD83" s="138">
        <f t="shared" si="83"/>
        <v>39.96</v>
      </c>
      <c r="AE83" s="138">
        <f t="shared" si="84"/>
        <v>39.96</v>
      </c>
      <c r="AF83" s="138">
        <f t="shared" si="85"/>
        <v>39.96</v>
      </c>
      <c r="AG83" s="138">
        <f t="shared" si="86"/>
        <v>39.96</v>
      </c>
      <c r="AH83" s="138">
        <f t="shared" si="87"/>
        <v>39.96</v>
      </c>
      <c r="AI83" s="138">
        <f t="shared" si="88"/>
        <v>39.96</v>
      </c>
      <c r="AJ83" s="138">
        <f t="shared" si="89"/>
        <v>39.96</v>
      </c>
      <c r="AK83" s="138">
        <f t="shared" si="90"/>
        <v>39.96</v>
      </c>
      <c r="AL83" s="138">
        <f t="shared" si="91"/>
        <v>39.959999999999994</v>
      </c>
      <c r="AM83" s="138">
        <f t="shared" si="92"/>
        <v>39.960000000000015</v>
      </c>
      <c r="AO83" s="77" t="str">
        <f t="shared" si="49"/>
        <v>DS-4 (Large General Service)</v>
      </c>
      <c r="AP83" s="78" t="s">
        <v>642</v>
      </c>
      <c r="AQ83" s="77" t="str">
        <f t="shared" si="50"/>
        <v>Customer Charge Secondary</v>
      </c>
      <c r="AR83" s="78" t="str">
        <f t="shared" si="51"/>
        <v>Billing Cycle</v>
      </c>
      <c r="AS83" s="79">
        <f t="shared" si="52"/>
        <v>6</v>
      </c>
      <c r="AT83" s="78">
        <f t="shared" si="53"/>
        <v>45</v>
      </c>
      <c r="AU83" s="78">
        <f t="shared" si="54"/>
        <v>39.96</v>
      </c>
      <c r="AV83" s="78">
        <f t="shared" si="55"/>
        <v>39.96</v>
      </c>
      <c r="AW83" s="78">
        <f t="shared" si="56"/>
        <v>39.96</v>
      </c>
      <c r="AX83" s="78">
        <f t="shared" si="57"/>
        <v>39.96</v>
      </c>
      <c r="AY83" s="78">
        <f t="shared" si="58"/>
        <v>39.96</v>
      </c>
      <c r="AZ83" s="78">
        <f t="shared" si="59"/>
        <v>39.96</v>
      </c>
      <c r="BA83" s="78">
        <f t="shared" si="60"/>
        <v>39.96</v>
      </c>
      <c r="BB83" s="78">
        <f t="shared" si="61"/>
        <v>39.96</v>
      </c>
      <c r="BC83" s="78">
        <f t="shared" si="62"/>
        <v>39.96</v>
      </c>
      <c r="BD83" s="78">
        <f t="shared" si="63"/>
        <v>39.96</v>
      </c>
      <c r="BE83" s="78">
        <f t="shared" si="64"/>
        <v>39.96</v>
      </c>
      <c r="BF83" s="78">
        <f t="shared" si="65"/>
        <v>39.96</v>
      </c>
      <c r="BG83" s="78">
        <f t="shared" si="66"/>
        <v>39.96</v>
      </c>
      <c r="BH83" s="78">
        <f t="shared" si="67"/>
        <v>39.96</v>
      </c>
      <c r="BI83" s="78">
        <f t="shared" si="68"/>
        <v>39.96</v>
      </c>
      <c r="BJ83" s="78">
        <f t="shared" si="69"/>
        <v>39.96</v>
      </c>
      <c r="BK83" s="78">
        <f t="shared" si="70"/>
        <v>39.96</v>
      </c>
      <c r="BL83" s="78">
        <f t="shared" si="71"/>
        <v>39.96</v>
      </c>
      <c r="BM83" s="78">
        <f t="shared" si="72"/>
        <v>39.96</v>
      </c>
      <c r="BN83" s="78">
        <f t="shared" si="73"/>
        <v>39.96</v>
      </c>
      <c r="BO83" s="78">
        <f t="shared" si="74"/>
        <v>39.96</v>
      </c>
      <c r="BP83" s="78">
        <f t="shared" si="75"/>
        <v>39.96</v>
      </c>
      <c r="BQ83" s="78">
        <f t="shared" si="76"/>
        <v>39.96</v>
      </c>
      <c r="BR83" s="78">
        <f t="shared" si="77"/>
        <v>39.96</v>
      </c>
      <c r="BS83" s="77"/>
      <c r="BT83" s="77"/>
    </row>
    <row r="84" spans="1:72" ht="14.1" customHeight="1" x14ac:dyDescent="0.2">
      <c r="A84" s="55" t="str">
        <f t="shared" si="48"/>
        <v>DS-6 (DS-3) Temp. Sensitive DS_Customer Charge Secondary</v>
      </c>
      <c r="B84" s="80" t="s">
        <v>643</v>
      </c>
      <c r="C84" s="83" t="s">
        <v>710</v>
      </c>
      <c r="D84" s="150"/>
      <c r="E84" s="81"/>
      <c r="F84" s="73" t="s">
        <v>649</v>
      </c>
      <c r="G84" s="73">
        <v>0</v>
      </c>
      <c r="H84" s="73">
        <v>6</v>
      </c>
      <c r="I84" s="74" t="s">
        <v>641</v>
      </c>
      <c r="J84" s="75" t="s">
        <v>634</v>
      </c>
      <c r="K84" s="74"/>
      <c r="L84" s="82">
        <v>44.78</v>
      </c>
      <c r="M84" s="138">
        <v>39.96</v>
      </c>
      <c r="N84" s="138">
        <v>39.96</v>
      </c>
      <c r="O84" s="138">
        <v>39.96</v>
      </c>
      <c r="P84" s="138">
        <v>39.96</v>
      </c>
      <c r="Q84" s="138">
        <v>39.96</v>
      </c>
      <c r="R84" s="138">
        <v>39.96</v>
      </c>
      <c r="S84" s="138">
        <v>39.96</v>
      </c>
      <c r="T84" s="138">
        <v>39.96</v>
      </c>
      <c r="U84" s="138">
        <v>39.96</v>
      </c>
      <c r="V84" s="138">
        <v>39.96</v>
      </c>
      <c r="W84" s="138">
        <v>39.96</v>
      </c>
      <c r="X84" s="138">
        <v>39.96</v>
      </c>
      <c r="Y84" s="138">
        <f t="shared" si="78"/>
        <v>39.96</v>
      </c>
      <c r="Z84" s="138">
        <f t="shared" si="79"/>
        <v>39.96</v>
      </c>
      <c r="AA84" s="138">
        <f t="shared" si="80"/>
        <v>39.96</v>
      </c>
      <c r="AB84" s="138">
        <f t="shared" si="81"/>
        <v>39.96</v>
      </c>
      <c r="AC84" s="138">
        <f t="shared" si="82"/>
        <v>39.96</v>
      </c>
      <c r="AD84" s="138">
        <f t="shared" si="83"/>
        <v>39.96</v>
      </c>
      <c r="AE84" s="138">
        <f t="shared" si="84"/>
        <v>39.96</v>
      </c>
      <c r="AF84" s="138">
        <f t="shared" si="85"/>
        <v>39.96</v>
      </c>
      <c r="AG84" s="138">
        <f t="shared" si="86"/>
        <v>39.96</v>
      </c>
      <c r="AH84" s="138">
        <f t="shared" si="87"/>
        <v>39.96</v>
      </c>
      <c r="AI84" s="138">
        <f t="shared" si="88"/>
        <v>39.96</v>
      </c>
      <c r="AJ84" s="138">
        <f t="shared" si="89"/>
        <v>39.96</v>
      </c>
      <c r="AK84" s="138">
        <f t="shared" si="90"/>
        <v>39.96</v>
      </c>
      <c r="AL84" s="138">
        <f t="shared" si="91"/>
        <v>39.959999999999994</v>
      </c>
      <c r="AM84" s="138">
        <f t="shared" si="92"/>
        <v>39.960000000000015</v>
      </c>
      <c r="AO84" s="77" t="str">
        <f t="shared" si="49"/>
        <v>DS-6 (DS-3) Temp. Sensitive DS</v>
      </c>
      <c r="AP84" s="78" t="s">
        <v>644</v>
      </c>
      <c r="AQ84" s="77" t="str">
        <f t="shared" si="50"/>
        <v>Customer Charge Secondary</v>
      </c>
      <c r="AR84" s="78" t="str">
        <f t="shared" si="51"/>
        <v>Billing Cycle</v>
      </c>
      <c r="AS84" s="79">
        <f t="shared" si="52"/>
        <v>6</v>
      </c>
      <c r="AT84" s="78">
        <f t="shared" si="53"/>
        <v>45</v>
      </c>
      <c r="AU84" s="78">
        <f t="shared" si="54"/>
        <v>39.96</v>
      </c>
      <c r="AV84" s="78">
        <f t="shared" si="55"/>
        <v>39.96</v>
      </c>
      <c r="AW84" s="78">
        <f t="shared" si="56"/>
        <v>39.96</v>
      </c>
      <c r="AX84" s="78">
        <f t="shared" si="57"/>
        <v>39.96</v>
      </c>
      <c r="AY84" s="78">
        <f t="shared" si="58"/>
        <v>39.96</v>
      </c>
      <c r="AZ84" s="78">
        <f t="shared" si="59"/>
        <v>39.96</v>
      </c>
      <c r="BA84" s="78">
        <f t="shared" si="60"/>
        <v>39.96</v>
      </c>
      <c r="BB84" s="78">
        <f t="shared" si="61"/>
        <v>39.96</v>
      </c>
      <c r="BC84" s="78">
        <f t="shared" si="62"/>
        <v>39.96</v>
      </c>
      <c r="BD84" s="78">
        <f t="shared" si="63"/>
        <v>39.96</v>
      </c>
      <c r="BE84" s="78">
        <f t="shared" si="64"/>
        <v>39.96</v>
      </c>
      <c r="BF84" s="78">
        <f t="shared" si="65"/>
        <v>39.96</v>
      </c>
      <c r="BG84" s="78">
        <f t="shared" si="66"/>
        <v>39.96</v>
      </c>
      <c r="BH84" s="78">
        <f t="shared" si="67"/>
        <v>39.96</v>
      </c>
      <c r="BI84" s="78">
        <f t="shared" si="68"/>
        <v>39.96</v>
      </c>
      <c r="BJ84" s="78">
        <f t="shared" si="69"/>
        <v>39.96</v>
      </c>
      <c r="BK84" s="78">
        <f t="shared" si="70"/>
        <v>39.96</v>
      </c>
      <c r="BL84" s="78">
        <f t="shared" si="71"/>
        <v>39.96</v>
      </c>
      <c r="BM84" s="78">
        <f t="shared" si="72"/>
        <v>39.96</v>
      </c>
      <c r="BN84" s="78">
        <f t="shared" si="73"/>
        <v>39.96</v>
      </c>
      <c r="BO84" s="78">
        <f t="shared" si="74"/>
        <v>39.96</v>
      </c>
      <c r="BP84" s="78">
        <f t="shared" si="75"/>
        <v>39.96</v>
      </c>
      <c r="BQ84" s="78">
        <f t="shared" si="76"/>
        <v>39.96</v>
      </c>
      <c r="BR84" s="78">
        <f t="shared" si="77"/>
        <v>39.96</v>
      </c>
      <c r="BS84" s="77"/>
      <c r="BT84" s="77"/>
    </row>
    <row r="85" spans="1:72" ht="14.1" customHeight="1" x14ac:dyDescent="0.2">
      <c r="A85" s="55" t="str">
        <f t="shared" si="48"/>
        <v>DS-6 (DS-4) Temp. Sensitive DS_Customer Charge Secondary</v>
      </c>
      <c r="B85" s="80" t="s">
        <v>645</v>
      </c>
      <c r="C85" s="83" t="s">
        <v>710</v>
      </c>
      <c r="D85" s="150"/>
      <c r="E85" s="81"/>
      <c r="F85" s="73" t="s">
        <v>649</v>
      </c>
      <c r="G85" s="73">
        <v>0</v>
      </c>
      <c r="H85" s="73">
        <v>6</v>
      </c>
      <c r="I85" s="74" t="s">
        <v>641</v>
      </c>
      <c r="J85" s="75" t="s">
        <v>634</v>
      </c>
      <c r="K85" s="74"/>
      <c r="L85" s="82">
        <v>44.78</v>
      </c>
      <c r="M85" s="138">
        <v>39.96</v>
      </c>
      <c r="N85" s="138">
        <v>39.96</v>
      </c>
      <c r="O85" s="138">
        <v>39.96</v>
      </c>
      <c r="P85" s="138">
        <v>39.96</v>
      </c>
      <c r="Q85" s="138">
        <v>39.96</v>
      </c>
      <c r="R85" s="138">
        <v>39.96</v>
      </c>
      <c r="S85" s="138">
        <v>39.96</v>
      </c>
      <c r="T85" s="138">
        <v>39.96</v>
      </c>
      <c r="U85" s="138">
        <v>39.96</v>
      </c>
      <c r="V85" s="138">
        <v>39.96</v>
      </c>
      <c r="W85" s="138">
        <v>39.96</v>
      </c>
      <c r="X85" s="138">
        <v>39.96</v>
      </c>
      <c r="Y85" s="138">
        <f t="shared" si="78"/>
        <v>39.96</v>
      </c>
      <c r="Z85" s="138">
        <f t="shared" si="79"/>
        <v>39.96</v>
      </c>
      <c r="AA85" s="138">
        <f t="shared" si="80"/>
        <v>39.96</v>
      </c>
      <c r="AB85" s="138">
        <f t="shared" si="81"/>
        <v>39.96</v>
      </c>
      <c r="AC85" s="138">
        <f t="shared" si="82"/>
        <v>39.96</v>
      </c>
      <c r="AD85" s="138">
        <f t="shared" si="83"/>
        <v>39.96</v>
      </c>
      <c r="AE85" s="138">
        <f t="shared" si="84"/>
        <v>39.96</v>
      </c>
      <c r="AF85" s="138">
        <f t="shared" si="85"/>
        <v>39.96</v>
      </c>
      <c r="AG85" s="138">
        <f t="shared" si="86"/>
        <v>39.96</v>
      </c>
      <c r="AH85" s="138">
        <f t="shared" si="87"/>
        <v>39.96</v>
      </c>
      <c r="AI85" s="138">
        <f t="shared" si="88"/>
        <v>39.96</v>
      </c>
      <c r="AJ85" s="138">
        <f t="shared" si="89"/>
        <v>39.96</v>
      </c>
      <c r="AK85" s="138">
        <f t="shared" si="90"/>
        <v>39.96</v>
      </c>
      <c r="AL85" s="138">
        <f t="shared" si="91"/>
        <v>39.959999999999994</v>
      </c>
      <c r="AM85" s="138">
        <f t="shared" si="92"/>
        <v>39.960000000000015</v>
      </c>
      <c r="AO85" s="77" t="str">
        <f t="shared" si="49"/>
        <v>DS-6 (DS-4) Temp. Sensitive DS</v>
      </c>
      <c r="AP85" s="78" t="s">
        <v>646</v>
      </c>
      <c r="AQ85" s="77" t="str">
        <f t="shared" si="50"/>
        <v>Customer Charge Secondary</v>
      </c>
      <c r="AR85" s="78" t="str">
        <f t="shared" si="51"/>
        <v>Billing Cycle</v>
      </c>
      <c r="AS85" s="79">
        <f t="shared" si="52"/>
        <v>6</v>
      </c>
      <c r="AT85" s="78">
        <f t="shared" si="53"/>
        <v>45</v>
      </c>
      <c r="AU85" s="78">
        <f t="shared" si="54"/>
        <v>39.96</v>
      </c>
      <c r="AV85" s="78">
        <f t="shared" si="55"/>
        <v>39.96</v>
      </c>
      <c r="AW85" s="78">
        <f t="shared" si="56"/>
        <v>39.96</v>
      </c>
      <c r="AX85" s="78">
        <f t="shared" si="57"/>
        <v>39.96</v>
      </c>
      <c r="AY85" s="78">
        <f t="shared" si="58"/>
        <v>39.96</v>
      </c>
      <c r="AZ85" s="78">
        <f t="shared" si="59"/>
        <v>39.96</v>
      </c>
      <c r="BA85" s="78">
        <f t="shared" si="60"/>
        <v>39.96</v>
      </c>
      <c r="BB85" s="78">
        <f t="shared" si="61"/>
        <v>39.96</v>
      </c>
      <c r="BC85" s="78">
        <f t="shared" si="62"/>
        <v>39.96</v>
      </c>
      <c r="BD85" s="78">
        <f t="shared" si="63"/>
        <v>39.96</v>
      </c>
      <c r="BE85" s="78">
        <f t="shared" si="64"/>
        <v>39.96</v>
      </c>
      <c r="BF85" s="78">
        <f t="shared" si="65"/>
        <v>39.96</v>
      </c>
      <c r="BG85" s="78">
        <f t="shared" si="66"/>
        <v>39.96</v>
      </c>
      <c r="BH85" s="78">
        <f t="shared" si="67"/>
        <v>39.96</v>
      </c>
      <c r="BI85" s="78">
        <f t="shared" si="68"/>
        <v>39.96</v>
      </c>
      <c r="BJ85" s="78">
        <f t="shared" si="69"/>
        <v>39.96</v>
      </c>
      <c r="BK85" s="78">
        <f t="shared" si="70"/>
        <v>39.96</v>
      </c>
      <c r="BL85" s="78">
        <f t="shared" si="71"/>
        <v>39.96</v>
      </c>
      <c r="BM85" s="78">
        <f t="shared" si="72"/>
        <v>39.96</v>
      </c>
      <c r="BN85" s="78">
        <f t="shared" si="73"/>
        <v>39.96</v>
      </c>
      <c r="BO85" s="78">
        <f t="shared" si="74"/>
        <v>39.96</v>
      </c>
      <c r="BP85" s="78">
        <f t="shared" si="75"/>
        <v>39.96</v>
      </c>
      <c r="BQ85" s="78">
        <f t="shared" si="76"/>
        <v>39.96</v>
      </c>
      <c r="BR85" s="78">
        <f t="shared" si="77"/>
        <v>39.96</v>
      </c>
      <c r="BS85" s="77"/>
      <c r="BT85" s="77"/>
    </row>
    <row r="86" spans="1:72" ht="14.1" customHeight="1" x14ac:dyDescent="0.2">
      <c r="A86" s="55" t="str">
        <f t="shared" si="48"/>
        <v>DS-5 (Lighting Service)_Decorative - Metal Halide, 150 Nominal Watts -Zone I</v>
      </c>
      <c r="B86" s="80" t="s">
        <v>647</v>
      </c>
      <c r="C86" s="83" t="s">
        <v>711</v>
      </c>
      <c r="D86" s="150"/>
      <c r="E86" s="81"/>
      <c r="F86" s="73" t="s">
        <v>649</v>
      </c>
      <c r="G86" s="73">
        <v>0</v>
      </c>
      <c r="H86" s="73">
        <v>6</v>
      </c>
      <c r="I86" s="74" t="s">
        <v>641</v>
      </c>
      <c r="J86" s="75" t="s">
        <v>634</v>
      </c>
      <c r="K86" s="74"/>
      <c r="L86" s="82">
        <v>5.95</v>
      </c>
      <c r="M86" s="138">
        <v>6.72</v>
      </c>
      <c r="N86" s="138">
        <v>6.72</v>
      </c>
      <c r="O86" s="138">
        <v>6.72</v>
      </c>
      <c r="P86" s="138">
        <v>6.72</v>
      </c>
      <c r="Q86" s="138">
        <v>6.72</v>
      </c>
      <c r="R86" s="138">
        <v>6.72</v>
      </c>
      <c r="S86" s="138">
        <v>6.83</v>
      </c>
      <c r="T86" s="138">
        <v>6.83</v>
      </c>
      <c r="U86" s="138">
        <v>6.83</v>
      </c>
      <c r="V86" s="138">
        <v>6.83</v>
      </c>
      <c r="W86" s="138">
        <v>6.83</v>
      </c>
      <c r="X86" s="138">
        <v>6.83</v>
      </c>
      <c r="Y86" s="138">
        <f t="shared" si="78"/>
        <v>6.83</v>
      </c>
      <c r="Z86" s="138">
        <f t="shared" si="79"/>
        <v>6.83</v>
      </c>
      <c r="AA86" s="138">
        <f t="shared" si="80"/>
        <v>6.83</v>
      </c>
      <c r="AB86" s="138">
        <f t="shared" si="81"/>
        <v>6.83</v>
      </c>
      <c r="AC86" s="138">
        <f t="shared" si="82"/>
        <v>6.83</v>
      </c>
      <c r="AD86" s="138">
        <f t="shared" si="83"/>
        <v>6.83</v>
      </c>
      <c r="AE86" s="138">
        <f t="shared" si="84"/>
        <v>6.83</v>
      </c>
      <c r="AF86" s="138">
        <f t="shared" si="85"/>
        <v>6.83</v>
      </c>
      <c r="AG86" s="138">
        <f t="shared" si="86"/>
        <v>6.83</v>
      </c>
      <c r="AH86" s="138">
        <f t="shared" si="87"/>
        <v>6.83</v>
      </c>
      <c r="AI86" s="138">
        <f t="shared" si="88"/>
        <v>6.83</v>
      </c>
      <c r="AJ86" s="138">
        <f t="shared" si="89"/>
        <v>6.83</v>
      </c>
      <c r="AK86" s="138">
        <f t="shared" si="90"/>
        <v>6.83</v>
      </c>
      <c r="AL86" s="138">
        <f t="shared" si="91"/>
        <v>6.8299999999999992</v>
      </c>
      <c r="AM86" s="138">
        <f t="shared" si="92"/>
        <v>6.8070833333333356</v>
      </c>
      <c r="AO86" s="77" t="str">
        <f t="shared" si="49"/>
        <v>DS-5 (Lighting Service)</v>
      </c>
      <c r="AP86" s="78" t="s">
        <v>650</v>
      </c>
      <c r="AQ86" s="77" t="str">
        <f t="shared" si="50"/>
        <v>Decorative - Metal Halide, 150 Nominal Watts -Zone I</v>
      </c>
      <c r="AR86" s="78" t="str">
        <f t="shared" si="51"/>
        <v>Billing Cycle</v>
      </c>
      <c r="AS86" s="79">
        <f t="shared" si="52"/>
        <v>6</v>
      </c>
      <c r="AT86" s="78">
        <f t="shared" si="53"/>
        <v>6</v>
      </c>
      <c r="AU86" s="78">
        <f t="shared" si="54"/>
        <v>6.72</v>
      </c>
      <c r="AV86" s="78">
        <f t="shared" si="55"/>
        <v>6.72</v>
      </c>
      <c r="AW86" s="78">
        <f t="shared" si="56"/>
        <v>6.72</v>
      </c>
      <c r="AX86" s="78">
        <f t="shared" si="57"/>
        <v>6.72</v>
      </c>
      <c r="AY86" s="78">
        <f t="shared" si="58"/>
        <v>6.72</v>
      </c>
      <c r="AZ86" s="78">
        <f t="shared" si="59"/>
        <v>6.72</v>
      </c>
      <c r="BA86" s="78">
        <f t="shared" si="60"/>
        <v>6.83</v>
      </c>
      <c r="BB86" s="78">
        <f t="shared" si="61"/>
        <v>6.83</v>
      </c>
      <c r="BC86" s="78">
        <f t="shared" si="62"/>
        <v>6.83</v>
      </c>
      <c r="BD86" s="78">
        <f t="shared" si="63"/>
        <v>6.83</v>
      </c>
      <c r="BE86" s="78">
        <f t="shared" si="64"/>
        <v>6.83</v>
      </c>
      <c r="BF86" s="78">
        <f t="shared" si="65"/>
        <v>6.83</v>
      </c>
      <c r="BG86" s="78">
        <f t="shared" si="66"/>
        <v>6.83</v>
      </c>
      <c r="BH86" s="78">
        <f t="shared" si="67"/>
        <v>6.83</v>
      </c>
      <c r="BI86" s="78">
        <f t="shared" si="68"/>
        <v>6.83</v>
      </c>
      <c r="BJ86" s="78">
        <f t="shared" si="69"/>
        <v>6.83</v>
      </c>
      <c r="BK86" s="78">
        <f t="shared" si="70"/>
        <v>6.83</v>
      </c>
      <c r="BL86" s="78">
        <f t="shared" si="71"/>
        <v>6.83</v>
      </c>
      <c r="BM86" s="78">
        <f t="shared" si="72"/>
        <v>6.83</v>
      </c>
      <c r="BN86" s="78">
        <f t="shared" si="73"/>
        <v>6.83</v>
      </c>
      <c r="BO86" s="78">
        <f t="shared" si="74"/>
        <v>6.83</v>
      </c>
      <c r="BP86" s="78">
        <f t="shared" si="75"/>
        <v>6.83</v>
      </c>
      <c r="BQ86" s="78">
        <f t="shared" si="76"/>
        <v>6.83</v>
      </c>
      <c r="BR86" s="78">
        <f t="shared" si="77"/>
        <v>6.83</v>
      </c>
      <c r="BS86" s="77"/>
      <c r="BT86" s="77"/>
    </row>
    <row r="87" spans="1:72" ht="14.1" customHeight="1" x14ac:dyDescent="0.2">
      <c r="A87" s="55" t="str">
        <f t="shared" si="48"/>
        <v>DS-5 (Lighting Service)_Decorative - Metal Halide, 150 Nominal Watts -Zone III</v>
      </c>
      <c r="B87" s="80" t="s">
        <v>647</v>
      </c>
      <c r="C87" s="83" t="s">
        <v>712</v>
      </c>
      <c r="D87" s="150"/>
      <c r="E87" s="81"/>
      <c r="F87" s="73" t="s">
        <v>649</v>
      </c>
      <c r="G87" s="73">
        <v>0</v>
      </c>
      <c r="H87" s="73">
        <v>6</v>
      </c>
      <c r="I87" s="74" t="s">
        <v>641</v>
      </c>
      <c r="J87" s="75" t="s">
        <v>634</v>
      </c>
      <c r="K87" s="74"/>
      <c r="L87" s="82">
        <v>5.95</v>
      </c>
      <c r="M87" s="138">
        <v>6.72</v>
      </c>
      <c r="N87" s="138">
        <v>6.72</v>
      </c>
      <c r="O87" s="138">
        <v>6.72</v>
      </c>
      <c r="P87" s="138">
        <v>6.72</v>
      </c>
      <c r="Q87" s="138">
        <v>6.72</v>
      </c>
      <c r="R87" s="138">
        <v>6.72</v>
      </c>
      <c r="S87" s="138">
        <v>6.83</v>
      </c>
      <c r="T87" s="138">
        <v>6.83</v>
      </c>
      <c r="U87" s="138">
        <v>6.83</v>
      </c>
      <c r="V87" s="138">
        <v>6.83</v>
      </c>
      <c r="W87" s="138">
        <v>6.83</v>
      </c>
      <c r="X87" s="138">
        <v>6.83</v>
      </c>
      <c r="Y87" s="138">
        <f t="shared" si="78"/>
        <v>6.83</v>
      </c>
      <c r="Z87" s="138">
        <f t="shared" si="79"/>
        <v>6.83</v>
      </c>
      <c r="AA87" s="138">
        <f t="shared" si="80"/>
        <v>6.83</v>
      </c>
      <c r="AB87" s="138">
        <f t="shared" si="81"/>
        <v>6.83</v>
      </c>
      <c r="AC87" s="138">
        <f t="shared" si="82"/>
        <v>6.83</v>
      </c>
      <c r="AD87" s="138">
        <f t="shared" si="83"/>
        <v>6.83</v>
      </c>
      <c r="AE87" s="138">
        <f t="shared" si="84"/>
        <v>6.83</v>
      </c>
      <c r="AF87" s="138">
        <f t="shared" si="85"/>
        <v>6.83</v>
      </c>
      <c r="AG87" s="138">
        <f t="shared" si="86"/>
        <v>6.83</v>
      </c>
      <c r="AH87" s="138">
        <f t="shared" si="87"/>
        <v>6.83</v>
      </c>
      <c r="AI87" s="138">
        <f t="shared" si="88"/>
        <v>6.83</v>
      </c>
      <c r="AJ87" s="138">
        <f t="shared" si="89"/>
        <v>6.83</v>
      </c>
      <c r="AK87" s="138">
        <f t="shared" si="90"/>
        <v>6.83</v>
      </c>
      <c r="AL87" s="138">
        <f t="shared" si="91"/>
        <v>6.8299999999999992</v>
      </c>
      <c r="AM87" s="138">
        <f t="shared" si="92"/>
        <v>6.8070833333333356</v>
      </c>
      <c r="AO87" s="77" t="str">
        <f t="shared" si="49"/>
        <v>DS-5 (Lighting Service)</v>
      </c>
      <c r="AP87" s="78" t="s">
        <v>650</v>
      </c>
      <c r="AQ87" s="77" t="str">
        <f t="shared" si="50"/>
        <v>Decorative - Metal Halide, 150 Nominal Watts -Zone III</v>
      </c>
      <c r="AR87" s="78" t="str">
        <f t="shared" si="51"/>
        <v>Billing Cycle</v>
      </c>
      <c r="AS87" s="79">
        <f t="shared" si="52"/>
        <v>6</v>
      </c>
      <c r="AT87" s="78">
        <f t="shared" si="53"/>
        <v>6</v>
      </c>
      <c r="AU87" s="78">
        <f t="shared" si="54"/>
        <v>6.72</v>
      </c>
      <c r="AV87" s="78">
        <f t="shared" si="55"/>
        <v>6.72</v>
      </c>
      <c r="AW87" s="78">
        <f t="shared" si="56"/>
        <v>6.72</v>
      </c>
      <c r="AX87" s="78">
        <f t="shared" si="57"/>
        <v>6.72</v>
      </c>
      <c r="AY87" s="78">
        <f t="shared" si="58"/>
        <v>6.72</v>
      </c>
      <c r="AZ87" s="78">
        <f t="shared" si="59"/>
        <v>6.72</v>
      </c>
      <c r="BA87" s="78">
        <f t="shared" si="60"/>
        <v>6.83</v>
      </c>
      <c r="BB87" s="78">
        <f t="shared" si="61"/>
        <v>6.83</v>
      </c>
      <c r="BC87" s="78">
        <f t="shared" si="62"/>
        <v>6.83</v>
      </c>
      <c r="BD87" s="78">
        <f t="shared" si="63"/>
        <v>6.83</v>
      </c>
      <c r="BE87" s="78">
        <f t="shared" si="64"/>
        <v>6.83</v>
      </c>
      <c r="BF87" s="78">
        <f t="shared" si="65"/>
        <v>6.83</v>
      </c>
      <c r="BG87" s="78">
        <f t="shared" si="66"/>
        <v>6.83</v>
      </c>
      <c r="BH87" s="78">
        <f t="shared" si="67"/>
        <v>6.83</v>
      </c>
      <c r="BI87" s="78">
        <f t="shared" si="68"/>
        <v>6.83</v>
      </c>
      <c r="BJ87" s="78">
        <f t="shared" si="69"/>
        <v>6.83</v>
      </c>
      <c r="BK87" s="78">
        <f t="shared" si="70"/>
        <v>6.83</v>
      </c>
      <c r="BL87" s="78">
        <f t="shared" si="71"/>
        <v>6.83</v>
      </c>
      <c r="BM87" s="78">
        <f t="shared" si="72"/>
        <v>6.83</v>
      </c>
      <c r="BN87" s="78">
        <f t="shared" si="73"/>
        <v>6.83</v>
      </c>
      <c r="BO87" s="78">
        <f t="shared" si="74"/>
        <v>6.83</v>
      </c>
      <c r="BP87" s="78">
        <f t="shared" si="75"/>
        <v>6.83</v>
      </c>
      <c r="BQ87" s="78">
        <f t="shared" si="76"/>
        <v>6.83</v>
      </c>
      <c r="BR87" s="78">
        <f t="shared" si="77"/>
        <v>6.83</v>
      </c>
      <c r="BS87" s="77"/>
      <c r="BT87" s="77"/>
    </row>
    <row r="88" spans="1:72" ht="14.1" customHeight="1" x14ac:dyDescent="0.2">
      <c r="A88" s="55" t="str">
        <f t="shared" si="48"/>
        <v>DS-5 (Lighting Service)_Decorative - Metal Halide, 150 Nominal Watts-Zone II</v>
      </c>
      <c r="B88" s="80" t="s">
        <v>647</v>
      </c>
      <c r="C88" s="83" t="s">
        <v>713</v>
      </c>
      <c r="D88" s="150"/>
      <c r="E88" s="81"/>
      <c r="F88" s="73" t="s">
        <v>649</v>
      </c>
      <c r="G88" s="73">
        <v>0</v>
      </c>
      <c r="H88" s="73">
        <v>6</v>
      </c>
      <c r="I88" s="74" t="s">
        <v>641</v>
      </c>
      <c r="J88" s="75" t="s">
        <v>634</v>
      </c>
      <c r="K88" s="74"/>
      <c r="L88" s="82">
        <v>5.95</v>
      </c>
      <c r="M88" s="138">
        <v>6.72</v>
      </c>
      <c r="N88" s="138">
        <v>6.72</v>
      </c>
      <c r="O88" s="138">
        <v>6.72</v>
      </c>
      <c r="P88" s="138">
        <v>6.72</v>
      </c>
      <c r="Q88" s="138">
        <v>6.72</v>
      </c>
      <c r="R88" s="138">
        <v>6.72</v>
      </c>
      <c r="S88" s="138">
        <v>6.83</v>
      </c>
      <c r="T88" s="138">
        <v>6.83</v>
      </c>
      <c r="U88" s="138">
        <v>6.83</v>
      </c>
      <c r="V88" s="138">
        <v>6.83</v>
      </c>
      <c r="W88" s="138">
        <v>6.83</v>
      </c>
      <c r="X88" s="138">
        <v>6.83</v>
      </c>
      <c r="Y88" s="138">
        <f t="shared" si="78"/>
        <v>6.83</v>
      </c>
      <c r="Z88" s="138">
        <f t="shared" si="79"/>
        <v>6.83</v>
      </c>
      <c r="AA88" s="138">
        <f t="shared" si="80"/>
        <v>6.83</v>
      </c>
      <c r="AB88" s="138">
        <f t="shared" si="81"/>
        <v>6.83</v>
      </c>
      <c r="AC88" s="138">
        <f t="shared" si="82"/>
        <v>6.83</v>
      </c>
      <c r="AD88" s="138">
        <f t="shared" si="83"/>
        <v>6.83</v>
      </c>
      <c r="AE88" s="138">
        <f t="shared" si="84"/>
        <v>6.83</v>
      </c>
      <c r="AF88" s="138">
        <f t="shared" si="85"/>
        <v>6.83</v>
      </c>
      <c r="AG88" s="138">
        <f t="shared" si="86"/>
        <v>6.83</v>
      </c>
      <c r="AH88" s="138">
        <f t="shared" si="87"/>
        <v>6.83</v>
      </c>
      <c r="AI88" s="138">
        <f t="shared" si="88"/>
        <v>6.83</v>
      </c>
      <c r="AJ88" s="138">
        <f t="shared" si="89"/>
        <v>6.83</v>
      </c>
      <c r="AK88" s="138">
        <f t="shared" si="90"/>
        <v>6.83</v>
      </c>
      <c r="AL88" s="138">
        <f t="shared" si="91"/>
        <v>6.8299999999999992</v>
      </c>
      <c r="AM88" s="138">
        <f t="shared" si="92"/>
        <v>6.8070833333333356</v>
      </c>
      <c r="AO88" s="77" t="str">
        <f t="shared" si="49"/>
        <v>DS-5 (Lighting Service)</v>
      </c>
      <c r="AP88" s="78" t="s">
        <v>650</v>
      </c>
      <c r="AQ88" s="77" t="str">
        <f t="shared" si="50"/>
        <v>Decorative - Metal Halide, 150 Nominal Watts-Zone II</v>
      </c>
      <c r="AR88" s="78" t="str">
        <f t="shared" si="51"/>
        <v>Billing Cycle</v>
      </c>
      <c r="AS88" s="79">
        <f t="shared" si="52"/>
        <v>6</v>
      </c>
      <c r="AT88" s="78">
        <f t="shared" si="53"/>
        <v>6</v>
      </c>
      <c r="AU88" s="78">
        <f t="shared" si="54"/>
        <v>6.72</v>
      </c>
      <c r="AV88" s="78">
        <f t="shared" si="55"/>
        <v>6.72</v>
      </c>
      <c r="AW88" s="78">
        <f t="shared" si="56"/>
        <v>6.72</v>
      </c>
      <c r="AX88" s="78">
        <f t="shared" si="57"/>
        <v>6.72</v>
      </c>
      <c r="AY88" s="78">
        <f t="shared" si="58"/>
        <v>6.72</v>
      </c>
      <c r="AZ88" s="78">
        <f t="shared" si="59"/>
        <v>6.72</v>
      </c>
      <c r="BA88" s="78">
        <f t="shared" si="60"/>
        <v>6.83</v>
      </c>
      <c r="BB88" s="78">
        <f t="shared" si="61"/>
        <v>6.83</v>
      </c>
      <c r="BC88" s="78">
        <f t="shared" si="62"/>
        <v>6.83</v>
      </c>
      <c r="BD88" s="78">
        <f t="shared" si="63"/>
        <v>6.83</v>
      </c>
      <c r="BE88" s="78">
        <f t="shared" si="64"/>
        <v>6.83</v>
      </c>
      <c r="BF88" s="78">
        <f t="shared" si="65"/>
        <v>6.83</v>
      </c>
      <c r="BG88" s="78">
        <f t="shared" si="66"/>
        <v>6.83</v>
      </c>
      <c r="BH88" s="78">
        <f t="shared" si="67"/>
        <v>6.83</v>
      </c>
      <c r="BI88" s="78">
        <f t="shared" si="68"/>
        <v>6.83</v>
      </c>
      <c r="BJ88" s="78">
        <f t="shared" si="69"/>
        <v>6.83</v>
      </c>
      <c r="BK88" s="78">
        <f t="shared" si="70"/>
        <v>6.83</v>
      </c>
      <c r="BL88" s="78">
        <f t="shared" si="71"/>
        <v>6.83</v>
      </c>
      <c r="BM88" s="78">
        <f t="shared" si="72"/>
        <v>6.83</v>
      </c>
      <c r="BN88" s="78">
        <f t="shared" si="73"/>
        <v>6.83</v>
      </c>
      <c r="BO88" s="78">
        <f t="shared" si="74"/>
        <v>6.83</v>
      </c>
      <c r="BP88" s="78">
        <f t="shared" si="75"/>
        <v>6.83</v>
      </c>
      <c r="BQ88" s="78">
        <f t="shared" si="76"/>
        <v>6.83</v>
      </c>
      <c r="BR88" s="78">
        <f t="shared" si="77"/>
        <v>6.83</v>
      </c>
      <c r="BS88" s="77"/>
      <c r="BT88" s="77"/>
    </row>
    <row r="89" spans="1:72" ht="14.1" customHeight="1" x14ac:dyDescent="0.2">
      <c r="A89" s="55" t="str">
        <f t="shared" si="48"/>
        <v>DS-5 (Lighting Service)_Decorative - Sodium Vapor, Nominal Watts -Zone I</v>
      </c>
      <c r="B89" s="80" t="s">
        <v>647</v>
      </c>
      <c r="C89" s="83" t="s">
        <v>714</v>
      </c>
      <c r="D89" s="150"/>
      <c r="E89" s="81"/>
      <c r="F89" s="73" t="s">
        <v>649</v>
      </c>
      <c r="G89" s="73">
        <v>0</v>
      </c>
      <c r="H89" s="73">
        <v>6</v>
      </c>
      <c r="I89" s="74" t="s">
        <v>641</v>
      </c>
      <c r="J89" s="75" t="s">
        <v>634</v>
      </c>
      <c r="K89" s="74"/>
      <c r="L89" s="82">
        <v>5.0199999999999996</v>
      </c>
      <c r="M89" s="138">
        <v>5.67</v>
      </c>
      <c r="N89" s="138">
        <v>5.67</v>
      </c>
      <c r="O89" s="138">
        <v>5.67</v>
      </c>
      <c r="P89" s="138">
        <v>5.67</v>
      </c>
      <c r="Q89" s="138">
        <v>5.67</v>
      </c>
      <c r="R89" s="138">
        <v>5.67</v>
      </c>
      <c r="S89" s="138">
        <v>5.78</v>
      </c>
      <c r="T89" s="138">
        <v>5.78</v>
      </c>
      <c r="U89" s="138">
        <v>5.78</v>
      </c>
      <c r="V89" s="138">
        <v>5.78</v>
      </c>
      <c r="W89" s="138">
        <v>5.78</v>
      </c>
      <c r="X89" s="138">
        <v>5.78</v>
      </c>
      <c r="Y89" s="138">
        <f t="shared" si="78"/>
        <v>5.78</v>
      </c>
      <c r="Z89" s="138">
        <f t="shared" si="79"/>
        <v>5.78</v>
      </c>
      <c r="AA89" s="138">
        <f t="shared" si="80"/>
        <v>5.78</v>
      </c>
      <c r="AB89" s="138">
        <f t="shared" si="81"/>
        <v>5.78</v>
      </c>
      <c r="AC89" s="138">
        <f t="shared" si="82"/>
        <v>5.78</v>
      </c>
      <c r="AD89" s="138">
        <f t="shared" si="83"/>
        <v>5.78</v>
      </c>
      <c r="AE89" s="138">
        <f t="shared" si="84"/>
        <v>5.78</v>
      </c>
      <c r="AF89" s="138">
        <f t="shared" si="85"/>
        <v>5.78</v>
      </c>
      <c r="AG89" s="138">
        <f t="shared" si="86"/>
        <v>5.78</v>
      </c>
      <c r="AH89" s="138">
        <f t="shared" si="87"/>
        <v>5.78</v>
      </c>
      <c r="AI89" s="138">
        <f t="shared" si="88"/>
        <v>5.78</v>
      </c>
      <c r="AJ89" s="138">
        <f t="shared" si="89"/>
        <v>5.78</v>
      </c>
      <c r="AK89" s="138">
        <f t="shared" si="90"/>
        <v>5.78</v>
      </c>
      <c r="AL89" s="138">
        <f t="shared" si="91"/>
        <v>5.78</v>
      </c>
      <c r="AM89" s="138">
        <f t="shared" si="92"/>
        <v>5.757083333333334</v>
      </c>
      <c r="AO89" s="77" t="str">
        <f t="shared" si="49"/>
        <v>DS-5 (Lighting Service)</v>
      </c>
      <c r="AP89" s="78" t="s">
        <v>650</v>
      </c>
      <c r="AQ89" s="77" t="str">
        <f t="shared" si="50"/>
        <v>Decorative - Sodium Vapor, Nominal Watts -Zone I</v>
      </c>
      <c r="AR89" s="78" t="str">
        <f t="shared" si="51"/>
        <v>Billing Cycle</v>
      </c>
      <c r="AS89" s="79">
        <f t="shared" si="52"/>
        <v>6</v>
      </c>
      <c r="AT89" s="78">
        <f t="shared" si="53"/>
        <v>5</v>
      </c>
      <c r="AU89" s="78">
        <f t="shared" si="54"/>
        <v>5.67</v>
      </c>
      <c r="AV89" s="78">
        <f t="shared" si="55"/>
        <v>5.67</v>
      </c>
      <c r="AW89" s="78">
        <f t="shared" si="56"/>
        <v>5.67</v>
      </c>
      <c r="AX89" s="78">
        <f t="shared" si="57"/>
        <v>5.67</v>
      </c>
      <c r="AY89" s="78">
        <f t="shared" si="58"/>
        <v>5.67</v>
      </c>
      <c r="AZ89" s="78">
        <f t="shared" si="59"/>
        <v>5.67</v>
      </c>
      <c r="BA89" s="78">
        <f t="shared" si="60"/>
        <v>5.78</v>
      </c>
      <c r="BB89" s="78">
        <f t="shared" si="61"/>
        <v>5.78</v>
      </c>
      <c r="BC89" s="78">
        <f t="shared" si="62"/>
        <v>5.78</v>
      </c>
      <c r="BD89" s="78">
        <f t="shared" si="63"/>
        <v>5.78</v>
      </c>
      <c r="BE89" s="78">
        <f t="shared" si="64"/>
        <v>5.78</v>
      </c>
      <c r="BF89" s="78">
        <f t="shared" si="65"/>
        <v>5.78</v>
      </c>
      <c r="BG89" s="78">
        <f t="shared" si="66"/>
        <v>5.78</v>
      </c>
      <c r="BH89" s="78">
        <f t="shared" si="67"/>
        <v>5.78</v>
      </c>
      <c r="BI89" s="78">
        <f t="shared" si="68"/>
        <v>5.78</v>
      </c>
      <c r="BJ89" s="78">
        <f t="shared" si="69"/>
        <v>5.78</v>
      </c>
      <c r="BK89" s="78">
        <f t="shared" si="70"/>
        <v>5.78</v>
      </c>
      <c r="BL89" s="78">
        <f t="shared" si="71"/>
        <v>5.78</v>
      </c>
      <c r="BM89" s="78">
        <f t="shared" si="72"/>
        <v>5.78</v>
      </c>
      <c r="BN89" s="78">
        <f t="shared" si="73"/>
        <v>5.78</v>
      </c>
      <c r="BO89" s="78">
        <f t="shared" si="74"/>
        <v>5.78</v>
      </c>
      <c r="BP89" s="78">
        <f t="shared" si="75"/>
        <v>5.78</v>
      </c>
      <c r="BQ89" s="78">
        <f t="shared" si="76"/>
        <v>5.78</v>
      </c>
      <c r="BR89" s="78">
        <f t="shared" si="77"/>
        <v>5.78</v>
      </c>
      <c r="BS89" s="77"/>
      <c r="BT89" s="77"/>
    </row>
    <row r="90" spans="1:72" ht="14.1" customHeight="1" x14ac:dyDescent="0.2">
      <c r="A90" s="55" t="str">
        <f t="shared" si="48"/>
        <v>DS-5 (Lighting Service)_Decorative - Sodium Vapor, Nominal Watts -Zone III</v>
      </c>
      <c r="B90" s="80" t="s">
        <v>647</v>
      </c>
      <c r="C90" s="83" t="s">
        <v>715</v>
      </c>
      <c r="D90" s="150"/>
      <c r="E90" s="81"/>
      <c r="F90" s="73" t="s">
        <v>649</v>
      </c>
      <c r="G90" s="73">
        <v>0</v>
      </c>
      <c r="H90" s="73">
        <v>6</v>
      </c>
      <c r="I90" s="74" t="s">
        <v>641</v>
      </c>
      <c r="J90" s="75" t="s">
        <v>634</v>
      </c>
      <c r="K90" s="74"/>
      <c r="L90" s="82">
        <v>5.0199999999999996</v>
      </c>
      <c r="M90" s="138">
        <v>5.67</v>
      </c>
      <c r="N90" s="138">
        <v>5.67</v>
      </c>
      <c r="O90" s="138">
        <v>5.67</v>
      </c>
      <c r="P90" s="138">
        <v>5.67</v>
      </c>
      <c r="Q90" s="138">
        <v>5.67</v>
      </c>
      <c r="R90" s="138">
        <v>5.67</v>
      </c>
      <c r="S90" s="138">
        <v>5.78</v>
      </c>
      <c r="T90" s="138">
        <v>5.78</v>
      </c>
      <c r="U90" s="138">
        <v>5.78</v>
      </c>
      <c r="V90" s="138">
        <v>5.78</v>
      </c>
      <c r="W90" s="138">
        <v>5.78</v>
      </c>
      <c r="X90" s="138">
        <v>5.78</v>
      </c>
      <c r="Y90" s="138">
        <f t="shared" si="78"/>
        <v>5.78</v>
      </c>
      <c r="Z90" s="138">
        <f t="shared" si="79"/>
        <v>5.78</v>
      </c>
      <c r="AA90" s="138">
        <f t="shared" si="80"/>
        <v>5.78</v>
      </c>
      <c r="AB90" s="138">
        <f t="shared" si="81"/>
        <v>5.78</v>
      </c>
      <c r="AC90" s="138">
        <f t="shared" si="82"/>
        <v>5.78</v>
      </c>
      <c r="AD90" s="138">
        <f t="shared" si="83"/>
        <v>5.78</v>
      </c>
      <c r="AE90" s="138">
        <f t="shared" si="84"/>
        <v>5.78</v>
      </c>
      <c r="AF90" s="138">
        <f t="shared" si="85"/>
        <v>5.78</v>
      </c>
      <c r="AG90" s="138">
        <f t="shared" si="86"/>
        <v>5.78</v>
      </c>
      <c r="AH90" s="138">
        <f t="shared" si="87"/>
        <v>5.78</v>
      </c>
      <c r="AI90" s="138">
        <f t="shared" si="88"/>
        <v>5.78</v>
      </c>
      <c r="AJ90" s="138">
        <f t="shared" si="89"/>
        <v>5.78</v>
      </c>
      <c r="AK90" s="138">
        <f t="shared" si="90"/>
        <v>5.78</v>
      </c>
      <c r="AL90" s="138">
        <f t="shared" si="91"/>
        <v>5.78</v>
      </c>
      <c r="AM90" s="138">
        <f t="shared" si="92"/>
        <v>5.757083333333334</v>
      </c>
      <c r="AO90" s="77" t="str">
        <f t="shared" si="49"/>
        <v>DS-5 (Lighting Service)</v>
      </c>
      <c r="AP90" s="78" t="s">
        <v>650</v>
      </c>
      <c r="AQ90" s="77" t="str">
        <f t="shared" si="50"/>
        <v>Decorative - Sodium Vapor, Nominal Watts -Zone III</v>
      </c>
      <c r="AR90" s="78" t="str">
        <f t="shared" si="51"/>
        <v>Billing Cycle</v>
      </c>
      <c r="AS90" s="79">
        <f t="shared" si="52"/>
        <v>6</v>
      </c>
      <c r="AT90" s="78">
        <f t="shared" si="53"/>
        <v>5</v>
      </c>
      <c r="AU90" s="78">
        <f t="shared" si="54"/>
        <v>5.67</v>
      </c>
      <c r="AV90" s="78">
        <f t="shared" si="55"/>
        <v>5.67</v>
      </c>
      <c r="AW90" s="78">
        <f t="shared" si="56"/>
        <v>5.67</v>
      </c>
      <c r="AX90" s="78">
        <f t="shared" si="57"/>
        <v>5.67</v>
      </c>
      <c r="AY90" s="78">
        <f t="shared" si="58"/>
        <v>5.67</v>
      </c>
      <c r="AZ90" s="78">
        <f t="shared" si="59"/>
        <v>5.67</v>
      </c>
      <c r="BA90" s="78">
        <f t="shared" si="60"/>
        <v>5.78</v>
      </c>
      <c r="BB90" s="78">
        <f t="shared" si="61"/>
        <v>5.78</v>
      </c>
      <c r="BC90" s="78">
        <f t="shared" si="62"/>
        <v>5.78</v>
      </c>
      <c r="BD90" s="78">
        <f t="shared" si="63"/>
        <v>5.78</v>
      </c>
      <c r="BE90" s="78">
        <f t="shared" si="64"/>
        <v>5.78</v>
      </c>
      <c r="BF90" s="78">
        <f t="shared" si="65"/>
        <v>5.78</v>
      </c>
      <c r="BG90" s="78">
        <f t="shared" si="66"/>
        <v>5.78</v>
      </c>
      <c r="BH90" s="78">
        <f t="shared" si="67"/>
        <v>5.78</v>
      </c>
      <c r="BI90" s="78">
        <f t="shared" si="68"/>
        <v>5.78</v>
      </c>
      <c r="BJ90" s="78">
        <f t="shared" si="69"/>
        <v>5.78</v>
      </c>
      <c r="BK90" s="78">
        <f t="shared" si="70"/>
        <v>5.78</v>
      </c>
      <c r="BL90" s="78">
        <f t="shared" si="71"/>
        <v>5.78</v>
      </c>
      <c r="BM90" s="78">
        <f t="shared" si="72"/>
        <v>5.78</v>
      </c>
      <c r="BN90" s="78">
        <f t="shared" si="73"/>
        <v>5.78</v>
      </c>
      <c r="BO90" s="78">
        <f t="shared" si="74"/>
        <v>5.78</v>
      </c>
      <c r="BP90" s="78">
        <f t="shared" si="75"/>
        <v>5.78</v>
      </c>
      <c r="BQ90" s="78">
        <f t="shared" si="76"/>
        <v>5.78</v>
      </c>
      <c r="BR90" s="78">
        <f t="shared" si="77"/>
        <v>5.78</v>
      </c>
      <c r="BS90" s="77"/>
      <c r="BT90" s="77"/>
    </row>
    <row r="91" spans="1:72" ht="14.1" customHeight="1" x14ac:dyDescent="0.2">
      <c r="A91" s="55" t="str">
        <f t="shared" si="48"/>
        <v>DS-5 (Lighting Service)_Decorative - Sodium Vapor, Nominal Watts-Zone II</v>
      </c>
      <c r="B91" s="80" t="s">
        <v>647</v>
      </c>
      <c r="C91" s="83" t="s">
        <v>716</v>
      </c>
      <c r="D91" s="150"/>
      <c r="E91" s="81"/>
      <c r="F91" s="73" t="s">
        <v>649</v>
      </c>
      <c r="G91" s="73">
        <v>0</v>
      </c>
      <c r="H91" s="73">
        <v>6</v>
      </c>
      <c r="I91" s="74" t="s">
        <v>641</v>
      </c>
      <c r="J91" s="75" t="s">
        <v>634</v>
      </c>
      <c r="K91" s="74"/>
      <c r="L91" s="82">
        <v>5.0199999999999996</v>
      </c>
      <c r="M91" s="138">
        <v>5.67</v>
      </c>
      <c r="N91" s="138">
        <v>5.67</v>
      </c>
      <c r="O91" s="138">
        <v>5.67</v>
      </c>
      <c r="P91" s="138">
        <v>5.67</v>
      </c>
      <c r="Q91" s="138">
        <v>5.67</v>
      </c>
      <c r="R91" s="138">
        <v>5.67</v>
      </c>
      <c r="S91" s="138">
        <v>5.78</v>
      </c>
      <c r="T91" s="138">
        <v>5.78</v>
      </c>
      <c r="U91" s="138">
        <v>5.78</v>
      </c>
      <c r="V91" s="138">
        <v>5.78</v>
      </c>
      <c r="W91" s="138">
        <v>5.78</v>
      </c>
      <c r="X91" s="138">
        <v>5.78</v>
      </c>
      <c r="Y91" s="138">
        <f t="shared" si="78"/>
        <v>5.78</v>
      </c>
      <c r="Z91" s="138">
        <f t="shared" si="79"/>
        <v>5.78</v>
      </c>
      <c r="AA91" s="138">
        <f t="shared" si="80"/>
        <v>5.78</v>
      </c>
      <c r="AB91" s="138">
        <f t="shared" si="81"/>
        <v>5.78</v>
      </c>
      <c r="AC91" s="138">
        <f t="shared" si="82"/>
        <v>5.78</v>
      </c>
      <c r="AD91" s="138">
        <f t="shared" si="83"/>
        <v>5.78</v>
      </c>
      <c r="AE91" s="138">
        <f t="shared" si="84"/>
        <v>5.78</v>
      </c>
      <c r="AF91" s="138">
        <f t="shared" si="85"/>
        <v>5.78</v>
      </c>
      <c r="AG91" s="138">
        <f t="shared" si="86"/>
        <v>5.78</v>
      </c>
      <c r="AH91" s="138">
        <f t="shared" si="87"/>
        <v>5.78</v>
      </c>
      <c r="AI91" s="138">
        <f t="shared" si="88"/>
        <v>5.78</v>
      </c>
      <c r="AJ91" s="138">
        <f t="shared" si="89"/>
        <v>5.78</v>
      </c>
      <c r="AK91" s="138">
        <f t="shared" si="90"/>
        <v>5.78</v>
      </c>
      <c r="AL91" s="138">
        <f t="shared" si="91"/>
        <v>5.78</v>
      </c>
      <c r="AM91" s="138">
        <f t="shared" si="92"/>
        <v>5.757083333333334</v>
      </c>
      <c r="AO91" s="77" t="str">
        <f t="shared" si="49"/>
        <v>DS-5 (Lighting Service)</v>
      </c>
      <c r="AP91" s="78" t="s">
        <v>650</v>
      </c>
      <c r="AQ91" s="77" t="str">
        <f t="shared" si="50"/>
        <v>Decorative - Sodium Vapor, Nominal Watts-Zone II</v>
      </c>
      <c r="AR91" s="78" t="str">
        <f t="shared" si="51"/>
        <v>Billing Cycle</v>
      </c>
      <c r="AS91" s="79">
        <f t="shared" si="52"/>
        <v>6</v>
      </c>
      <c r="AT91" s="78">
        <f t="shared" si="53"/>
        <v>5</v>
      </c>
      <c r="AU91" s="78">
        <f t="shared" si="54"/>
        <v>5.67</v>
      </c>
      <c r="AV91" s="78">
        <f t="shared" si="55"/>
        <v>5.67</v>
      </c>
      <c r="AW91" s="78">
        <f t="shared" si="56"/>
        <v>5.67</v>
      </c>
      <c r="AX91" s="78">
        <f t="shared" si="57"/>
        <v>5.67</v>
      </c>
      <c r="AY91" s="78">
        <f t="shared" si="58"/>
        <v>5.67</v>
      </c>
      <c r="AZ91" s="78">
        <f t="shared" si="59"/>
        <v>5.67</v>
      </c>
      <c r="BA91" s="78">
        <f t="shared" si="60"/>
        <v>5.78</v>
      </c>
      <c r="BB91" s="78">
        <f t="shared" si="61"/>
        <v>5.78</v>
      </c>
      <c r="BC91" s="78">
        <f t="shared" si="62"/>
        <v>5.78</v>
      </c>
      <c r="BD91" s="78">
        <f t="shared" si="63"/>
        <v>5.78</v>
      </c>
      <c r="BE91" s="78">
        <f t="shared" si="64"/>
        <v>5.78</v>
      </c>
      <c r="BF91" s="78">
        <f t="shared" si="65"/>
        <v>5.78</v>
      </c>
      <c r="BG91" s="78">
        <f t="shared" si="66"/>
        <v>5.78</v>
      </c>
      <c r="BH91" s="78">
        <f t="shared" si="67"/>
        <v>5.78</v>
      </c>
      <c r="BI91" s="78">
        <f t="shared" si="68"/>
        <v>5.78</v>
      </c>
      <c r="BJ91" s="78">
        <f t="shared" si="69"/>
        <v>5.78</v>
      </c>
      <c r="BK91" s="78">
        <f t="shared" si="70"/>
        <v>5.78</v>
      </c>
      <c r="BL91" s="78">
        <f t="shared" si="71"/>
        <v>5.78</v>
      </c>
      <c r="BM91" s="78">
        <f t="shared" si="72"/>
        <v>5.78</v>
      </c>
      <c r="BN91" s="78">
        <f t="shared" si="73"/>
        <v>5.78</v>
      </c>
      <c r="BO91" s="78">
        <f t="shared" si="74"/>
        <v>5.78</v>
      </c>
      <c r="BP91" s="78">
        <f t="shared" si="75"/>
        <v>5.78</v>
      </c>
      <c r="BQ91" s="78">
        <f t="shared" si="76"/>
        <v>5.78</v>
      </c>
      <c r="BR91" s="78">
        <f t="shared" si="77"/>
        <v>5.78</v>
      </c>
      <c r="BS91" s="77"/>
      <c r="BT91" s="77"/>
    </row>
    <row r="92" spans="1:72" ht="14.1" customHeight="1" x14ac:dyDescent="0.2">
      <c r="A92" s="55" t="str">
        <f t="shared" si="48"/>
        <v>GDS-4 (Large General Delivery)_Demand Charge &lt; 60 psig MAOP (Rider S)</v>
      </c>
      <c r="B92" s="80" t="s">
        <v>673</v>
      </c>
      <c r="C92" s="83" t="s">
        <v>717</v>
      </c>
      <c r="D92" s="150"/>
      <c r="E92" s="81"/>
      <c r="F92" s="73" t="s">
        <v>649</v>
      </c>
      <c r="G92" s="73">
        <v>0</v>
      </c>
      <c r="H92" s="73">
        <v>6</v>
      </c>
      <c r="I92" s="74" t="s">
        <v>641</v>
      </c>
      <c r="J92" s="75" t="s">
        <v>634</v>
      </c>
      <c r="K92" s="74"/>
      <c r="L92" s="82">
        <v>2.02461</v>
      </c>
      <c r="M92" s="138">
        <v>2.02461</v>
      </c>
      <c r="N92" s="138">
        <v>2.02461</v>
      </c>
      <c r="O92" s="138">
        <v>2.02461</v>
      </c>
      <c r="P92" s="138">
        <v>2.02461</v>
      </c>
      <c r="Q92" s="138">
        <v>2.02461</v>
      </c>
      <c r="R92" s="138">
        <v>2.02461</v>
      </c>
      <c r="S92" s="138">
        <v>2.02461</v>
      </c>
      <c r="T92" s="138">
        <v>2.02461</v>
      </c>
      <c r="U92" s="138">
        <v>2.02461</v>
      </c>
      <c r="V92" s="138">
        <v>2.02461</v>
      </c>
      <c r="W92" s="138">
        <v>2.02461</v>
      </c>
      <c r="X92" s="138">
        <v>2.02461</v>
      </c>
      <c r="Y92" s="138">
        <f t="shared" si="78"/>
        <v>2.02461</v>
      </c>
      <c r="Z92" s="138">
        <f t="shared" si="79"/>
        <v>2.02461</v>
      </c>
      <c r="AA92" s="138">
        <f t="shared" si="80"/>
        <v>2.02461</v>
      </c>
      <c r="AB92" s="138">
        <f t="shared" si="81"/>
        <v>2.02461</v>
      </c>
      <c r="AC92" s="138">
        <f t="shared" si="82"/>
        <v>2.02461</v>
      </c>
      <c r="AD92" s="138">
        <f t="shared" si="83"/>
        <v>2.02461</v>
      </c>
      <c r="AE92" s="138">
        <f t="shared" si="84"/>
        <v>2.02461</v>
      </c>
      <c r="AF92" s="138">
        <f t="shared" si="85"/>
        <v>2.02461</v>
      </c>
      <c r="AG92" s="138">
        <f t="shared" si="86"/>
        <v>2.02461</v>
      </c>
      <c r="AH92" s="138">
        <f t="shared" si="87"/>
        <v>2.02461</v>
      </c>
      <c r="AI92" s="138">
        <f t="shared" si="88"/>
        <v>2.02461</v>
      </c>
      <c r="AJ92" s="138">
        <f t="shared" si="89"/>
        <v>2.02461</v>
      </c>
      <c r="AK92" s="138">
        <f t="shared" si="90"/>
        <v>2.02461</v>
      </c>
      <c r="AL92" s="138">
        <f t="shared" si="91"/>
        <v>2.0246099999999996</v>
      </c>
      <c r="AM92" s="138">
        <f t="shared" si="92"/>
        <v>2.0246100000000005</v>
      </c>
      <c r="AO92" s="77" t="str">
        <f t="shared" si="49"/>
        <v>GDS-4 (Large General Delivery)</v>
      </c>
      <c r="AP92" s="78" t="s">
        <v>674</v>
      </c>
      <c r="AQ92" s="77" t="str">
        <f t="shared" si="50"/>
        <v>Demand Charge &lt; 60 psig MAOP (Rider S)</v>
      </c>
      <c r="AR92" s="78" t="str">
        <f t="shared" si="51"/>
        <v>Billing Cycle</v>
      </c>
      <c r="AS92" s="79">
        <f t="shared" si="52"/>
        <v>6</v>
      </c>
      <c r="AT92" s="78">
        <f t="shared" si="53"/>
        <v>2</v>
      </c>
      <c r="AU92" s="78">
        <f t="shared" si="54"/>
        <v>2.02461</v>
      </c>
      <c r="AV92" s="78">
        <f t="shared" si="55"/>
        <v>2.02461</v>
      </c>
      <c r="AW92" s="78">
        <f t="shared" si="56"/>
        <v>2.02461</v>
      </c>
      <c r="AX92" s="78">
        <f t="shared" si="57"/>
        <v>2.02461</v>
      </c>
      <c r="AY92" s="78">
        <f t="shared" si="58"/>
        <v>2.02461</v>
      </c>
      <c r="AZ92" s="78">
        <f t="shared" si="59"/>
        <v>2.02461</v>
      </c>
      <c r="BA92" s="78">
        <f t="shared" si="60"/>
        <v>2.02461</v>
      </c>
      <c r="BB92" s="78">
        <f t="shared" si="61"/>
        <v>2.02461</v>
      </c>
      <c r="BC92" s="78">
        <f t="shared" si="62"/>
        <v>2.02461</v>
      </c>
      <c r="BD92" s="78">
        <f t="shared" si="63"/>
        <v>2.02461</v>
      </c>
      <c r="BE92" s="78">
        <f t="shared" si="64"/>
        <v>2.02461</v>
      </c>
      <c r="BF92" s="78">
        <f t="shared" si="65"/>
        <v>2.02461</v>
      </c>
      <c r="BG92" s="78">
        <f t="shared" si="66"/>
        <v>2.02461</v>
      </c>
      <c r="BH92" s="78">
        <f t="shared" si="67"/>
        <v>2.02461</v>
      </c>
      <c r="BI92" s="78">
        <f t="shared" si="68"/>
        <v>2.02461</v>
      </c>
      <c r="BJ92" s="78">
        <f t="shared" si="69"/>
        <v>2.02461</v>
      </c>
      <c r="BK92" s="78">
        <f t="shared" si="70"/>
        <v>2.02461</v>
      </c>
      <c r="BL92" s="78">
        <f t="shared" si="71"/>
        <v>2.02461</v>
      </c>
      <c r="BM92" s="78">
        <f t="shared" si="72"/>
        <v>2.02461</v>
      </c>
      <c r="BN92" s="78">
        <f t="shared" si="73"/>
        <v>2.02461</v>
      </c>
      <c r="BO92" s="78">
        <f t="shared" si="74"/>
        <v>2.02461</v>
      </c>
      <c r="BP92" s="78">
        <f t="shared" si="75"/>
        <v>2.02461</v>
      </c>
      <c r="BQ92" s="78">
        <f t="shared" si="76"/>
        <v>2.02461</v>
      </c>
      <c r="BR92" s="78">
        <f t="shared" si="77"/>
        <v>2.02461</v>
      </c>
      <c r="BS92" s="77"/>
      <c r="BT92" s="77"/>
    </row>
    <row r="93" spans="1:72" ht="14.1" customHeight="1" x14ac:dyDescent="0.2">
      <c r="A93" s="55" t="str">
        <f t="shared" si="48"/>
        <v>GDS-5 (Seasonal)_Demand Charge &lt; 60 psig MAOP (Rider S) Winter Demand</v>
      </c>
      <c r="B93" s="80" t="s">
        <v>675</v>
      </c>
      <c r="C93" s="83" t="s">
        <v>718</v>
      </c>
      <c r="D93" s="150"/>
      <c r="E93" s="81"/>
      <c r="F93" s="73" t="s">
        <v>649</v>
      </c>
      <c r="G93" s="73">
        <v>0</v>
      </c>
      <c r="H93" s="73">
        <v>6</v>
      </c>
      <c r="I93" s="74" t="s">
        <v>641</v>
      </c>
      <c r="J93" s="75" t="s">
        <v>634</v>
      </c>
      <c r="K93" s="74"/>
      <c r="L93" s="82">
        <v>2.02461</v>
      </c>
      <c r="M93" s="138">
        <v>2.02461</v>
      </c>
      <c r="N93" s="138">
        <v>2.02461</v>
      </c>
      <c r="O93" s="138">
        <v>2.02461</v>
      </c>
      <c r="P93" s="138">
        <v>2.02461</v>
      </c>
      <c r="Q93" s="138">
        <v>2.02461</v>
      </c>
      <c r="R93" s="138">
        <v>2.02461</v>
      </c>
      <c r="S93" s="138">
        <v>2.02461</v>
      </c>
      <c r="T93" s="138">
        <v>2.02461</v>
      </c>
      <c r="U93" s="138">
        <v>2.02461</v>
      </c>
      <c r="V93" s="138">
        <v>2.02461</v>
      </c>
      <c r="W93" s="138">
        <v>2.02461</v>
      </c>
      <c r="X93" s="138">
        <v>2.02461</v>
      </c>
      <c r="Y93" s="138">
        <f t="shared" si="78"/>
        <v>2.02461</v>
      </c>
      <c r="Z93" s="138">
        <f t="shared" si="79"/>
        <v>2.02461</v>
      </c>
      <c r="AA93" s="138">
        <f t="shared" si="80"/>
        <v>2.02461</v>
      </c>
      <c r="AB93" s="138">
        <f t="shared" si="81"/>
        <v>2.02461</v>
      </c>
      <c r="AC93" s="138">
        <f t="shared" si="82"/>
        <v>2.02461</v>
      </c>
      <c r="AD93" s="138">
        <f t="shared" si="83"/>
        <v>2.02461</v>
      </c>
      <c r="AE93" s="138">
        <f t="shared" si="84"/>
        <v>2.02461</v>
      </c>
      <c r="AF93" s="138">
        <f t="shared" si="85"/>
        <v>2.02461</v>
      </c>
      <c r="AG93" s="138">
        <f t="shared" si="86"/>
        <v>2.02461</v>
      </c>
      <c r="AH93" s="138">
        <f t="shared" si="87"/>
        <v>2.02461</v>
      </c>
      <c r="AI93" s="138">
        <f t="shared" si="88"/>
        <v>2.02461</v>
      </c>
      <c r="AJ93" s="138">
        <f t="shared" si="89"/>
        <v>2.02461</v>
      </c>
      <c r="AK93" s="138">
        <f t="shared" si="90"/>
        <v>2.02461</v>
      </c>
      <c r="AL93" s="138">
        <f t="shared" si="91"/>
        <v>2.0246099999999996</v>
      </c>
      <c r="AM93" s="138">
        <f t="shared" si="92"/>
        <v>2.0246100000000005</v>
      </c>
      <c r="AO93" s="77" t="str">
        <f t="shared" si="49"/>
        <v>GDS-5 (Seasonal)</v>
      </c>
      <c r="AP93" s="78" t="s">
        <v>676</v>
      </c>
      <c r="AQ93" s="77" t="str">
        <f t="shared" si="50"/>
        <v>Demand Charge &lt; 60 psig MAOP (Rider S) Winter Demand</v>
      </c>
      <c r="AR93" s="78" t="str">
        <f t="shared" si="51"/>
        <v>Billing Cycle</v>
      </c>
      <c r="AS93" s="79">
        <f t="shared" si="52"/>
        <v>6</v>
      </c>
      <c r="AT93" s="78">
        <f t="shared" si="53"/>
        <v>2</v>
      </c>
      <c r="AU93" s="78">
        <f t="shared" si="54"/>
        <v>2.02461</v>
      </c>
      <c r="AV93" s="78">
        <f t="shared" si="55"/>
        <v>2.02461</v>
      </c>
      <c r="AW93" s="78">
        <f t="shared" si="56"/>
        <v>2.02461</v>
      </c>
      <c r="AX93" s="78">
        <f t="shared" si="57"/>
        <v>2.02461</v>
      </c>
      <c r="AY93" s="78">
        <f t="shared" si="58"/>
        <v>2.02461</v>
      </c>
      <c r="AZ93" s="78">
        <f t="shared" si="59"/>
        <v>2.02461</v>
      </c>
      <c r="BA93" s="78">
        <f t="shared" si="60"/>
        <v>2.02461</v>
      </c>
      <c r="BB93" s="78">
        <f t="shared" si="61"/>
        <v>2.02461</v>
      </c>
      <c r="BC93" s="78">
        <f t="shared" si="62"/>
        <v>2.02461</v>
      </c>
      <c r="BD93" s="78">
        <f t="shared" si="63"/>
        <v>2.02461</v>
      </c>
      <c r="BE93" s="78">
        <f t="shared" si="64"/>
        <v>2.02461</v>
      </c>
      <c r="BF93" s="78">
        <f t="shared" si="65"/>
        <v>2.02461</v>
      </c>
      <c r="BG93" s="78">
        <f t="shared" si="66"/>
        <v>2.02461</v>
      </c>
      <c r="BH93" s="78">
        <f t="shared" si="67"/>
        <v>2.02461</v>
      </c>
      <c r="BI93" s="78">
        <f t="shared" si="68"/>
        <v>2.02461</v>
      </c>
      <c r="BJ93" s="78">
        <f t="shared" si="69"/>
        <v>2.02461</v>
      </c>
      <c r="BK93" s="78">
        <f t="shared" si="70"/>
        <v>2.02461</v>
      </c>
      <c r="BL93" s="78">
        <f t="shared" si="71"/>
        <v>2.02461</v>
      </c>
      <c r="BM93" s="78">
        <f t="shared" si="72"/>
        <v>2.02461</v>
      </c>
      <c r="BN93" s="78">
        <f t="shared" si="73"/>
        <v>2.02461</v>
      </c>
      <c r="BO93" s="78">
        <f t="shared" si="74"/>
        <v>2.02461</v>
      </c>
      <c r="BP93" s="78">
        <f t="shared" si="75"/>
        <v>2.02461</v>
      </c>
      <c r="BQ93" s="78">
        <f t="shared" si="76"/>
        <v>2.02461</v>
      </c>
      <c r="BR93" s="78">
        <f t="shared" si="77"/>
        <v>2.02461</v>
      </c>
      <c r="BS93" s="77"/>
      <c r="BT93" s="77"/>
    </row>
    <row r="94" spans="1:72" ht="14.1" customHeight="1" x14ac:dyDescent="0.2">
      <c r="A94" s="55" t="str">
        <f t="shared" si="48"/>
        <v>GDS-4 (Large General Delivery)_Demand Charge &lt; 60 psig MAOP (Rider T)</v>
      </c>
      <c r="B94" s="80" t="s">
        <v>673</v>
      </c>
      <c r="C94" s="83" t="s">
        <v>719</v>
      </c>
      <c r="D94" s="150"/>
      <c r="E94" s="81"/>
      <c r="F94" s="73" t="s">
        <v>649</v>
      </c>
      <c r="G94" s="73">
        <v>0</v>
      </c>
      <c r="H94" s="73">
        <v>6</v>
      </c>
      <c r="I94" s="74" t="s">
        <v>641</v>
      </c>
      <c r="J94" s="75" t="s">
        <v>634</v>
      </c>
      <c r="K94" s="74"/>
      <c r="L94" s="82">
        <v>1.96756</v>
      </c>
      <c r="M94" s="138">
        <v>1.96756</v>
      </c>
      <c r="N94" s="138">
        <v>1.96756</v>
      </c>
      <c r="O94" s="138">
        <v>1.96756</v>
      </c>
      <c r="P94" s="138">
        <v>1.96756</v>
      </c>
      <c r="Q94" s="138">
        <v>1.96756</v>
      </c>
      <c r="R94" s="138">
        <v>1.96756</v>
      </c>
      <c r="S94" s="138">
        <v>1.96756</v>
      </c>
      <c r="T94" s="138">
        <v>1.96756</v>
      </c>
      <c r="U94" s="138">
        <v>1.96756</v>
      </c>
      <c r="V94" s="138">
        <v>1.96756</v>
      </c>
      <c r="W94" s="138">
        <v>1.96756</v>
      </c>
      <c r="X94" s="138">
        <v>1.96756</v>
      </c>
      <c r="Y94" s="138">
        <f t="shared" si="78"/>
        <v>1.96756</v>
      </c>
      <c r="Z94" s="138">
        <f t="shared" si="79"/>
        <v>1.96756</v>
      </c>
      <c r="AA94" s="138">
        <f t="shared" si="80"/>
        <v>1.96756</v>
      </c>
      <c r="AB94" s="138">
        <f t="shared" si="81"/>
        <v>1.96756</v>
      </c>
      <c r="AC94" s="138">
        <f t="shared" si="82"/>
        <v>1.96756</v>
      </c>
      <c r="AD94" s="138">
        <f t="shared" si="83"/>
        <v>1.96756</v>
      </c>
      <c r="AE94" s="138">
        <f t="shared" si="84"/>
        <v>1.96756</v>
      </c>
      <c r="AF94" s="138">
        <f t="shared" si="85"/>
        <v>1.96756</v>
      </c>
      <c r="AG94" s="138">
        <f t="shared" si="86"/>
        <v>1.96756</v>
      </c>
      <c r="AH94" s="138">
        <f t="shared" si="87"/>
        <v>1.96756</v>
      </c>
      <c r="AI94" s="138">
        <f t="shared" si="88"/>
        <v>1.96756</v>
      </c>
      <c r="AJ94" s="138">
        <f t="shared" si="89"/>
        <v>1.96756</v>
      </c>
      <c r="AK94" s="138">
        <f t="shared" si="90"/>
        <v>1.96756</v>
      </c>
      <c r="AL94" s="138">
        <f t="shared" si="91"/>
        <v>1.9675599999999998</v>
      </c>
      <c r="AM94" s="138">
        <f t="shared" si="92"/>
        <v>1.9675599999999995</v>
      </c>
      <c r="AO94" s="77" t="str">
        <f t="shared" si="49"/>
        <v>GDS-4 (Large General Delivery)</v>
      </c>
      <c r="AP94" s="78" t="s">
        <v>674</v>
      </c>
      <c r="AQ94" s="77" t="str">
        <f t="shared" si="50"/>
        <v>Demand Charge &lt; 60 psig MAOP (Rider T)</v>
      </c>
      <c r="AR94" s="78" t="str">
        <f t="shared" si="51"/>
        <v>Billing Cycle</v>
      </c>
      <c r="AS94" s="79">
        <f t="shared" si="52"/>
        <v>6</v>
      </c>
      <c r="AT94" s="78">
        <f t="shared" si="53"/>
        <v>2</v>
      </c>
      <c r="AU94" s="78">
        <f t="shared" si="54"/>
        <v>1.96756</v>
      </c>
      <c r="AV94" s="78">
        <f t="shared" si="55"/>
        <v>1.96756</v>
      </c>
      <c r="AW94" s="78">
        <f t="shared" si="56"/>
        <v>1.96756</v>
      </c>
      <c r="AX94" s="78">
        <f t="shared" si="57"/>
        <v>1.96756</v>
      </c>
      <c r="AY94" s="78">
        <f t="shared" si="58"/>
        <v>1.96756</v>
      </c>
      <c r="AZ94" s="78">
        <f t="shared" si="59"/>
        <v>1.96756</v>
      </c>
      <c r="BA94" s="78">
        <f t="shared" si="60"/>
        <v>1.96756</v>
      </c>
      <c r="BB94" s="78">
        <f t="shared" si="61"/>
        <v>1.96756</v>
      </c>
      <c r="BC94" s="78">
        <f t="shared" si="62"/>
        <v>1.96756</v>
      </c>
      <c r="BD94" s="78">
        <f t="shared" si="63"/>
        <v>1.96756</v>
      </c>
      <c r="BE94" s="78">
        <f t="shared" si="64"/>
        <v>1.96756</v>
      </c>
      <c r="BF94" s="78">
        <f t="shared" si="65"/>
        <v>1.96756</v>
      </c>
      <c r="BG94" s="78">
        <f t="shared" si="66"/>
        <v>1.96756</v>
      </c>
      <c r="BH94" s="78">
        <f t="shared" si="67"/>
        <v>1.96756</v>
      </c>
      <c r="BI94" s="78">
        <f t="shared" si="68"/>
        <v>1.96756</v>
      </c>
      <c r="BJ94" s="78">
        <f t="shared" si="69"/>
        <v>1.96756</v>
      </c>
      <c r="BK94" s="78">
        <f t="shared" si="70"/>
        <v>1.96756</v>
      </c>
      <c r="BL94" s="78">
        <f t="shared" si="71"/>
        <v>1.96756</v>
      </c>
      <c r="BM94" s="78">
        <f t="shared" si="72"/>
        <v>1.96756</v>
      </c>
      <c r="BN94" s="78">
        <f t="shared" si="73"/>
        <v>1.96756</v>
      </c>
      <c r="BO94" s="78">
        <f t="shared" si="74"/>
        <v>1.96756</v>
      </c>
      <c r="BP94" s="78">
        <f t="shared" si="75"/>
        <v>1.96756</v>
      </c>
      <c r="BQ94" s="78">
        <f t="shared" si="76"/>
        <v>1.96756</v>
      </c>
      <c r="BR94" s="78">
        <f t="shared" si="77"/>
        <v>1.96756</v>
      </c>
      <c r="BS94" s="77"/>
      <c r="BT94" s="77"/>
    </row>
    <row r="95" spans="1:72" ht="14.1" customHeight="1" x14ac:dyDescent="0.2">
      <c r="A95" s="55" t="str">
        <f t="shared" si="48"/>
        <v>GDS-5 (Seasonal)_Demand Charge &lt; 60 psig MAOP (Rider T)</v>
      </c>
      <c r="B95" s="80" t="s">
        <v>675</v>
      </c>
      <c r="C95" s="83" t="s">
        <v>719</v>
      </c>
      <c r="D95" s="150"/>
      <c r="E95" s="81"/>
      <c r="F95" s="73" t="s">
        <v>649</v>
      </c>
      <c r="G95" s="73">
        <v>0</v>
      </c>
      <c r="H95" s="73">
        <v>6</v>
      </c>
      <c r="I95" s="74" t="s">
        <v>641</v>
      </c>
      <c r="J95" s="75" t="s">
        <v>634</v>
      </c>
      <c r="K95" s="74"/>
      <c r="L95" s="82">
        <v>1.96756</v>
      </c>
      <c r="M95" s="138">
        <v>1.96756</v>
      </c>
      <c r="N95" s="138">
        <v>1.96756</v>
      </c>
      <c r="O95" s="138">
        <v>1.96756</v>
      </c>
      <c r="P95" s="138">
        <v>1.96756</v>
      </c>
      <c r="Q95" s="138">
        <v>1.96756</v>
      </c>
      <c r="R95" s="138">
        <v>1.96756</v>
      </c>
      <c r="S95" s="138">
        <v>1.96756</v>
      </c>
      <c r="T95" s="138">
        <v>1.96756</v>
      </c>
      <c r="U95" s="138">
        <v>1.96756</v>
      </c>
      <c r="V95" s="138">
        <v>1.96756</v>
      </c>
      <c r="W95" s="138">
        <v>1.96756</v>
      </c>
      <c r="X95" s="138">
        <v>1.96756</v>
      </c>
      <c r="Y95" s="138">
        <f t="shared" si="78"/>
        <v>1.96756</v>
      </c>
      <c r="Z95" s="138">
        <f t="shared" si="79"/>
        <v>1.96756</v>
      </c>
      <c r="AA95" s="138">
        <f t="shared" si="80"/>
        <v>1.96756</v>
      </c>
      <c r="AB95" s="138">
        <f t="shared" si="81"/>
        <v>1.96756</v>
      </c>
      <c r="AC95" s="138">
        <f t="shared" si="82"/>
        <v>1.96756</v>
      </c>
      <c r="AD95" s="138">
        <f t="shared" si="83"/>
        <v>1.96756</v>
      </c>
      <c r="AE95" s="138">
        <f t="shared" si="84"/>
        <v>1.96756</v>
      </c>
      <c r="AF95" s="138">
        <f t="shared" si="85"/>
        <v>1.96756</v>
      </c>
      <c r="AG95" s="138">
        <f t="shared" si="86"/>
        <v>1.96756</v>
      </c>
      <c r="AH95" s="138">
        <f t="shared" si="87"/>
        <v>1.96756</v>
      </c>
      <c r="AI95" s="138">
        <f t="shared" si="88"/>
        <v>1.96756</v>
      </c>
      <c r="AJ95" s="138">
        <f t="shared" si="89"/>
        <v>1.96756</v>
      </c>
      <c r="AK95" s="138">
        <f t="shared" si="90"/>
        <v>1.96756</v>
      </c>
      <c r="AL95" s="138">
        <f t="shared" si="91"/>
        <v>1.9675599999999998</v>
      </c>
      <c r="AM95" s="138">
        <f t="shared" si="92"/>
        <v>1.9675599999999995</v>
      </c>
      <c r="AO95" s="77" t="str">
        <f t="shared" si="49"/>
        <v>GDS-5 (Seasonal)</v>
      </c>
      <c r="AP95" s="78" t="s">
        <v>676</v>
      </c>
      <c r="AQ95" s="77" t="str">
        <f t="shared" si="50"/>
        <v>Demand Charge &lt; 60 psig MAOP (Rider T)</v>
      </c>
      <c r="AR95" s="78" t="str">
        <f t="shared" si="51"/>
        <v>Billing Cycle</v>
      </c>
      <c r="AS95" s="79">
        <f t="shared" si="52"/>
        <v>6</v>
      </c>
      <c r="AT95" s="78">
        <f t="shared" si="53"/>
        <v>2</v>
      </c>
      <c r="AU95" s="78">
        <f t="shared" si="54"/>
        <v>1.96756</v>
      </c>
      <c r="AV95" s="78">
        <f t="shared" si="55"/>
        <v>1.96756</v>
      </c>
      <c r="AW95" s="78">
        <f t="shared" si="56"/>
        <v>1.96756</v>
      </c>
      <c r="AX95" s="78">
        <f t="shared" si="57"/>
        <v>1.96756</v>
      </c>
      <c r="AY95" s="78">
        <f t="shared" si="58"/>
        <v>1.96756</v>
      </c>
      <c r="AZ95" s="78">
        <f t="shared" si="59"/>
        <v>1.96756</v>
      </c>
      <c r="BA95" s="78">
        <f t="shared" si="60"/>
        <v>1.96756</v>
      </c>
      <c r="BB95" s="78">
        <f t="shared" si="61"/>
        <v>1.96756</v>
      </c>
      <c r="BC95" s="78">
        <f t="shared" si="62"/>
        <v>1.96756</v>
      </c>
      <c r="BD95" s="78">
        <f t="shared" si="63"/>
        <v>1.96756</v>
      </c>
      <c r="BE95" s="78">
        <f t="shared" si="64"/>
        <v>1.96756</v>
      </c>
      <c r="BF95" s="78">
        <f t="shared" si="65"/>
        <v>1.96756</v>
      </c>
      <c r="BG95" s="78">
        <f t="shared" si="66"/>
        <v>1.96756</v>
      </c>
      <c r="BH95" s="78">
        <f t="shared" si="67"/>
        <v>1.96756</v>
      </c>
      <c r="BI95" s="78">
        <f t="shared" si="68"/>
        <v>1.96756</v>
      </c>
      <c r="BJ95" s="78">
        <f t="shared" si="69"/>
        <v>1.96756</v>
      </c>
      <c r="BK95" s="78">
        <f t="shared" si="70"/>
        <v>1.96756</v>
      </c>
      <c r="BL95" s="78">
        <f t="shared" si="71"/>
        <v>1.96756</v>
      </c>
      <c r="BM95" s="78">
        <f t="shared" si="72"/>
        <v>1.96756</v>
      </c>
      <c r="BN95" s="78">
        <f t="shared" si="73"/>
        <v>1.96756</v>
      </c>
      <c r="BO95" s="78">
        <f t="shared" si="74"/>
        <v>1.96756</v>
      </c>
      <c r="BP95" s="78">
        <f t="shared" si="75"/>
        <v>1.96756</v>
      </c>
      <c r="BQ95" s="78">
        <f t="shared" si="76"/>
        <v>1.96756</v>
      </c>
      <c r="BR95" s="78">
        <f t="shared" si="77"/>
        <v>1.96756</v>
      </c>
      <c r="BS95" s="77"/>
      <c r="BT95" s="77"/>
    </row>
    <row r="96" spans="1:72" ht="14.1" customHeight="1" x14ac:dyDescent="0.2">
      <c r="A96" s="55" t="str">
        <f t="shared" si="48"/>
        <v>GDS-4 (Large General Delivery)_Demand Charge &gt; 60 psig MAOP (Rider S)</v>
      </c>
      <c r="B96" s="80" t="s">
        <v>673</v>
      </c>
      <c r="C96" s="83" t="s">
        <v>720</v>
      </c>
      <c r="D96" s="150"/>
      <c r="E96" s="81"/>
      <c r="F96" s="73" t="s">
        <v>649</v>
      </c>
      <c r="G96" s="73">
        <v>0</v>
      </c>
      <c r="H96" s="73">
        <v>6</v>
      </c>
      <c r="I96" s="74" t="s">
        <v>641</v>
      </c>
      <c r="J96" s="75" t="s">
        <v>634</v>
      </c>
      <c r="K96" s="74"/>
      <c r="L96" s="82">
        <v>0.72270999999999996</v>
      </c>
      <c r="M96" s="138">
        <v>0.72270999999999996</v>
      </c>
      <c r="N96" s="138">
        <v>0.72270999999999996</v>
      </c>
      <c r="O96" s="138">
        <v>0.72270999999999996</v>
      </c>
      <c r="P96" s="138">
        <v>0.72270999999999996</v>
      </c>
      <c r="Q96" s="138">
        <v>0.72270999999999996</v>
      </c>
      <c r="R96" s="138">
        <v>0.72270999999999996</v>
      </c>
      <c r="S96" s="138">
        <v>0.72270999999999996</v>
      </c>
      <c r="T96" s="138">
        <v>0.72270999999999996</v>
      </c>
      <c r="U96" s="138">
        <v>0.72270999999999996</v>
      </c>
      <c r="V96" s="138">
        <v>0.72270999999999996</v>
      </c>
      <c r="W96" s="138">
        <v>0.72270999999999996</v>
      </c>
      <c r="X96" s="138">
        <v>0.72270999999999996</v>
      </c>
      <c r="Y96" s="138">
        <f t="shared" si="78"/>
        <v>0.72270999999999996</v>
      </c>
      <c r="Z96" s="138">
        <f t="shared" si="79"/>
        <v>0.72270999999999996</v>
      </c>
      <c r="AA96" s="138">
        <f t="shared" si="80"/>
        <v>0.72270999999999996</v>
      </c>
      <c r="AB96" s="138">
        <f t="shared" si="81"/>
        <v>0.72270999999999996</v>
      </c>
      <c r="AC96" s="138">
        <f t="shared" si="82"/>
        <v>0.72270999999999996</v>
      </c>
      <c r="AD96" s="138">
        <f t="shared" si="83"/>
        <v>0.72270999999999996</v>
      </c>
      <c r="AE96" s="138">
        <f t="shared" si="84"/>
        <v>0.72270999999999996</v>
      </c>
      <c r="AF96" s="138">
        <f t="shared" si="85"/>
        <v>0.72270999999999996</v>
      </c>
      <c r="AG96" s="138">
        <f t="shared" si="86"/>
        <v>0.72270999999999996</v>
      </c>
      <c r="AH96" s="138">
        <f t="shared" si="87"/>
        <v>0.72270999999999996</v>
      </c>
      <c r="AI96" s="138">
        <f t="shared" si="88"/>
        <v>0.72270999999999996</v>
      </c>
      <c r="AJ96" s="138">
        <f t="shared" si="89"/>
        <v>0.72270999999999996</v>
      </c>
      <c r="AK96" s="138">
        <f t="shared" si="90"/>
        <v>0.72270999999999996</v>
      </c>
      <c r="AL96" s="138">
        <f t="shared" si="91"/>
        <v>0.72271000000000007</v>
      </c>
      <c r="AM96" s="138">
        <f t="shared" si="92"/>
        <v>0.72270999999999974</v>
      </c>
      <c r="AO96" s="77" t="str">
        <f t="shared" si="49"/>
        <v>GDS-4 (Large General Delivery)</v>
      </c>
      <c r="AP96" s="78" t="s">
        <v>674</v>
      </c>
      <c r="AQ96" s="77" t="str">
        <f t="shared" si="50"/>
        <v>Demand Charge &gt; 60 psig MAOP (Rider S)</v>
      </c>
      <c r="AR96" s="78" t="str">
        <f t="shared" si="51"/>
        <v>Billing Cycle</v>
      </c>
      <c r="AS96" s="79">
        <f t="shared" si="52"/>
        <v>6</v>
      </c>
      <c r="AT96" s="78">
        <f t="shared" si="53"/>
        <v>1</v>
      </c>
      <c r="AU96" s="78">
        <f t="shared" si="54"/>
        <v>0.72270999999999996</v>
      </c>
      <c r="AV96" s="78">
        <f t="shared" si="55"/>
        <v>0.72270999999999996</v>
      </c>
      <c r="AW96" s="78">
        <f t="shared" si="56"/>
        <v>0.72270999999999996</v>
      </c>
      <c r="AX96" s="78">
        <f t="shared" si="57"/>
        <v>0.72270999999999996</v>
      </c>
      <c r="AY96" s="78">
        <f t="shared" si="58"/>
        <v>0.72270999999999996</v>
      </c>
      <c r="AZ96" s="78">
        <f t="shared" si="59"/>
        <v>0.72270999999999996</v>
      </c>
      <c r="BA96" s="78">
        <f t="shared" si="60"/>
        <v>0.72270999999999996</v>
      </c>
      <c r="BB96" s="78">
        <f t="shared" si="61"/>
        <v>0.72270999999999996</v>
      </c>
      <c r="BC96" s="78">
        <f t="shared" si="62"/>
        <v>0.72270999999999996</v>
      </c>
      <c r="BD96" s="78">
        <f t="shared" si="63"/>
        <v>0.72270999999999996</v>
      </c>
      <c r="BE96" s="78">
        <f t="shared" si="64"/>
        <v>0.72270999999999996</v>
      </c>
      <c r="BF96" s="78">
        <f t="shared" si="65"/>
        <v>0.72270999999999996</v>
      </c>
      <c r="BG96" s="78">
        <f t="shared" si="66"/>
        <v>0.72270999999999996</v>
      </c>
      <c r="BH96" s="78">
        <f t="shared" si="67"/>
        <v>0.72270999999999996</v>
      </c>
      <c r="BI96" s="78">
        <f t="shared" si="68"/>
        <v>0.72270999999999996</v>
      </c>
      <c r="BJ96" s="78">
        <f t="shared" si="69"/>
        <v>0.72270999999999996</v>
      </c>
      <c r="BK96" s="78">
        <f t="shared" si="70"/>
        <v>0.72270999999999996</v>
      </c>
      <c r="BL96" s="78">
        <f t="shared" si="71"/>
        <v>0.72270999999999996</v>
      </c>
      <c r="BM96" s="78">
        <f t="shared" si="72"/>
        <v>0.72270999999999996</v>
      </c>
      <c r="BN96" s="78">
        <f t="shared" si="73"/>
        <v>0.72270999999999996</v>
      </c>
      <c r="BO96" s="78">
        <f t="shared" si="74"/>
        <v>0.72270999999999996</v>
      </c>
      <c r="BP96" s="78">
        <f t="shared" si="75"/>
        <v>0.72270999999999996</v>
      </c>
      <c r="BQ96" s="78">
        <f t="shared" si="76"/>
        <v>0.72270999999999996</v>
      </c>
      <c r="BR96" s="78">
        <f t="shared" si="77"/>
        <v>0.72270999999999996</v>
      </c>
      <c r="BS96" s="77"/>
      <c r="BT96" s="77"/>
    </row>
    <row r="97" spans="1:72" ht="14.1" customHeight="1" x14ac:dyDescent="0.2">
      <c r="A97" s="55" t="str">
        <f t="shared" si="48"/>
        <v>GDS-5 (Seasonal)_Demand Charge &gt; 60 psig MAOP (Rider S) Winter Demand</v>
      </c>
      <c r="B97" s="80" t="s">
        <v>675</v>
      </c>
      <c r="C97" s="83" t="s">
        <v>721</v>
      </c>
      <c r="D97" s="150"/>
      <c r="E97" s="81"/>
      <c r="F97" s="73" t="s">
        <v>649</v>
      </c>
      <c r="G97" s="73">
        <v>0</v>
      </c>
      <c r="H97" s="73">
        <v>6</v>
      </c>
      <c r="I97" s="74" t="s">
        <v>641</v>
      </c>
      <c r="J97" s="75" t="s">
        <v>634</v>
      </c>
      <c r="K97" s="74"/>
      <c r="L97" s="82">
        <v>0.72270999999999996</v>
      </c>
      <c r="M97" s="138">
        <v>0.72270999999999996</v>
      </c>
      <c r="N97" s="138">
        <v>0.72270999999999996</v>
      </c>
      <c r="O97" s="138">
        <v>0.72270999999999996</v>
      </c>
      <c r="P97" s="138">
        <v>0.72270999999999996</v>
      </c>
      <c r="Q97" s="138">
        <v>0.72270999999999996</v>
      </c>
      <c r="R97" s="138">
        <v>0.72270999999999996</v>
      </c>
      <c r="S97" s="138">
        <v>0.72270999999999996</v>
      </c>
      <c r="T97" s="138">
        <v>0.72270999999999996</v>
      </c>
      <c r="U97" s="138">
        <v>0.72270999999999996</v>
      </c>
      <c r="V97" s="138">
        <v>0.72270999999999996</v>
      </c>
      <c r="W97" s="138">
        <v>0.72270999999999996</v>
      </c>
      <c r="X97" s="138">
        <v>0.72270999999999996</v>
      </c>
      <c r="Y97" s="138">
        <f t="shared" si="78"/>
        <v>0.72270999999999996</v>
      </c>
      <c r="Z97" s="138">
        <f t="shared" si="79"/>
        <v>0.72270999999999996</v>
      </c>
      <c r="AA97" s="138">
        <f t="shared" si="80"/>
        <v>0.72270999999999996</v>
      </c>
      <c r="AB97" s="138">
        <f t="shared" si="81"/>
        <v>0.72270999999999996</v>
      </c>
      <c r="AC97" s="138">
        <f t="shared" si="82"/>
        <v>0.72270999999999996</v>
      </c>
      <c r="AD97" s="138">
        <f t="shared" si="83"/>
        <v>0.72270999999999996</v>
      </c>
      <c r="AE97" s="138">
        <f t="shared" si="84"/>
        <v>0.72270999999999996</v>
      </c>
      <c r="AF97" s="138">
        <f t="shared" si="85"/>
        <v>0.72270999999999996</v>
      </c>
      <c r="AG97" s="138">
        <f t="shared" si="86"/>
        <v>0.72270999999999996</v>
      </c>
      <c r="AH97" s="138">
        <f t="shared" si="87"/>
        <v>0.72270999999999996</v>
      </c>
      <c r="AI97" s="138">
        <f t="shared" si="88"/>
        <v>0.72270999999999996</v>
      </c>
      <c r="AJ97" s="138">
        <f t="shared" si="89"/>
        <v>0.72270999999999996</v>
      </c>
      <c r="AK97" s="138">
        <f t="shared" si="90"/>
        <v>0.72270999999999996</v>
      </c>
      <c r="AL97" s="138">
        <f t="shared" si="91"/>
        <v>0.72271000000000007</v>
      </c>
      <c r="AM97" s="138">
        <f t="shared" si="92"/>
        <v>0.72270999999999974</v>
      </c>
      <c r="AO97" s="77" t="str">
        <f t="shared" si="49"/>
        <v>GDS-5 (Seasonal)</v>
      </c>
      <c r="AP97" s="78" t="s">
        <v>676</v>
      </c>
      <c r="AQ97" s="77" t="str">
        <f t="shared" si="50"/>
        <v>Demand Charge &gt; 60 psig MAOP (Rider S) Winter Demand</v>
      </c>
      <c r="AR97" s="78" t="str">
        <f t="shared" si="51"/>
        <v>Billing Cycle</v>
      </c>
      <c r="AS97" s="79">
        <f t="shared" si="52"/>
        <v>6</v>
      </c>
      <c r="AT97" s="78">
        <f t="shared" si="53"/>
        <v>1</v>
      </c>
      <c r="AU97" s="78">
        <f t="shared" si="54"/>
        <v>0.72270999999999996</v>
      </c>
      <c r="AV97" s="78">
        <f t="shared" si="55"/>
        <v>0.72270999999999996</v>
      </c>
      <c r="AW97" s="78">
        <f t="shared" si="56"/>
        <v>0.72270999999999996</v>
      </c>
      <c r="AX97" s="78">
        <f t="shared" si="57"/>
        <v>0.72270999999999996</v>
      </c>
      <c r="AY97" s="78">
        <f t="shared" si="58"/>
        <v>0.72270999999999996</v>
      </c>
      <c r="AZ97" s="78">
        <f t="shared" si="59"/>
        <v>0.72270999999999996</v>
      </c>
      <c r="BA97" s="78">
        <f t="shared" si="60"/>
        <v>0.72270999999999996</v>
      </c>
      <c r="BB97" s="78">
        <f t="shared" si="61"/>
        <v>0.72270999999999996</v>
      </c>
      <c r="BC97" s="78">
        <f t="shared" si="62"/>
        <v>0.72270999999999996</v>
      </c>
      <c r="BD97" s="78">
        <f t="shared" si="63"/>
        <v>0.72270999999999996</v>
      </c>
      <c r="BE97" s="78">
        <f t="shared" si="64"/>
        <v>0.72270999999999996</v>
      </c>
      <c r="BF97" s="78">
        <f t="shared" si="65"/>
        <v>0.72270999999999996</v>
      </c>
      <c r="BG97" s="78">
        <f t="shared" si="66"/>
        <v>0.72270999999999996</v>
      </c>
      <c r="BH97" s="78">
        <f t="shared" si="67"/>
        <v>0.72270999999999996</v>
      </c>
      <c r="BI97" s="78">
        <f t="shared" si="68"/>
        <v>0.72270999999999996</v>
      </c>
      <c r="BJ97" s="78">
        <f t="shared" si="69"/>
        <v>0.72270999999999996</v>
      </c>
      <c r="BK97" s="78">
        <f t="shared" si="70"/>
        <v>0.72270999999999996</v>
      </c>
      <c r="BL97" s="78">
        <f t="shared" si="71"/>
        <v>0.72270999999999996</v>
      </c>
      <c r="BM97" s="78">
        <f t="shared" si="72"/>
        <v>0.72270999999999996</v>
      </c>
      <c r="BN97" s="78">
        <f t="shared" si="73"/>
        <v>0.72270999999999996</v>
      </c>
      <c r="BO97" s="78">
        <f t="shared" si="74"/>
        <v>0.72270999999999996</v>
      </c>
      <c r="BP97" s="78">
        <f t="shared" si="75"/>
        <v>0.72270999999999996</v>
      </c>
      <c r="BQ97" s="78">
        <f t="shared" si="76"/>
        <v>0.72270999999999996</v>
      </c>
      <c r="BR97" s="78">
        <f t="shared" si="77"/>
        <v>0.72270999999999996</v>
      </c>
      <c r="BS97" s="77"/>
      <c r="BT97" s="77"/>
    </row>
    <row r="98" spans="1:72" ht="14.1" customHeight="1" x14ac:dyDescent="0.2">
      <c r="A98" s="55" t="str">
        <f t="shared" si="48"/>
        <v>GDS-4 (Large General Delivery)_Demand Charge &gt; 60 psig MAOP &lt; 30000 (Rider T) Zone I</v>
      </c>
      <c r="B98" s="80" t="s">
        <v>673</v>
      </c>
      <c r="C98" s="83" t="s">
        <v>722</v>
      </c>
      <c r="D98" s="150"/>
      <c r="E98" s="81"/>
      <c r="F98" s="73" t="s">
        <v>649</v>
      </c>
      <c r="G98" s="73">
        <v>0</v>
      </c>
      <c r="H98" s="73">
        <v>6</v>
      </c>
      <c r="I98" s="74" t="s">
        <v>641</v>
      </c>
      <c r="J98" s="75" t="s">
        <v>634</v>
      </c>
      <c r="K98" s="74"/>
      <c r="L98" s="82">
        <v>0.78976999999999997</v>
      </c>
      <c r="M98" s="138">
        <v>0.78976999999999997</v>
      </c>
      <c r="N98" s="138">
        <v>0.78976999999999997</v>
      </c>
      <c r="O98" s="138">
        <v>0.78976999999999997</v>
      </c>
      <c r="P98" s="138">
        <v>0.78976999999999997</v>
      </c>
      <c r="Q98" s="138">
        <v>0.78976999999999997</v>
      </c>
      <c r="R98" s="138">
        <v>0.78976999999999997</v>
      </c>
      <c r="S98" s="138">
        <v>0.78976999999999997</v>
      </c>
      <c r="T98" s="138">
        <v>0.78976999999999997</v>
      </c>
      <c r="U98" s="138">
        <v>0.78976999999999997</v>
      </c>
      <c r="V98" s="138">
        <v>0.78976999999999997</v>
      </c>
      <c r="W98" s="138">
        <v>0.78976999999999997</v>
      </c>
      <c r="X98" s="138">
        <v>0.78976999999999997</v>
      </c>
      <c r="Y98" s="138">
        <f t="shared" si="78"/>
        <v>0.78976999999999997</v>
      </c>
      <c r="Z98" s="138">
        <f t="shared" si="79"/>
        <v>0.78976999999999997</v>
      </c>
      <c r="AA98" s="138">
        <f t="shared" si="80"/>
        <v>0.78976999999999997</v>
      </c>
      <c r="AB98" s="138">
        <f t="shared" si="81"/>
        <v>0.78976999999999997</v>
      </c>
      <c r="AC98" s="138">
        <f t="shared" si="82"/>
        <v>0.78976999999999997</v>
      </c>
      <c r="AD98" s="138">
        <f t="shared" si="83"/>
        <v>0.78976999999999997</v>
      </c>
      <c r="AE98" s="138">
        <f t="shared" si="84"/>
        <v>0.78976999999999997</v>
      </c>
      <c r="AF98" s="138">
        <f t="shared" si="85"/>
        <v>0.78976999999999997</v>
      </c>
      <c r="AG98" s="138">
        <f t="shared" si="86"/>
        <v>0.78976999999999997</v>
      </c>
      <c r="AH98" s="138">
        <f t="shared" si="87"/>
        <v>0.78976999999999997</v>
      </c>
      <c r="AI98" s="138">
        <f t="shared" si="88"/>
        <v>0.78976999999999997</v>
      </c>
      <c r="AJ98" s="138">
        <f t="shared" si="89"/>
        <v>0.78976999999999997</v>
      </c>
      <c r="AK98" s="138">
        <f t="shared" si="90"/>
        <v>0.78976999999999997</v>
      </c>
      <c r="AL98" s="138">
        <f t="shared" si="91"/>
        <v>0.78976999999999997</v>
      </c>
      <c r="AM98" s="138">
        <f t="shared" si="92"/>
        <v>0.78977000000000031</v>
      </c>
      <c r="AO98" s="77" t="str">
        <f t="shared" si="49"/>
        <v>GDS-4 (Large General Delivery)</v>
      </c>
      <c r="AP98" s="78" t="s">
        <v>674</v>
      </c>
      <c r="AQ98" s="77" t="str">
        <f t="shared" si="50"/>
        <v>Demand Charge &gt; 60 psig MAOP &lt; 30000 (Rider T) Zone I</v>
      </c>
      <c r="AR98" s="78" t="str">
        <f t="shared" si="51"/>
        <v>Billing Cycle</v>
      </c>
      <c r="AS98" s="79">
        <f t="shared" si="52"/>
        <v>6</v>
      </c>
      <c r="AT98" s="78">
        <f t="shared" si="53"/>
        <v>1</v>
      </c>
      <c r="AU98" s="78">
        <f t="shared" si="54"/>
        <v>0.78976999999999997</v>
      </c>
      <c r="AV98" s="78">
        <f t="shared" si="55"/>
        <v>0.78976999999999997</v>
      </c>
      <c r="AW98" s="78">
        <f t="shared" si="56"/>
        <v>0.78976999999999997</v>
      </c>
      <c r="AX98" s="78">
        <f t="shared" si="57"/>
        <v>0.78976999999999997</v>
      </c>
      <c r="AY98" s="78">
        <f t="shared" si="58"/>
        <v>0.78976999999999997</v>
      </c>
      <c r="AZ98" s="78">
        <f t="shared" si="59"/>
        <v>0.78976999999999997</v>
      </c>
      <c r="BA98" s="78">
        <f t="shared" si="60"/>
        <v>0.78976999999999997</v>
      </c>
      <c r="BB98" s="78">
        <f t="shared" si="61"/>
        <v>0.78976999999999997</v>
      </c>
      <c r="BC98" s="78">
        <f t="shared" si="62"/>
        <v>0.78976999999999997</v>
      </c>
      <c r="BD98" s="78">
        <f t="shared" si="63"/>
        <v>0.78976999999999997</v>
      </c>
      <c r="BE98" s="78">
        <f t="shared" si="64"/>
        <v>0.78976999999999997</v>
      </c>
      <c r="BF98" s="78">
        <f t="shared" si="65"/>
        <v>0.78976999999999997</v>
      </c>
      <c r="BG98" s="78">
        <f t="shared" si="66"/>
        <v>0.78976999999999997</v>
      </c>
      <c r="BH98" s="78">
        <f t="shared" si="67"/>
        <v>0.78976999999999997</v>
      </c>
      <c r="BI98" s="78">
        <f t="shared" si="68"/>
        <v>0.78976999999999997</v>
      </c>
      <c r="BJ98" s="78">
        <f t="shared" si="69"/>
        <v>0.78976999999999997</v>
      </c>
      <c r="BK98" s="78">
        <f t="shared" si="70"/>
        <v>0.78976999999999997</v>
      </c>
      <c r="BL98" s="78">
        <f t="shared" si="71"/>
        <v>0.78976999999999997</v>
      </c>
      <c r="BM98" s="78">
        <f t="shared" si="72"/>
        <v>0.78976999999999997</v>
      </c>
      <c r="BN98" s="78">
        <f t="shared" si="73"/>
        <v>0.78976999999999997</v>
      </c>
      <c r="BO98" s="78">
        <f t="shared" si="74"/>
        <v>0.78976999999999997</v>
      </c>
      <c r="BP98" s="78">
        <f t="shared" si="75"/>
        <v>0.78976999999999997</v>
      </c>
      <c r="BQ98" s="78">
        <f t="shared" si="76"/>
        <v>0.78976999999999997</v>
      </c>
      <c r="BR98" s="78">
        <f t="shared" si="77"/>
        <v>0.78976999999999997</v>
      </c>
      <c r="BS98" s="77"/>
      <c r="BT98" s="77"/>
    </row>
    <row r="99" spans="1:72" ht="14.1" customHeight="1" x14ac:dyDescent="0.2">
      <c r="A99" s="55" t="str">
        <f t="shared" si="48"/>
        <v>GDS-5 (Seasonal)_Demand Charge &gt; 60 psig MAOP &lt; 30000 (Rider T) Zone I</v>
      </c>
      <c r="B99" s="80" t="s">
        <v>675</v>
      </c>
      <c r="C99" s="83" t="s">
        <v>722</v>
      </c>
      <c r="D99" s="150"/>
      <c r="E99" s="81"/>
      <c r="F99" s="73" t="s">
        <v>649</v>
      </c>
      <c r="G99" s="73">
        <v>0</v>
      </c>
      <c r="H99" s="73">
        <v>6</v>
      </c>
      <c r="I99" s="74" t="s">
        <v>641</v>
      </c>
      <c r="J99" s="75" t="s">
        <v>634</v>
      </c>
      <c r="K99" s="74"/>
      <c r="L99" s="82">
        <v>0.78976999999999997</v>
      </c>
      <c r="M99" s="138">
        <v>0.78976999999999997</v>
      </c>
      <c r="N99" s="138">
        <v>0.78976999999999997</v>
      </c>
      <c r="O99" s="138">
        <v>0.78976999999999997</v>
      </c>
      <c r="P99" s="138">
        <v>0.78976999999999997</v>
      </c>
      <c r="Q99" s="138">
        <v>0.78976999999999997</v>
      </c>
      <c r="R99" s="138">
        <v>0.78976999999999997</v>
      </c>
      <c r="S99" s="138">
        <v>0.78976999999999997</v>
      </c>
      <c r="T99" s="138">
        <v>0.78976999999999997</v>
      </c>
      <c r="U99" s="138">
        <v>0.78976999999999997</v>
      </c>
      <c r="V99" s="138">
        <v>0.78976999999999997</v>
      </c>
      <c r="W99" s="138">
        <v>0.78976999999999997</v>
      </c>
      <c r="X99" s="138">
        <v>0.78976999999999997</v>
      </c>
      <c r="Y99" s="138">
        <f t="shared" si="78"/>
        <v>0.78976999999999997</v>
      </c>
      <c r="Z99" s="138">
        <f t="shared" si="79"/>
        <v>0.78976999999999997</v>
      </c>
      <c r="AA99" s="138">
        <f t="shared" si="80"/>
        <v>0.78976999999999997</v>
      </c>
      <c r="AB99" s="138">
        <f t="shared" si="81"/>
        <v>0.78976999999999997</v>
      </c>
      <c r="AC99" s="138">
        <f t="shared" si="82"/>
        <v>0.78976999999999997</v>
      </c>
      <c r="AD99" s="138">
        <f t="shared" si="83"/>
        <v>0.78976999999999997</v>
      </c>
      <c r="AE99" s="138">
        <f t="shared" si="84"/>
        <v>0.78976999999999997</v>
      </c>
      <c r="AF99" s="138">
        <f t="shared" si="85"/>
        <v>0.78976999999999997</v>
      </c>
      <c r="AG99" s="138">
        <f t="shared" si="86"/>
        <v>0.78976999999999997</v>
      </c>
      <c r="AH99" s="138">
        <f t="shared" si="87"/>
        <v>0.78976999999999997</v>
      </c>
      <c r="AI99" s="138">
        <f t="shared" si="88"/>
        <v>0.78976999999999997</v>
      </c>
      <c r="AJ99" s="138">
        <f t="shared" si="89"/>
        <v>0.78976999999999997</v>
      </c>
      <c r="AK99" s="138">
        <f t="shared" si="90"/>
        <v>0.78976999999999997</v>
      </c>
      <c r="AL99" s="138">
        <f t="shared" si="91"/>
        <v>0.78976999999999997</v>
      </c>
      <c r="AM99" s="138">
        <f t="shared" si="92"/>
        <v>0.78977000000000031</v>
      </c>
      <c r="AO99" s="77" t="str">
        <f t="shared" si="49"/>
        <v>GDS-5 (Seasonal)</v>
      </c>
      <c r="AP99" s="78" t="s">
        <v>676</v>
      </c>
      <c r="AQ99" s="77" t="str">
        <f t="shared" si="50"/>
        <v>Demand Charge &gt; 60 psig MAOP &lt; 30000 (Rider T) Zone I</v>
      </c>
      <c r="AR99" s="78" t="str">
        <f t="shared" si="51"/>
        <v>Billing Cycle</v>
      </c>
      <c r="AS99" s="79">
        <f t="shared" si="52"/>
        <v>6</v>
      </c>
      <c r="AT99" s="78">
        <f t="shared" si="53"/>
        <v>1</v>
      </c>
      <c r="AU99" s="78">
        <f t="shared" si="54"/>
        <v>0.78976999999999997</v>
      </c>
      <c r="AV99" s="78">
        <f t="shared" si="55"/>
        <v>0.78976999999999997</v>
      </c>
      <c r="AW99" s="78">
        <f t="shared" si="56"/>
        <v>0.78976999999999997</v>
      </c>
      <c r="AX99" s="78">
        <f t="shared" si="57"/>
        <v>0.78976999999999997</v>
      </c>
      <c r="AY99" s="78">
        <f t="shared" si="58"/>
        <v>0.78976999999999997</v>
      </c>
      <c r="AZ99" s="78">
        <f t="shared" si="59"/>
        <v>0.78976999999999997</v>
      </c>
      <c r="BA99" s="78">
        <f t="shared" si="60"/>
        <v>0.78976999999999997</v>
      </c>
      <c r="BB99" s="78">
        <f t="shared" si="61"/>
        <v>0.78976999999999997</v>
      </c>
      <c r="BC99" s="78">
        <f t="shared" si="62"/>
        <v>0.78976999999999997</v>
      </c>
      <c r="BD99" s="78">
        <f t="shared" si="63"/>
        <v>0.78976999999999997</v>
      </c>
      <c r="BE99" s="78">
        <f t="shared" si="64"/>
        <v>0.78976999999999997</v>
      </c>
      <c r="BF99" s="78">
        <f t="shared" si="65"/>
        <v>0.78976999999999997</v>
      </c>
      <c r="BG99" s="78">
        <f t="shared" si="66"/>
        <v>0.78976999999999997</v>
      </c>
      <c r="BH99" s="78">
        <f t="shared" si="67"/>
        <v>0.78976999999999997</v>
      </c>
      <c r="BI99" s="78">
        <f t="shared" si="68"/>
        <v>0.78976999999999997</v>
      </c>
      <c r="BJ99" s="78">
        <f t="shared" si="69"/>
        <v>0.78976999999999997</v>
      </c>
      <c r="BK99" s="78">
        <f t="shared" si="70"/>
        <v>0.78976999999999997</v>
      </c>
      <c r="BL99" s="78">
        <f t="shared" si="71"/>
        <v>0.78976999999999997</v>
      </c>
      <c r="BM99" s="78">
        <f t="shared" si="72"/>
        <v>0.78976999999999997</v>
      </c>
      <c r="BN99" s="78">
        <f t="shared" si="73"/>
        <v>0.78976999999999997</v>
      </c>
      <c r="BO99" s="78">
        <f t="shared" si="74"/>
        <v>0.78976999999999997</v>
      </c>
      <c r="BP99" s="78">
        <f t="shared" si="75"/>
        <v>0.78976999999999997</v>
      </c>
      <c r="BQ99" s="78">
        <f t="shared" si="76"/>
        <v>0.78976999999999997</v>
      </c>
      <c r="BR99" s="78">
        <f t="shared" si="77"/>
        <v>0.78976999999999997</v>
      </c>
      <c r="BS99" s="77"/>
      <c r="BT99" s="77"/>
    </row>
    <row r="100" spans="1:72" ht="14.1" customHeight="1" x14ac:dyDescent="0.2">
      <c r="A100" s="55" t="str">
        <f t="shared" si="48"/>
        <v>GDS-4 (Large General Delivery)_Demand Charge &gt; 60 psig MAOP &lt; 30000 (Rider T) Zone II</v>
      </c>
      <c r="B100" s="80" t="s">
        <v>673</v>
      </c>
      <c r="C100" s="83" t="s">
        <v>723</v>
      </c>
      <c r="D100" s="150"/>
      <c r="E100" s="81"/>
      <c r="F100" s="73" t="s">
        <v>649</v>
      </c>
      <c r="G100" s="73">
        <v>0</v>
      </c>
      <c r="H100" s="73">
        <v>6</v>
      </c>
      <c r="I100" s="74" t="s">
        <v>641</v>
      </c>
      <c r="J100" s="75" t="s">
        <v>634</v>
      </c>
      <c r="K100" s="74"/>
      <c r="L100" s="82">
        <v>0.78976999999999997</v>
      </c>
      <c r="M100" s="138">
        <v>0.78976999999999997</v>
      </c>
      <c r="N100" s="138">
        <v>0.78976999999999997</v>
      </c>
      <c r="O100" s="138">
        <v>0.78976999999999997</v>
      </c>
      <c r="P100" s="138">
        <v>0.78976999999999997</v>
      </c>
      <c r="Q100" s="138">
        <v>0.78976999999999997</v>
      </c>
      <c r="R100" s="138">
        <v>0.78976999999999997</v>
      </c>
      <c r="S100" s="138">
        <v>0.78976999999999997</v>
      </c>
      <c r="T100" s="138">
        <v>0.78976999999999997</v>
      </c>
      <c r="U100" s="138">
        <v>0.78976999999999997</v>
      </c>
      <c r="V100" s="138">
        <v>0.78976999999999997</v>
      </c>
      <c r="W100" s="138">
        <v>0.78976999999999997</v>
      </c>
      <c r="X100" s="138">
        <v>0.78976999999999997</v>
      </c>
      <c r="Y100" s="138">
        <f t="shared" si="78"/>
        <v>0.78976999999999997</v>
      </c>
      <c r="Z100" s="138">
        <f t="shared" si="79"/>
        <v>0.78976999999999997</v>
      </c>
      <c r="AA100" s="138">
        <f t="shared" si="80"/>
        <v>0.78976999999999997</v>
      </c>
      <c r="AB100" s="138">
        <f t="shared" si="81"/>
        <v>0.78976999999999997</v>
      </c>
      <c r="AC100" s="138">
        <f t="shared" si="82"/>
        <v>0.78976999999999997</v>
      </c>
      <c r="AD100" s="138">
        <f t="shared" si="83"/>
        <v>0.78976999999999997</v>
      </c>
      <c r="AE100" s="138">
        <f t="shared" si="84"/>
        <v>0.78976999999999997</v>
      </c>
      <c r="AF100" s="138">
        <f t="shared" si="85"/>
        <v>0.78976999999999997</v>
      </c>
      <c r="AG100" s="138">
        <f t="shared" si="86"/>
        <v>0.78976999999999997</v>
      </c>
      <c r="AH100" s="138">
        <f t="shared" si="87"/>
        <v>0.78976999999999997</v>
      </c>
      <c r="AI100" s="138">
        <f t="shared" si="88"/>
        <v>0.78976999999999997</v>
      </c>
      <c r="AJ100" s="138">
        <f t="shared" si="89"/>
        <v>0.78976999999999997</v>
      </c>
      <c r="AK100" s="138">
        <f t="shared" si="90"/>
        <v>0.78976999999999997</v>
      </c>
      <c r="AL100" s="138">
        <f t="shared" si="91"/>
        <v>0.78976999999999997</v>
      </c>
      <c r="AM100" s="138">
        <f t="shared" si="92"/>
        <v>0.78977000000000031</v>
      </c>
      <c r="AO100" s="77" t="str">
        <f t="shared" si="49"/>
        <v>GDS-4 (Large General Delivery)</v>
      </c>
      <c r="AP100" s="78" t="s">
        <v>674</v>
      </c>
      <c r="AQ100" s="77" t="str">
        <f t="shared" si="50"/>
        <v>Demand Charge &gt; 60 psig MAOP &lt; 30000 (Rider T) Zone II</v>
      </c>
      <c r="AR100" s="78" t="str">
        <f t="shared" si="51"/>
        <v>Billing Cycle</v>
      </c>
      <c r="AS100" s="79">
        <f t="shared" si="52"/>
        <v>6</v>
      </c>
      <c r="AT100" s="78">
        <f t="shared" si="53"/>
        <v>1</v>
      </c>
      <c r="AU100" s="78">
        <f t="shared" si="54"/>
        <v>0.78976999999999997</v>
      </c>
      <c r="AV100" s="78">
        <f t="shared" si="55"/>
        <v>0.78976999999999997</v>
      </c>
      <c r="AW100" s="78">
        <f t="shared" si="56"/>
        <v>0.78976999999999997</v>
      </c>
      <c r="AX100" s="78">
        <f t="shared" si="57"/>
        <v>0.78976999999999997</v>
      </c>
      <c r="AY100" s="78">
        <f t="shared" si="58"/>
        <v>0.78976999999999997</v>
      </c>
      <c r="AZ100" s="78">
        <f t="shared" si="59"/>
        <v>0.78976999999999997</v>
      </c>
      <c r="BA100" s="78">
        <f t="shared" si="60"/>
        <v>0.78976999999999997</v>
      </c>
      <c r="BB100" s="78">
        <f t="shared" si="61"/>
        <v>0.78976999999999997</v>
      </c>
      <c r="BC100" s="78">
        <f t="shared" si="62"/>
        <v>0.78976999999999997</v>
      </c>
      <c r="BD100" s="78">
        <f t="shared" si="63"/>
        <v>0.78976999999999997</v>
      </c>
      <c r="BE100" s="78">
        <f t="shared" si="64"/>
        <v>0.78976999999999997</v>
      </c>
      <c r="BF100" s="78">
        <f t="shared" si="65"/>
        <v>0.78976999999999997</v>
      </c>
      <c r="BG100" s="78">
        <f t="shared" si="66"/>
        <v>0.78976999999999997</v>
      </c>
      <c r="BH100" s="78">
        <f t="shared" si="67"/>
        <v>0.78976999999999997</v>
      </c>
      <c r="BI100" s="78">
        <f t="shared" si="68"/>
        <v>0.78976999999999997</v>
      </c>
      <c r="BJ100" s="78">
        <f t="shared" si="69"/>
        <v>0.78976999999999997</v>
      </c>
      <c r="BK100" s="78">
        <f t="shared" si="70"/>
        <v>0.78976999999999997</v>
      </c>
      <c r="BL100" s="78">
        <f t="shared" si="71"/>
        <v>0.78976999999999997</v>
      </c>
      <c r="BM100" s="78">
        <f t="shared" si="72"/>
        <v>0.78976999999999997</v>
      </c>
      <c r="BN100" s="78">
        <f t="shared" si="73"/>
        <v>0.78976999999999997</v>
      </c>
      <c r="BO100" s="78">
        <f t="shared" si="74"/>
        <v>0.78976999999999997</v>
      </c>
      <c r="BP100" s="78">
        <f t="shared" si="75"/>
        <v>0.78976999999999997</v>
      </c>
      <c r="BQ100" s="78">
        <f t="shared" si="76"/>
        <v>0.78976999999999997</v>
      </c>
      <c r="BR100" s="78">
        <f t="shared" si="77"/>
        <v>0.78976999999999997</v>
      </c>
      <c r="BS100" s="77"/>
      <c r="BT100" s="77"/>
    </row>
    <row r="101" spans="1:72" ht="14.1" customHeight="1" x14ac:dyDescent="0.2">
      <c r="A101" s="55" t="str">
        <f t="shared" si="48"/>
        <v>GDS-5 (Seasonal)_Demand Charge &gt; 60 psig MAOP &lt; 30000 (Rider T) Zone II</v>
      </c>
      <c r="B101" s="80" t="s">
        <v>675</v>
      </c>
      <c r="C101" s="83" t="s">
        <v>723</v>
      </c>
      <c r="D101" s="150"/>
      <c r="E101" s="81"/>
      <c r="F101" s="73" t="s">
        <v>649</v>
      </c>
      <c r="G101" s="73">
        <v>0</v>
      </c>
      <c r="H101" s="73">
        <v>6</v>
      </c>
      <c r="I101" s="74" t="s">
        <v>641</v>
      </c>
      <c r="J101" s="75" t="s">
        <v>634</v>
      </c>
      <c r="K101" s="74"/>
      <c r="L101" s="82">
        <v>0.78976999999999997</v>
      </c>
      <c r="M101" s="138">
        <v>0.78976999999999997</v>
      </c>
      <c r="N101" s="138">
        <v>0.78976999999999997</v>
      </c>
      <c r="O101" s="138">
        <v>0.78976999999999997</v>
      </c>
      <c r="P101" s="138">
        <v>0.78976999999999997</v>
      </c>
      <c r="Q101" s="138">
        <v>0.78976999999999997</v>
      </c>
      <c r="R101" s="138">
        <v>0.78976999999999997</v>
      </c>
      <c r="S101" s="138">
        <v>0.78976999999999997</v>
      </c>
      <c r="T101" s="138">
        <v>0.78976999999999997</v>
      </c>
      <c r="U101" s="138">
        <v>0.78976999999999997</v>
      </c>
      <c r="V101" s="138">
        <v>0.78976999999999997</v>
      </c>
      <c r="W101" s="138">
        <v>0.78976999999999997</v>
      </c>
      <c r="X101" s="138">
        <v>0.78976999999999997</v>
      </c>
      <c r="Y101" s="138">
        <f t="shared" si="78"/>
        <v>0.78976999999999997</v>
      </c>
      <c r="Z101" s="138">
        <f t="shared" si="79"/>
        <v>0.78976999999999997</v>
      </c>
      <c r="AA101" s="138">
        <f t="shared" si="80"/>
        <v>0.78976999999999997</v>
      </c>
      <c r="AB101" s="138">
        <f t="shared" si="81"/>
        <v>0.78976999999999997</v>
      </c>
      <c r="AC101" s="138">
        <f t="shared" si="82"/>
        <v>0.78976999999999997</v>
      </c>
      <c r="AD101" s="138">
        <f t="shared" si="83"/>
        <v>0.78976999999999997</v>
      </c>
      <c r="AE101" s="138">
        <f t="shared" si="84"/>
        <v>0.78976999999999997</v>
      </c>
      <c r="AF101" s="138">
        <f t="shared" si="85"/>
        <v>0.78976999999999997</v>
      </c>
      <c r="AG101" s="138">
        <f t="shared" si="86"/>
        <v>0.78976999999999997</v>
      </c>
      <c r="AH101" s="138">
        <f t="shared" si="87"/>
        <v>0.78976999999999997</v>
      </c>
      <c r="AI101" s="138">
        <f t="shared" si="88"/>
        <v>0.78976999999999997</v>
      </c>
      <c r="AJ101" s="138">
        <f t="shared" si="89"/>
        <v>0.78976999999999997</v>
      </c>
      <c r="AK101" s="138">
        <f t="shared" si="90"/>
        <v>0.78976999999999997</v>
      </c>
      <c r="AL101" s="138">
        <f t="shared" si="91"/>
        <v>0.78976999999999997</v>
      </c>
      <c r="AM101" s="138">
        <f t="shared" si="92"/>
        <v>0.78977000000000031</v>
      </c>
      <c r="AO101" s="77" t="str">
        <f t="shared" si="49"/>
        <v>GDS-5 (Seasonal)</v>
      </c>
      <c r="AP101" s="78" t="s">
        <v>676</v>
      </c>
      <c r="AQ101" s="77" t="str">
        <f t="shared" si="50"/>
        <v>Demand Charge &gt; 60 psig MAOP &lt; 30000 (Rider T) Zone II</v>
      </c>
      <c r="AR101" s="78" t="str">
        <f t="shared" si="51"/>
        <v>Billing Cycle</v>
      </c>
      <c r="AS101" s="79">
        <f t="shared" si="52"/>
        <v>6</v>
      </c>
      <c r="AT101" s="78">
        <f t="shared" si="53"/>
        <v>1</v>
      </c>
      <c r="AU101" s="78">
        <f t="shared" si="54"/>
        <v>0.78976999999999997</v>
      </c>
      <c r="AV101" s="78">
        <f t="shared" si="55"/>
        <v>0.78976999999999997</v>
      </c>
      <c r="AW101" s="78">
        <f t="shared" si="56"/>
        <v>0.78976999999999997</v>
      </c>
      <c r="AX101" s="78">
        <f t="shared" si="57"/>
        <v>0.78976999999999997</v>
      </c>
      <c r="AY101" s="78">
        <f t="shared" si="58"/>
        <v>0.78976999999999997</v>
      </c>
      <c r="AZ101" s="78">
        <f t="shared" si="59"/>
        <v>0.78976999999999997</v>
      </c>
      <c r="BA101" s="78">
        <f t="shared" si="60"/>
        <v>0.78976999999999997</v>
      </c>
      <c r="BB101" s="78">
        <f t="shared" si="61"/>
        <v>0.78976999999999997</v>
      </c>
      <c r="BC101" s="78">
        <f t="shared" si="62"/>
        <v>0.78976999999999997</v>
      </c>
      <c r="BD101" s="78">
        <f t="shared" si="63"/>
        <v>0.78976999999999997</v>
      </c>
      <c r="BE101" s="78">
        <f t="shared" si="64"/>
        <v>0.78976999999999997</v>
      </c>
      <c r="BF101" s="78">
        <f t="shared" si="65"/>
        <v>0.78976999999999997</v>
      </c>
      <c r="BG101" s="78">
        <f t="shared" si="66"/>
        <v>0.78976999999999997</v>
      </c>
      <c r="BH101" s="78">
        <f t="shared" si="67"/>
        <v>0.78976999999999997</v>
      </c>
      <c r="BI101" s="78">
        <f t="shared" si="68"/>
        <v>0.78976999999999997</v>
      </c>
      <c r="BJ101" s="78">
        <f t="shared" si="69"/>
        <v>0.78976999999999997</v>
      </c>
      <c r="BK101" s="78">
        <f t="shared" si="70"/>
        <v>0.78976999999999997</v>
      </c>
      <c r="BL101" s="78">
        <f t="shared" si="71"/>
        <v>0.78976999999999997</v>
      </c>
      <c r="BM101" s="78">
        <f t="shared" si="72"/>
        <v>0.78976999999999997</v>
      </c>
      <c r="BN101" s="78">
        <f t="shared" si="73"/>
        <v>0.78976999999999997</v>
      </c>
      <c r="BO101" s="78">
        <f t="shared" si="74"/>
        <v>0.78976999999999997</v>
      </c>
      <c r="BP101" s="78">
        <f t="shared" si="75"/>
        <v>0.78976999999999997</v>
      </c>
      <c r="BQ101" s="78">
        <f t="shared" si="76"/>
        <v>0.78976999999999997</v>
      </c>
      <c r="BR101" s="78">
        <f t="shared" si="77"/>
        <v>0.78976999999999997</v>
      </c>
      <c r="BS101" s="77"/>
      <c r="BT101" s="77"/>
    </row>
    <row r="102" spans="1:72" ht="14.1" customHeight="1" x14ac:dyDescent="0.2">
      <c r="A102" s="55" t="str">
        <f t="shared" si="48"/>
        <v>GDS-4 (Large General Delivery)_Demand Charge &gt; 60 psig MAOP &lt; 30000 (Rider T) Zone III</v>
      </c>
      <c r="B102" s="80" t="s">
        <v>673</v>
      </c>
      <c r="C102" s="83" t="s">
        <v>724</v>
      </c>
      <c r="D102" s="150"/>
      <c r="E102" s="81"/>
      <c r="F102" s="73" t="s">
        <v>649</v>
      </c>
      <c r="G102" s="73">
        <v>0</v>
      </c>
      <c r="H102" s="73">
        <v>6</v>
      </c>
      <c r="I102" s="74" t="s">
        <v>641</v>
      </c>
      <c r="J102" s="75" t="s">
        <v>634</v>
      </c>
      <c r="K102" s="74"/>
      <c r="L102" s="82">
        <v>0.64332999999999996</v>
      </c>
      <c r="M102" s="138">
        <v>0.64332999999999996</v>
      </c>
      <c r="N102" s="138">
        <v>0.64332999999999996</v>
      </c>
      <c r="O102" s="138">
        <v>0.64332999999999996</v>
      </c>
      <c r="P102" s="138">
        <v>0.64332999999999996</v>
      </c>
      <c r="Q102" s="138">
        <v>0.64332999999999996</v>
      </c>
      <c r="R102" s="138">
        <v>0.64332999999999996</v>
      </c>
      <c r="S102" s="138">
        <v>0.64332999999999996</v>
      </c>
      <c r="T102" s="138">
        <v>0.64332999999999996</v>
      </c>
      <c r="U102" s="138">
        <v>0.64332999999999996</v>
      </c>
      <c r="V102" s="138">
        <v>0.64332999999999996</v>
      </c>
      <c r="W102" s="138">
        <v>0.64332999999999996</v>
      </c>
      <c r="X102" s="138">
        <v>0.64332999999999996</v>
      </c>
      <c r="Y102" s="138">
        <f t="shared" si="78"/>
        <v>0.64332999999999996</v>
      </c>
      <c r="Z102" s="138">
        <f t="shared" si="79"/>
        <v>0.64332999999999996</v>
      </c>
      <c r="AA102" s="138">
        <f t="shared" si="80"/>
        <v>0.64332999999999996</v>
      </c>
      <c r="AB102" s="138">
        <f t="shared" si="81"/>
        <v>0.64332999999999996</v>
      </c>
      <c r="AC102" s="138">
        <f t="shared" si="82"/>
        <v>0.64332999999999996</v>
      </c>
      <c r="AD102" s="138">
        <f t="shared" si="83"/>
        <v>0.64332999999999996</v>
      </c>
      <c r="AE102" s="138">
        <f t="shared" si="84"/>
        <v>0.64332999999999996</v>
      </c>
      <c r="AF102" s="138">
        <f t="shared" si="85"/>
        <v>0.64332999999999996</v>
      </c>
      <c r="AG102" s="138">
        <f t="shared" si="86"/>
        <v>0.64332999999999996</v>
      </c>
      <c r="AH102" s="138">
        <f t="shared" si="87"/>
        <v>0.64332999999999996</v>
      </c>
      <c r="AI102" s="138">
        <f t="shared" si="88"/>
        <v>0.64332999999999996</v>
      </c>
      <c r="AJ102" s="138">
        <f t="shared" si="89"/>
        <v>0.64332999999999996</v>
      </c>
      <c r="AK102" s="138">
        <f t="shared" si="90"/>
        <v>0.64332999999999996</v>
      </c>
      <c r="AL102" s="138">
        <f t="shared" si="91"/>
        <v>0.64332999999999985</v>
      </c>
      <c r="AM102" s="138">
        <f t="shared" si="92"/>
        <v>0.64333000000000018</v>
      </c>
      <c r="AO102" s="77" t="str">
        <f t="shared" si="49"/>
        <v>GDS-4 (Large General Delivery)</v>
      </c>
      <c r="AP102" s="78" t="s">
        <v>674</v>
      </c>
      <c r="AQ102" s="77" t="str">
        <f t="shared" si="50"/>
        <v>Demand Charge &gt; 60 psig MAOP &lt; 30000 (Rider T) Zone III</v>
      </c>
      <c r="AR102" s="78" t="str">
        <f t="shared" si="51"/>
        <v>Billing Cycle</v>
      </c>
      <c r="AS102" s="79">
        <f t="shared" si="52"/>
        <v>6</v>
      </c>
      <c r="AT102" s="78">
        <f t="shared" si="53"/>
        <v>1</v>
      </c>
      <c r="AU102" s="78">
        <f t="shared" si="54"/>
        <v>0.64332999999999996</v>
      </c>
      <c r="AV102" s="78">
        <f t="shared" si="55"/>
        <v>0.64332999999999996</v>
      </c>
      <c r="AW102" s="78">
        <f t="shared" si="56"/>
        <v>0.64332999999999996</v>
      </c>
      <c r="AX102" s="78">
        <f t="shared" si="57"/>
        <v>0.64332999999999996</v>
      </c>
      <c r="AY102" s="78">
        <f t="shared" si="58"/>
        <v>0.64332999999999996</v>
      </c>
      <c r="AZ102" s="78">
        <f t="shared" si="59"/>
        <v>0.64332999999999996</v>
      </c>
      <c r="BA102" s="78">
        <f t="shared" si="60"/>
        <v>0.64332999999999996</v>
      </c>
      <c r="BB102" s="78">
        <f t="shared" si="61"/>
        <v>0.64332999999999996</v>
      </c>
      <c r="BC102" s="78">
        <f t="shared" si="62"/>
        <v>0.64332999999999996</v>
      </c>
      <c r="BD102" s="78">
        <f t="shared" si="63"/>
        <v>0.64332999999999996</v>
      </c>
      <c r="BE102" s="78">
        <f t="shared" si="64"/>
        <v>0.64332999999999996</v>
      </c>
      <c r="BF102" s="78">
        <f t="shared" si="65"/>
        <v>0.64332999999999996</v>
      </c>
      <c r="BG102" s="78">
        <f t="shared" si="66"/>
        <v>0.64332999999999996</v>
      </c>
      <c r="BH102" s="78">
        <f t="shared" si="67"/>
        <v>0.64332999999999996</v>
      </c>
      <c r="BI102" s="78">
        <f t="shared" si="68"/>
        <v>0.64332999999999996</v>
      </c>
      <c r="BJ102" s="78">
        <f t="shared" si="69"/>
        <v>0.64332999999999996</v>
      </c>
      <c r="BK102" s="78">
        <f t="shared" si="70"/>
        <v>0.64332999999999996</v>
      </c>
      <c r="BL102" s="78">
        <f t="shared" si="71"/>
        <v>0.64332999999999996</v>
      </c>
      <c r="BM102" s="78">
        <f t="shared" si="72"/>
        <v>0.64332999999999996</v>
      </c>
      <c r="BN102" s="78">
        <f t="shared" si="73"/>
        <v>0.64332999999999996</v>
      </c>
      <c r="BO102" s="78">
        <f t="shared" si="74"/>
        <v>0.64332999999999996</v>
      </c>
      <c r="BP102" s="78">
        <f t="shared" si="75"/>
        <v>0.64332999999999996</v>
      </c>
      <c r="BQ102" s="78">
        <f t="shared" si="76"/>
        <v>0.64332999999999996</v>
      </c>
      <c r="BR102" s="78">
        <f t="shared" si="77"/>
        <v>0.64332999999999996</v>
      </c>
      <c r="BS102" s="77"/>
      <c r="BT102" s="77"/>
    </row>
    <row r="103" spans="1:72" ht="14.1" customHeight="1" x14ac:dyDescent="0.2">
      <c r="A103" s="55" t="str">
        <f t="shared" si="48"/>
        <v>GDS-5 (Seasonal)_Demand Charge &gt; 60 psig MAOP &lt; 30000 (Rider T) Zone III</v>
      </c>
      <c r="B103" s="80" t="s">
        <v>675</v>
      </c>
      <c r="C103" s="83" t="s">
        <v>724</v>
      </c>
      <c r="D103" s="150"/>
      <c r="E103" s="81"/>
      <c r="F103" s="73" t="s">
        <v>649</v>
      </c>
      <c r="G103" s="73">
        <v>0</v>
      </c>
      <c r="H103" s="73">
        <v>6</v>
      </c>
      <c r="I103" s="74" t="s">
        <v>641</v>
      </c>
      <c r="J103" s="75" t="s">
        <v>634</v>
      </c>
      <c r="K103" s="74"/>
      <c r="L103" s="82">
        <v>0.64332999999999996</v>
      </c>
      <c r="M103" s="138">
        <v>0.64332999999999996</v>
      </c>
      <c r="N103" s="138">
        <v>0.64332999999999996</v>
      </c>
      <c r="O103" s="138">
        <v>0.64332999999999996</v>
      </c>
      <c r="P103" s="138">
        <v>0.64332999999999996</v>
      </c>
      <c r="Q103" s="138">
        <v>0.64332999999999996</v>
      </c>
      <c r="R103" s="138">
        <v>0.64332999999999996</v>
      </c>
      <c r="S103" s="138">
        <v>0.64332999999999996</v>
      </c>
      <c r="T103" s="138">
        <v>0.64332999999999996</v>
      </c>
      <c r="U103" s="138">
        <v>0.64332999999999996</v>
      </c>
      <c r="V103" s="138">
        <v>0.64332999999999996</v>
      </c>
      <c r="W103" s="138">
        <v>0.64332999999999996</v>
      </c>
      <c r="X103" s="138">
        <v>0.64332999999999996</v>
      </c>
      <c r="Y103" s="138">
        <f t="shared" si="78"/>
        <v>0.64332999999999996</v>
      </c>
      <c r="Z103" s="138">
        <f t="shared" si="79"/>
        <v>0.64332999999999996</v>
      </c>
      <c r="AA103" s="138">
        <f t="shared" si="80"/>
        <v>0.64332999999999996</v>
      </c>
      <c r="AB103" s="138">
        <f t="shared" si="81"/>
        <v>0.64332999999999996</v>
      </c>
      <c r="AC103" s="138">
        <f t="shared" si="82"/>
        <v>0.64332999999999996</v>
      </c>
      <c r="AD103" s="138">
        <f t="shared" si="83"/>
        <v>0.64332999999999996</v>
      </c>
      <c r="AE103" s="138">
        <f t="shared" si="84"/>
        <v>0.64332999999999996</v>
      </c>
      <c r="AF103" s="138">
        <f t="shared" si="85"/>
        <v>0.64332999999999996</v>
      </c>
      <c r="AG103" s="138">
        <f t="shared" si="86"/>
        <v>0.64332999999999996</v>
      </c>
      <c r="AH103" s="138">
        <f t="shared" si="87"/>
        <v>0.64332999999999996</v>
      </c>
      <c r="AI103" s="138">
        <f t="shared" si="88"/>
        <v>0.64332999999999996</v>
      </c>
      <c r="AJ103" s="138">
        <f t="shared" si="89"/>
        <v>0.64332999999999996</v>
      </c>
      <c r="AK103" s="138">
        <f t="shared" si="90"/>
        <v>0.64332999999999996</v>
      </c>
      <c r="AL103" s="138">
        <f t="shared" si="91"/>
        <v>0.64332999999999985</v>
      </c>
      <c r="AM103" s="138">
        <f t="shared" si="92"/>
        <v>0.64333000000000018</v>
      </c>
      <c r="AO103" s="77" t="str">
        <f t="shared" si="49"/>
        <v>GDS-5 (Seasonal)</v>
      </c>
      <c r="AP103" s="78" t="s">
        <v>676</v>
      </c>
      <c r="AQ103" s="77" t="str">
        <f t="shared" si="50"/>
        <v>Demand Charge &gt; 60 psig MAOP &lt; 30000 (Rider T) Zone III</v>
      </c>
      <c r="AR103" s="78" t="str">
        <f t="shared" si="51"/>
        <v>Billing Cycle</v>
      </c>
      <c r="AS103" s="79">
        <f t="shared" si="52"/>
        <v>6</v>
      </c>
      <c r="AT103" s="78">
        <f t="shared" si="53"/>
        <v>1</v>
      </c>
      <c r="AU103" s="78">
        <f t="shared" si="54"/>
        <v>0.64332999999999996</v>
      </c>
      <c r="AV103" s="78">
        <f t="shared" si="55"/>
        <v>0.64332999999999996</v>
      </c>
      <c r="AW103" s="78">
        <f t="shared" si="56"/>
        <v>0.64332999999999996</v>
      </c>
      <c r="AX103" s="78">
        <f t="shared" si="57"/>
        <v>0.64332999999999996</v>
      </c>
      <c r="AY103" s="78">
        <f t="shared" si="58"/>
        <v>0.64332999999999996</v>
      </c>
      <c r="AZ103" s="78">
        <f t="shared" si="59"/>
        <v>0.64332999999999996</v>
      </c>
      <c r="BA103" s="78">
        <f t="shared" si="60"/>
        <v>0.64332999999999996</v>
      </c>
      <c r="BB103" s="78">
        <f t="shared" si="61"/>
        <v>0.64332999999999996</v>
      </c>
      <c r="BC103" s="78">
        <f t="shared" si="62"/>
        <v>0.64332999999999996</v>
      </c>
      <c r="BD103" s="78">
        <f t="shared" si="63"/>
        <v>0.64332999999999996</v>
      </c>
      <c r="BE103" s="78">
        <f t="shared" si="64"/>
        <v>0.64332999999999996</v>
      </c>
      <c r="BF103" s="78">
        <f t="shared" si="65"/>
        <v>0.64332999999999996</v>
      </c>
      <c r="BG103" s="78">
        <f t="shared" si="66"/>
        <v>0.64332999999999996</v>
      </c>
      <c r="BH103" s="78">
        <f t="shared" si="67"/>
        <v>0.64332999999999996</v>
      </c>
      <c r="BI103" s="78">
        <f t="shared" si="68"/>
        <v>0.64332999999999996</v>
      </c>
      <c r="BJ103" s="78">
        <f t="shared" si="69"/>
        <v>0.64332999999999996</v>
      </c>
      <c r="BK103" s="78">
        <f t="shared" si="70"/>
        <v>0.64332999999999996</v>
      </c>
      <c r="BL103" s="78">
        <f t="shared" si="71"/>
        <v>0.64332999999999996</v>
      </c>
      <c r="BM103" s="78">
        <f t="shared" si="72"/>
        <v>0.64332999999999996</v>
      </c>
      <c r="BN103" s="78">
        <f t="shared" si="73"/>
        <v>0.64332999999999996</v>
      </c>
      <c r="BO103" s="78">
        <f t="shared" si="74"/>
        <v>0.64332999999999996</v>
      </c>
      <c r="BP103" s="78">
        <f t="shared" si="75"/>
        <v>0.64332999999999996</v>
      </c>
      <c r="BQ103" s="78">
        <f t="shared" si="76"/>
        <v>0.64332999999999996</v>
      </c>
      <c r="BR103" s="78">
        <f t="shared" si="77"/>
        <v>0.64332999999999996</v>
      </c>
      <c r="BS103" s="77"/>
      <c r="BT103" s="77"/>
    </row>
    <row r="104" spans="1:72" ht="14.1" customHeight="1" x14ac:dyDescent="0.2">
      <c r="A104" s="55" t="str">
        <f t="shared" si="48"/>
        <v>GDS-4 (Large General Delivery)_Demand Charge &gt; 60 psig MAOP &gt; 30000 (Rider T) Zone I</v>
      </c>
      <c r="B104" s="80" t="s">
        <v>673</v>
      </c>
      <c r="C104" s="83" t="s">
        <v>725</v>
      </c>
      <c r="D104" s="150"/>
      <c r="E104" s="81"/>
      <c r="F104" s="73" t="s">
        <v>649</v>
      </c>
      <c r="G104" s="73">
        <v>0</v>
      </c>
      <c r="H104" s="73">
        <v>6</v>
      </c>
      <c r="I104" s="74" t="s">
        <v>641</v>
      </c>
      <c r="J104" s="75" t="s">
        <v>634</v>
      </c>
      <c r="K104" s="74"/>
      <c r="L104" s="82">
        <v>0.62555000000000005</v>
      </c>
      <c r="M104" s="138">
        <v>0.62555000000000005</v>
      </c>
      <c r="N104" s="138">
        <v>0.62555000000000005</v>
      </c>
      <c r="O104" s="138">
        <v>0.62555000000000005</v>
      </c>
      <c r="P104" s="138">
        <v>0.62555000000000005</v>
      </c>
      <c r="Q104" s="138">
        <v>0.62555000000000005</v>
      </c>
      <c r="R104" s="138">
        <v>0.62555000000000005</v>
      </c>
      <c r="S104" s="138">
        <v>0.62555000000000005</v>
      </c>
      <c r="T104" s="138">
        <v>0.62555000000000005</v>
      </c>
      <c r="U104" s="138">
        <v>0.62555000000000005</v>
      </c>
      <c r="V104" s="138">
        <v>0.62555000000000005</v>
      </c>
      <c r="W104" s="138">
        <v>0.62555000000000005</v>
      </c>
      <c r="X104" s="138">
        <v>0.62555000000000005</v>
      </c>
      <c r="Y104" s="138">
        <f t="shared" si="78"/>
        <v>0.62555000000000005</v>
      </c>
      <c r="Z104" s="138">
        <f t="shared" si="79"/>
        <v>0.62555000000000005</v>
      </c>
      <c r="AA104" s="138">
        <f t="shared" si="80"/>
        <v>0.62555000000000005</v>
      </c>
      <c r="AB104" s="138">
        <f t="shared" si="81"/>
        <v>0.62555000000000005</v>
      </c>
      <c r="AC104" s="138">
        <f t="shared" si="82"/>
        <v>0.62555000000000005</v>
      </c>
      <c r="AD104" s="138">
        <f t="shared" si="83"/>
        <v>0.62555000000000005</v>
      </c>
      <c r="AE104" s="138">
        <f t="shared" si="84"/>
        <v>0.62555000000000005</v>
      </c>
      <c r="AF104" s="138">
        <f t="shared" si="85"/>
        <v>0.62555000000000005</v>
      </c>
      <c r="AG104" s="138">
        <f t="shared" si="86"/>
        <v>0.62555000000000005</v>
      </c>
      <c r="AH104" s="138">
        <f t="shared" si="87"/>
        <v>0.62555000000000005</v>
      </c>
      <c r="AI104" s="138">
        <f t="shared" si="88"/>
        <v>0.62555000000000005</v>
      </c>
      <c r="AJ104" s="138">
        <f t="shared" si="89"/>
        <v>0.62555000000000005</v>
      </c>
      <c r="AK104" s="138">
        <f t="shared" si="90"/>
        <v>0.62555000000000005</v>
      </c>
      <c r="AL104" s="138">
        <f t="shared" si="91"/>
        <v>0.62555000000000016</v>
      </c>
      <c r="AM104" s="138">
        <f t="shared" si="92"/>
        <v>0.62555000000000038</v>
      </c>
      <c r="AO104" s="77" t="str">
        <f t="shared" si="49"/>
        <v>GDS-4 (Large General Delivery)</v>
      </c>
      <c r="AP104" s="78" t="s">
        <v>674</v>
      </c>
      <c r="AQ104" s="77" t="str">
        <f t="shared" si="50"/>
        <v>Demand Charge &gt; 60 psig MAOP &gt; 30000 (Rider T) Zone I</v>
      </c>
      <c r="AR104" s="78" t="str">
        <f t="shared" si="51"/>
        <v>Billing Cycle</v>
      </c>
      <c r="AS104" s="79">
        <f t="shared" si="52"/>
        <v>6</v>
      </c>
      <c r="AT104" s="78">
        <f t="shared" si="53"/>
        <v>1</v>
      </c>
      <c r="AU104" s="78">
        <f t="shared" si="54"/>
        <v>0.62555000000000005</v>
      </c>
      <c r="AV104" s="78">
        <f t="shared" si="55"/>
        <v>0.62555000000000005</v>
      </c>
      <c r="AW104" s="78">
        <f t="shared" si="56"/>
        <v>0.62555000000000005</v>
      </c>
      <c r="AX104" s="78">
        <f t="shared" si="57"/>
        <v>0.62555000000000005</v>
      </c>
      <c r="AY104" s="78">
        <f t="shared" si="58"/>
        <v>0.62555000000000005</v>
      </c>
      <c r="AZ104" s="78">
        <f t="shared" si="59"/>
        <v>0.62555000000000005</v>
      </c>
      <c r="BA104" s="78">
        <f t="shared" si="60"/>
        <v>0.62555000000000005</v>
      </c>
      <c r="BB104" s="78">
        <f t="shared" si="61"/>
        <v>0.62555000000000005</v>
      </c>
      <c r="BC104" s="78">
        <f t="shared" si="62"/>
        <v>0.62555000000000005</v>
      </c>
      <c r="BD104" s="78">
        <f t="shared" si="63"/>
        <v>0.62555000000000005</v>
      </c>
      <c r="BE104" s="78">
        <f t="shared" si="64"/>
        <v>0.62555000000000005</v>
      </c>
      <c r="BF104" s="78">
        <f t="shared" si="65"/>
        <v>0.62555000000000005</v>
      </c>
      <c r="BG104" s="78">
        <f t="shared" si="66"/>
        <v>0.62555000000000005</v>
      </c>
      <c r="BH104" s="78">
        <f t="shared" si="67"/>
        <v>0.62555000000000005</v>
      </c>
      <c r="BI104" s="78">
        <f t="shared" si="68"/>
        <v>0.62555000000000005</v>
      </c>
      <c r="BJ104" s="78">
        <f t="shared" si="69"/>
        <v>0.62555000000000005</v>
      </c>
      <c r="BK104" s="78">
        <f t="shared" si="70"/>
        <v>0.62555000000000005</v>
      </c>
      <c r="BL104" s="78">
        <f t="shared" si="71"/>
        <v>0.62555000000000005</v>
      </c>
      <c r="BM104" s="78">
        <f t="shared" si="72"/>
        <v>0.62555000000000005</v>
      </c>
      <c r="BN104" s="78">
        <f t="shared" si="73"/>
        <v>0.62555000000000005</v>
      </c>
      <c r="BO104" s="78">
        <f t="shared" si="74"/>
        <v>0.62555000000000005</v>
      </c>
      <c r="BP104" s="78">
        <f t="shared" si="75"/>
        <v>0.62555000000000005</v>
      </c>
      <c r="BQ104" s="78">
        <f t="shared" si="76"/>
        <v>0.62555000000000005</v>
      </c>
      <c r="BR104" s="78">
        <f t="shared" si="77"/>
        <v>0.62555000000000005</v>
      </c>
      <c r="BS104" s="77"/>
      <c r="BT104" s="77"/>
    </row>
    <row r="105" spans="1:72" ht="14.1" customHeight="1" x14ac:dyDescent="0.2">
      <c r="A105" s="55" t="str">
        <f t="shared" si="48"/>
        <v>GDS-5 (Seasonal)_Demand Charge &gt; 60 psig MAOP &gt; 30000 (Rider T) Zone I</v>
      </c>
      <c r="B105" s="80" t="s">
        <v>675</v>
      </c>
      <c r="C105" s="83" t="s">
        <v>725</v>
      </c>
      <c r="D105" s="150"/>
      <c r="E105" s="81"/>
      <c r="F105" s="73" t="s">
        <v>649</v>
      </c>
      <c r="G105" s="73">
        <v>0</v>
      </c>
      <c r="H105" s="73">
        <v>6</v>
      </c>
      <c r="I105" s="74" t="s">
        <v>641</v>
      </c>
      <c r="J105" s="75" t="s">
        <v>634</v>
      </c>
      <c r="K105" s="74"/>
      <c r="L105" s="82">
        <v>0.62555000000000005</v>
      </c>
      <c r="M105" s="138">
        <v>0.62555000000000005</v>
      </c>
      <c r="N105" s="138">
        <v>0.62555000000000005</v>
      </c>
      <c r="O105" s="138">
        <v>0.62555000000000005</v>
      </c>
      <c r="P105" s="138">
        <v>0.62555000000000005</v>
      </c>
      <c r="Q105" s="138">
        <v>0.62555000000000005</v>
      </c>
      <c r="R105" s="138">
        <v>0.62555000000000005</v>
      </c>
      <c r="S105" s="138">
        <v>0.62555000000000005</v>
      </c>
      <c r="T105" s="138">
        <v>0.62555000000000005</v>
      </c>
      <c r="U105" s="138">
        <v>0.62555000000000005</v>
      </c>
      <c r="V105" s="138">
        <v>0.62555000000000005</v>
      </c>
      <c r="W105" s="138">
        <v>0.62555000000000005</v>
      </c>
      <c r="X105" s="138">
        <v>0.62555000000000005</v>
      </c>
      <c r="Y105" s="138">
        <f t="shared" si="78"/>
        <v>0.62555000000000005</v>
      </c>
      <c r="Z105" s="138">
        <f t="shared" si="79"/>
        <v>0.62555000000000005</v>
      </c>
      <c r="AA105" s="138">
        <f t="shared" si="80"/>
        <v>0.62555000000000005</v>
      </c>
      <c r="AB105" s="138">
        <f t="shared" si="81"/>
        <v>0.62555000000000005</v>
      </c>
      <c r="AC105" s="138">
        <f t="shared" si="82"/>
        <v>0.62555000000000005</v>
      </c>
      <c r="AD105" s="138">
        <f t="shared" si="83"/>
        <v>0.62555000000000005</v>
      </c>
      <c r="AE105" s="138">
        <f t="shared" si="84"/>
        <v>0.62555000000000005</v>
      </c>
      <c r="AF105" s="138">
        <f t="shared" si="85"/>
        <v>0.62555000000000005</v>
      </c>
      <c r="AG105" s="138">
        <f t="shared" si="86"/>
        <v>0.62555000000000005</v>
      </c>
      <c r="AH105" s="138">
        <f t="shared" si="87"/>
        <v>0.62555000000000005</v>
      </c>
      <c r="AI105" s="138">
        <f t="shared" si="88"/>
        <v>0.62555000000000005</v>
      </c>
      <c r="AJ105" s="138">
        <f t="shared" si="89"/>
        <v>0.62555000000000005</v>
      </c>
      <c r="AK105" s="138">
        <f t="shared" si="90"/>
        <v>0.62555000000000005</v>
      </c>
      <c r="AL105" s="138">
        <f t="shared" si="91"/>
        <v>0.62555000000000016</v>
      </c>
      <c r="AM105" s="138">
        <f t="shared" si="92"/>
        <v>0.62555000000000038</v>
      </c>
      <c r="AO105" s="77" t="str">
        <f t="shared" si="49"/>
        <v>GDS-5 (Seasonal)</v>
      </c>
      <c r="AP105" s="78" t="s">
        <v>676</v>
      </c>
      <c r="AQ105" s="77" t="str">
        <f t="shared" si="50"/>
        <v>Demand Charge &gt; 60 psig MAOP &gt; 30000 (Rider T) Zone I</v>
      </c>
      <c r="AR105" s="78" t="str">
        <f t="shared" si="51"/>
        <v>Billing Cycle</v>
      </c>
      <c r="AS105" s="79">
        <f t="shared" si="52"/>
        <v>6</v>
      </c>
      <c r="AT105" s="78">
        <f t="shared" si="53"/>
        <v>1</v>
      </c>
      <c r="AU105" s="78">
        <f t="shared" si="54"/>
        <v>0.62555000000000005</v>
      </c>
      <c r="AV105" s="78">
        <f t="shared" si="55"/>
        <v>0.62555000000000005</v>
      </c>
      <c r="AW105" s="78">
        <f t="shared" si="56"/>
        <v>0.62555000000000005</v>
      </c>
      <c r="AX105" s="78">
        <f t="shared" si="57"/>
        <v>0.62555000000000005</v>
      </c>
      <c r="AY105" s="78">
        <f t="shared" si="58"/>
        <v>0.62555000000000005</v>
      </c>
      <c r="AZ105" s="78">
        <f t="shared" si="59"/>
        <v>0.62555000000000005</v>
      </c>
      <c r="BA105" s="78">
        <f t="shared" si="60"/>
        <v>0.62555000000000005</v>
      </c>
      <c r="BB105" s="78">
        <f t="shared" si="61"/>
        <v>0.62555000000000005</v>
      </c>
      <c r="BC105" s="78">
        <f t="shared" si="62"/>
        <v>0.62555000000000005</v>
      </c>
      <c r="BD105" s="78">
        <f t="shared" si="63"/>
        <v>0.62555000000000005</v>
      </c>
      <c r="BE105" s="78">
        <f t="shared" si="64"/>
        <v>0.62555000000000005</v>
      </c>
      <c r="BF105" s="78">
        <f t="shared" si="65"/>
        <v>0.62555000000000005</v>
      </c>
      <c r="BG105" s="78">
        <f t="shared" si="66"/>
        <v>0.62555000000000005</v>
      </c>
      <c r="BH105" s="78">
        <f t="shared" si="67"/>
        <v>0.62555000000000005</v>
      </c>
      <c r="BI105" s="78">
        <f t="shared" si="68"/>
        <v>0.62555000000000005</v>
      </c>
      <c r="BJ105" s="78">
        <f t="shared" si="69"/>
        <v>0.62555000000000005</v>
      </c>
      <c r="BK105" s="78">
        <f t="shared" si="70"/>
        <v>0.62555000000000005</v>
      </c>
      <c r="BL105" s="78">
        <f t="shared" si="71"/>
        <v>0.62555000000000005</v>
      </c>
      <c r="BM105" s="78">
        <f t="shared" si="72"/>
        <v>0.62555000000000005</v>
      </c>
      <c r="BN105" s="78">
        <f t="shared" si="73"/>
        <v>0.62555000000000005</v>
      </c>
      <c r="BO105" s="78">
        <f t="shared" si="74"/>
        <v>0.62555000000000005</v>
      </c>
      <c r="BP105" s="78">
        <f t="shared" si="75"/>
        <v>0.62555000000000005</v>
      </c>
      <c r="BQ105" s="78">
        <f t="shared" si="76"/>
        <v>0.62555000000000005</v>
      </c>
      <c r="BR105" s="78">
        <f t="shared" si="77"/>
        <v>0.62555000000000005</v>
      </c>
      <c r="BS105" s="77"/>
      <c r="BT105" s="77"/>
    </row>
    <row r="106" spans="1:72" ht="14.1" customHeight="1" x14ac:dyDescent="0.2">
      <c r="A106" s="55" t="str">
        <f t="shared" si="48"/>
        <v>GDS-4 (Large General Delivery)_Demand Charge &gt; 60 psig MAOP &gt; 30000 (Rider T) Zone II</v>
      </c>
      <c r="B106" s="80" t="s">
        <v>673</v>
      </c>
      <c r="C106" s="83" t="s">
        <v>726</v>
      </c>
      <c r="D106" s="150"/>
      <c r="E106" s="81"/>
      <c r="F106" s="73" t="s">
        <v>649</v>
      </c>
      <c r="G106" s="73">
        <v>0</v>
      </c>
      <c r="H106" s="73">
        <v>6</v>
      </c>
      <c r="I106" s="74" t="s">
        <v>641</v>
      </c>
      <c r="J106" s="75" t="s">
        <v>634</v>
      </c>
      <c r="K106" s="74"/>
      <c r="L106" s="82">
        <v>0.62555000000000005</v>
      </c>
      <c r="M106" s="138">
        <v>0.62555000000000005</v>
      </c>
      <c r="N106" s="138">
        <v>0.62555000000000005</v>
      </c>
      <c r="O106" s="138">
        <v>0.62555000000000005</v>
      </c>
      <c r="P106" s="138">
        <v>0.62555000000000005</v>
      </c>
      <c r="Q106" s="138">
        <v>0.62555000000000005</v>
      </c>
      <c r="R106" s="138">
        <v>0.62555000000000005</v>
      </c>
      <c r="S106" s="138">
        <v>0.62555000000000005</v>
      </c>
      <c r="T106" s="138">
        <v>0.62555000000000005</v>
      </c>
      <c r="U106" s="138">
        <v>0.62555000000000005</v>
      </c>
      <c r="V106" s="138">
        <v>0.62555000000000005</v>
      </c>
      <c r="W106" s="138">
        <v>0.62555000000000005</v>
      </c>
      <c r="X106" s="138">
        <v>0.62555000000000005</v>
      </c>
      <c r="Y106" s="138">
        <f t="shared" si="78"/>
        <v>0.62555000000000005</v>
      </c>
      <c r="Z106" s="138">
        <f t="shared" si="79"/>
        <v>0.62555000000000005</v>
      </c>
      <c r="AA106" s="138">
        <f t="shared" si="80"/>
        <v>0.62555000000000005</v>
      </c>
      <c r="AB106" s="138">
        <f t="shared" si="81"/>
        <v>0.62555000000000005</v>
      </c>
      <c r="AC106" s="138">
        <f t="shared" si="82"/>
        <v>0.62555000000000005</v>
      </c>
      <c r="AD106" s="138">
        <f t="shared" si="83"/>
        <v>0.62555000000000005</v>
      </c>
      <c r="AE106" s="138">
        <f t="shared" si="84"/>
        <v>0.62555000000000005</v>
      </c>
      <c r="AF106" s="138">
        <f t="shared" si="85"/>
        <v>0.62555000000000005</v>
      </c>
      <c r="AG106" s="138">
        <f t="shared" si="86"/>
        <v>0.62555000000000005</v>
      </c>
      <c r="AH106" s="138">
        <f t="shared" si="87"/>
        <v>0.62555000000000005</v>
      </c>
      <c r="AI106" s="138">
        <f t="shared" si="88"/>
        <v>0.62555000000000005</v>
      </c>
      <c r="AJ106" s="138">
        <f t="shared" si="89"/>
        <v>0.62555000000000005</v>
      </c>
      <c r="AK106" s="138">
        <f t="shared" si="90"/>
        <v>0.62555000000000005</v>
      </c>
      <c r="AL106" s="138">
        <f t="shared" si="91"/>
        <v>0.62555000000000016</v>
      </c>
      <c r="AM106" s="138">
        <f t="shared" si="92"/>
        <v>0.62555000000000038</v>
      </c>
      <c r="AO106" s="77" t="str">
        <f t="shared" si="49"/>
        <v>GDS-4 (Large General Delivery)</v>
      </c>
      <c r="AP106" s="78" t="s">
        <v>674</v>
      </c>
      <c r="AQ106" s="77" t="str">
        <f t="shared" si="50"/>
        <v>Demand Charge &gt; 60 psig MAOP &gt; 30000 (Rider T) Zone II</v>
      </c>
      <c r="AR106" s="78" t="str">
        <f t="shared" si="51"/>
        <v>Billing Cycle</v>
      </c>
      <c r="AS106" s="79">
        <f t="shared" si="52"/>
        <v>6</v>
      </c>
      <c r="AT106" s="78">
        <f t="shared" si="53"/>
        <v>1</v>
      </c>
      <c r="AU106" s="78">
        <f t="shared" si="54"/>
        <v>0.62555000000000005</v>
      </c>
      <c r="AV106" s="78">
        <f t="shared" si="55"/>
        <v>0.62555000000000005</v>
      </c>
      <c r="AW106" s="78">
        <f t="shared" si="56"/>
        <v>0.62555000000000005</v>
      </c>
      <c r="AX106" s="78">
        <f t="shared" si="57"/>
        <v>0.62555000000000005</v>
      </c>
      <c r="AY106" s="78">
        <f t="shared" si="58"/>
        <v>0.62555000000000005</v>
      </c>
      <c r="AZ106" s="78">
        <f t="shared" si="59"/>
        <v>0.62555000000000005</v>
      </c>
      <c r="BA106" s="78">
        <f t="shared" si="60"/>
        <v>0.62555000000000005</v>
      </c>
      <c r="BB106" s="78">
        <f t="shared" si="61"/>
        <v>0.62555000000000005</v>
      </c>
      <c r="BC106" s="78">
        <f t="shared" si="62"/>
        <v>0.62555000000000005</v>
      </c>
      <c r="BD106" s="78">
        <f t="shared" si="63"/>
        <v>0.62555000000000005</v>
      </c>
      <c r="BE106" s="78">
        <f t="shared" si="64"/>
        <v>0.62555000000000005</v>
      </c>
      <c r="BF106" s="78">
        <f t="shared" si="65"/>
        <v>0.62555000000000005</v>
      </c>
      <c r="BG106" s="78">
        <f t="shared" si="66"/>
        <v>0.62555000000000005</v>
      </c>
      <c r="BH106" s="78">
        <f t="shared" si="67"/>
        <v>0.62555000000000005</v>
      </c>
      <c r="BI106" s="78">
        <f t="shared" si="68"/>
        <v>0.62555000000000005</v>
      </c>
      <c r="BJ106" s="78">
        <f t="shared" si="69"/>
        <v>0.62555000000000005</v>
      </c>
      <c r="BK106" s="78">
        <f t="shared" si="70"/>
        <v>0.62555000000000005</v>
      </c>
      <c r="BL106" s="78">
        <f t="shared" si="71"/>
        <v>0.62555000000000005</v>
      </c>
      <c r="BM106" s="78">
        <f t="shared" si="72"/>
        <v>0.62555000000000005</v>
      </c>
      <c r="BN106" s="78">
        <f t="shared" si="73"/>
        <v>0.62555000000000005</v>
      </c>
      <c r="BO106" s="78">
        <f t="shared" si="74"/>
        <v>0.62555000000000005</v>
      </c>
      <c r="BP106" s="78">
        <f t="shared" si="75"/>
        <v>0.62555000000000005</v>
      </c>
      <c r="BQ106" s="78">
        <f t="shared" si="76"/>
        <v>0.62555000000000005</v>
      </c>
      <c r="BR106" s="78">
        <f t="shared" si="77"/>
        <v>0.62555000000000005</v>
      </c>
      <c r="BS106" s="77"/>
      <c r="BT106" s="77"/>
    </row>
    <row r="107" spans="1:72" ht="14.1" customHeight="1" x14ac:dyDescent="0.2">
      <c r="A107" s="55" t="str">
        <f t="shared" si="48"/>
        <v>GDS-5 (Seasonal)_Demand Charge &gt; 60 psig MAOP &gt; 30000 (Rider T) Zone II</v>
      </c>
      <c r="B107" s="80" t="s">
        <v>675</v>
      </c>
      <c r="C107" s="83" t="s">
        <v>726</v>
      </c>
      <c r="D107" s="150"/>
      <c r="E107" s="81"/>
      <c r="F107" s="73" t="s">
        <v>649</v>
      </c>
      <c r="G107" s="73">
        <v>0</v>
      </c>
      <c r="H107" s="73">
        <v>6</v>
      </c>
      <c r="I107" s="74" t="s">
        <v>641</v>
      </c>
      <c r="J107" s="75" t="s">
        <v>634</v>
      </c>
      <c r="K107" s="74"/>
      <c r="L107" s="82">
        <v>0.62555000000000005</v>
      </c>
      <c r="M107" s="138">
        <v>0.62555000000000005</v>
      </c>
      <c r="N107" s="138">
        <v>0.62555000000000005</v>
      </c>
      <c r="O107" s="138">
        <v>0.62555000000000005</v>
      </c>
      <c r="P107" s="138">
        <v>0.62555000000000005</v>
      </c>
      <c r="Q107" s="138">
        <v>0.62555000000000005</v>
      </c>
      <c r="R107" s="138">
        <v>0.62555000000000005</v>
      </c>
      <c r="S107" s="138">
        <v>0.62555000000000005</v>
      </c>
      <c r="T107" s="138">
        <v>0.62555000000000005</v>
      </c>
      <c r="U107" s="138">
        <v>0.62555000000000005</v>
      </c>
      <c r="V107" s="138">
        <v>0.62555000000000005</v>
      </c>
      <c r="W107" s="138">
        <v>0.62555000000000005</v>
      </c>
      <c r="X107" s="138">
        <v>0.62555000000000005</v>
      </c>
      <c r="Y107" s="138">
        <f t="shared" si="78"/>
        <v>0.62555000000000005</v>
      </c>
      <c r="Z107" s="138">
        <f t="shared" si="79"/>
        <v>0.62555000000000005</v>
      </c>
      <c r="AA107" s="138">
        <f t="shared" si="80"/>
        <v>0.62555000000000005</v>
      </c>
      <c r="AB107" s="138">
        <f t="shared" si="81"/>
        <v>0.62555000000000005</v>
      </c>
      <c r="AC107" s="138">
        <f t="shared" si="82"/>
        <v>0.62555000000000005</v>
      </c>
      <c r="AD107" s="138">
        <f t="shared" si="83"/>
        <v>0.62555000000000005</v>
      </c>
      <c r="AE107" s="138">
        <f t="shared" si="84"/>
        <v>0.62555000000000005</v>
      </c>
      <c r="AF107" s="138">
        <f t="shared" si="85"/>
        <v>0.62555000000000005</v>
      </c>
      <c r="AG107" s="138">
        <f t="shared" si="86"/>
        <v>0.62555000000000005</v>
      </c>
      <c r="AH107" s="138">
        <f t="shared" si="87"/>
        <v>0.62555000000000005</v>
      </c>
      <c r="AI107" s="138">
        <f t="shared" si="88"/>
        <v>0.62555000000000005</v>
      </c>
      <c r="AJ107" s="138">
        <f t="shared" si="89"/>
        <v>0.62555000000000005</v>
      </c>
      <c r="AK107" s="138">
        <f t="shared" si="90"/>
        <v>0.62555000000000005</v>
      </c>
      <c r="AL107" s="138">
        <f t="shared" si="91"/>
        <v>0.62555000000000016</v>
      </c>
      <c r="AM107" s="138">
        <f t="shared" si="92"/>
        <v>0.62555000000000038</v>
      </c>
      <c r="AO107" s="77" t="str">
        <f t="shared" si="49"/>
        <v>GDS-5 (Seasonal)</v>
      </c>
      <c r="AP107" s="78" t="s">
        <v>676</v>
      </c>
      <c r="AQ107" s="77" t="str">
        <f t="shared" si="50"/>
        <v>Demand Charge &gt; 60 psig MAOP &gt; 30000 (Rider T) Zone II</v>
      </c>
      <c r="AR107" s="78" t="str">
        <f t="shared" si="51"/>
        <v>Billing Cycle</v>
      </c>
      <c r="AS107" s="79">
        <f t="shared" si="52"/>
        <v>6</v>
      </c>
      <c r="AT107" s="78">
        <f t="shared" si="53"/>
        <v>1</v>
      </c>
      <c r="AU107" s="78">
        <f t="shared" si="54"/>
        <v>0.62555000000000005</v>
      </c>
      <c r="AV107" s="78">
        <f t="shared" si="55"/>
        <v>0.62555000000000005</v>
      </c>
      <c r="AW107" s="78">
        <f t="shared" si="56"/>
        <v>0.62555000000000005</v>
      </c>
      <c r="AX107" s="78">
        <f t="shared" si="57"/>
        <v>0.62555000000000005</v>
      </c>
      <c r="AY107" s="78">
        <f t="shared" si="58"/>
        <v>0.62555000000000005</v>
      </c>
      <c r="AZ107" s="78">
        <f t="shared" si="59"/>
        <v>0.62555000000000005</v>
      </c>
      <c r="BA107" s="78">
        <f t="shared" si="60"/>
        <v>0.62555000000000005</v>
      </c>
      <c r="BB107" s="78">
        <f t="shared" si="61"/>
        <v>0.62555000000000005</v>
      </c>
      <c r="BC107" s="78">
        <f t="shared" si="62"/>
        <v>0.62555000000000005</v>
      </c>
      <c r="BD107" s="78">
        <f t="shared" si="63"/>
        <v>0.62555000000000005</v>
      </c>
      <c r="BE107" s="78">
        <f t="shared" si="64"/>
        <v>0.62555000000000005</v>
      </c>
      <c r="BF107" s="78">
        <f t="shared" si="65"/>
        <v>0.62555000000000005</v>
      </c>
      <c r="BG107" s="78">
        <f t="shared" si="66"/>
        <v>0.62555000000000005</v>
      </c>
      <c r="BH107" s="78">
        <f t="shared" si="67"/>
        <v>0.62555000000000005</v>
      </c>
      <c r="BI107" s="78">
        <f t="shared" si="68"/>
        <v>0.62555000000000005</v>
      </c>
      <c r="BJ107" s="78">
        <f t="shared" si="69"/>
        <v>0.62555000000000005</v>
      </c>
      <c r="BK107" s="78">
        <f t="shared" si="70"/>
        <v>0.62555000000000005</v>
      </c>
      <c r="BL107" s="78">
        <f t="shared" si="71"/>
        <v>0.62555000000000005</v>
      </c>
      <c r="BM107" s="78">
        <f t="shared" si="72"/>
        <v>0.62555000000000005</v>
      </c>
      <c r="BN107" s="78">
        <f t="shared" si="73"/>
        <v>0.62555000000000005</v>
      </c>
      <c r="BO107" s="78">
        <f t="shared" si="74"/>
        <v>0.62555000000000005</v>
      </c>
      <c r="BP107" s="78">
        <f t="shared" si="75"/>
        <v>0.62555000000000005</v>
      </c>
      <c r="BQ107" s="78">
        <f t="shared" si="76"/>
        <v>0.62555000000000005</v>
      </c>
      <c r="BR107" s="78">
        <f t="shared" si="77"/>
        <v>0.62555000000000005</v>
      </c>
      <c r="BS107" s="77"/>
      <c r="BT107" s="77"/>
    </row>
    <row r="108" spans="1:72" ht="14.1" customHeight="1" x14ac:dyDescent="0.2">
      <c r="A108" s="55" t="str">
        <f t="shared" si="48"/>
        <v>GDS-4 (Large General Delivery)_Demand Charge &gt; 60 psig MAOP &gt; 30000 (Rider T) Zone III</v>
      </c>
      <c r="B108" s="80" t="s">
        <v>673</v>
      </c>
      <c r="C108" s="83" t="s">
        <v>727</v>
      </c>
      <c r="D108" s="150"/>
      <c r="E108" s="81"/>
      <c r="F108" s="73" t="s">
        <v>649</v>
      </c>
      <c r="G108" s="73">
        <v>0</v>
      </c>
      <c r="H108" s="73">
        <v>6</v>
      </c>
      <c r="I108" s="74" t="s">
        <v>641</v>
      </c>
      <c r="J108" s="75" t="s">
        <v>634</v>
      </c>
      <c r="K108" s="74"/>
      <c r="L108" s="82">
        <v>0.48053000000000001</v>
      </c>
      <c r="M108" s="138">
        <v>0.48053000000000001</v>
      </c>
      <c r="N108" s="138">
        <v>0.48053000000000001</v>
      </c>
      <c r="O108" s="138">
        <v>0.48053000000000001</v>
      </c>
      <c r="P108" s="138">
        <v>0.48053000000000001</v>
      </c>
      <c r="Q108" s="138">
        <v>0.48053000000000001</v>
      </c>
      <c r="R108" s="138">
        <v>0.48053000000000001</v>
      </c>
      <c r="S108" s="138">
        <v>0.48053000000000001</v>
      </c>
      <c r="T108" s="138">
        <v>0.48053000000000001</v>
      </c>
      <c r="U108" s="138">
        <v>0.48053000000000001</v>
      </c>
      <c r="V108" s="138">
        <v>0.48053000000000001</v>
      </c>
      <c r="W108" s="138">
        <v>0.48053000000000001</v>
      </c>
      <c r="X108" s="138">
        <v>0.48053000000000001</v>
      </c>
      <c r="Y108" s="138">
        <f t="shared" si="78"/>
        <v>0.48053000000000001</v>
      </c>
      <c r="Z108" s="138">
        <f t="shared" si="79"/>
        <v>0.48053000000000001</v>
      </c>
      <c r="AA108" s="138">
        <f t="shared" si="80"/>
        <v>0.48053000000000001</v>
      </c>
      <c r="AB108" s="138">
        <f t="shared" si="81"/>
        <v>0.48053000000000001</v>
      </c>
      <c r="AC108" s="138">
        <f t="shared" si="82"/>
        <v>0.48053000000000001</v>
      </c>
      <c r="AD108" s="138">
        <f t="shared" si="83"/>
        <v>0.48053000000000001</v>
      </c>
      <c r="AE108" s="138">
        <f t="shared" si="84"/>
        <v>0.48053000000000001</v>
      </c>
      <c r="AF108" s="138">
        <f t="shared" si="85"/>
        <v>0.48053000000000001</v>
      </c>
      <c r="AG108" s="138">
        <f t="shared" si="86"/>
        <v>0.48053000000000001</v>
      </c>
      <c r="AH108" s="138">
        <f t="shared" si="87"/>
        <v>0.48053000000000001</v>
      </c>
      <c r="AI108" s="138">
        <f t="shared" si="88"/>
        <v>0.48053000000000001</v>
      </c>
      <c r="AJ108" s="138">
        <f t="shared" si="89"/>
        <v>0.48053000000000001</v>
      </c>
      <c r="AK108" s="138">
        <f t="shared" si="90"/>
        <v>0.48053000000000001</v>
      </c>
      <c r="AL108" s="138">
        <f t="shared" si="91"/>
        <v>0.48052999999999996</v>
      </c>
      <c r="AM108" s="138">
        <f t="shared" si="92"/>
        <v>0.48052999999999996</v>
      </c>
      <c r="AO108" s="77" t="str">
        <f t="shared" si="49"/>
        <v>GDS-4 (Large General Delivery)</v>
      </c>
      <c r="AP108" s="78" t="s">
        <v>674</v>
      </c>
      <c r="AQ108" s="77" t="str">
        <f t="shared" si="50"/>
        <v>Demand Charge &gt; 60 psig MAOP &gt; 30000 (Rider T) Zone III</v>
      </c>
      <c r="AR108" s="78" t="str">
        <f t="shared" si="51"/>
        <v>Billing Cycle</v>
      </c>
      <c r="AS108" s="79">
        <f t="shared" si="52"/>
        <v>6</v>
      </c>
      <c r="AT108" s="78">
        <f t="shared" si="53"/>
        <v>0</v>
      </c>
      <c r="AU108" s="78">
        <f t="shared" si="54"/>
        <v>0.48053000000000001</v>
      </c>
      <c r="AV108" s="78">
        <f t="shared" si="55"/>
        <v>0.48053000000000001</v>
      </c>
      <c r="AW108" s="78">
        <f t="shared" si="56"/>
        <v>0.48053000000000001</v>
      </c>
      <c r="AX108" s="78">
        <f t="shared" si="57"/>
        <v>0.48053000000000001</v>
      </c>
      <c r="AY108" s="78">
        <f t="shared" si="58"/>
        <v>0.48053000000000001</v>
      </c>
      <c r="AZ108" s="78">
        <f t="shared" si="59"/>
        <v>0.48053000000000001</v>
      </c>
      <c r="BA108" s="78">
        <f t="shared" si="60"/>
        <v>0.48053000000000001</v>
      </c>
      <c r="BB108" s="78">
        <f t="shared" si="61"/>
        <v>0.48053000000000001</v>
      </c>
      <c r="BC108" s="78">
        <f t="shared" si="62"/>
        <v>0.48053000000000001</v>
      </c>
      <c r="BD108" s="78">
        <f t="shared" si="63"/>
        <v>0.48053000000000001</v>
      </c>
      <c r="BE108" s="78">
        <f t="shared" si="64"/>
        <v>0.48053000000000001</v>
      </c>
      <c r="BF108" s="78">
        <f t="shared" si="65"/>
        <v>0.48053000000000001</v>
      </c>
      <c r="BG108" s="78">
        <f t="shared" si="66"/>
        <v>0.48053000000000001</v>
      </c>
      <c r="BH108" s="78">
        <f t="shared" si="67"/>
        <v>0.48053000000000001</v>
      </c>
      <c r="BI108" s="78">
        <f t="shared" si="68"/>
        <v>0.48053000000000001</v>
      </c>
      <c r="BJ108" s="78">
        <f t="shared" si="69"/>
        <v>0.48053000000000001</v>
      </c>
      <c r="BK108" s="78">
        <f t="shared" si="70"/>
        <v>0.48053000000000001</v>
      </c>
      <c r="BL108" s="78">
        <f t="shared" si="71"/>
        <v>0.48053000000000001</v>
      </c>
      <c r="BM108" s="78">
        <f t="shared" si="72"/>
        <v>0.48053000000000001</v>
      </c>
      <c r="BN108" s="78">
        <f t="shared" si="73"/>
        <v>0.48053000000000001</v>
      </c>
      <c r="BO108" s="78">
        <f t="shared" si="74"/>
        <v>0.48053000000000001</v>
      </c>
      <c r="BP108" s="78">
        <f t="shared" si="75"/>
        <v>0.48053000000000001</v>
      </c>
      <c r="BQ108" s="78">
        <f t="shared" si="76"/>
        <v>0.48053000000000001</v>
      </c>
      <c r="BR108" s="78">
        <f t="shared" si="77"/>
        <v>0.48053000000000001</v>
      </c>
      <c r="BS108" s="77"/>
      <c r="BT108" s="77"/>
    </row>
    <row r="109" spans="1:72" ht="14.1" customHeight="1" x14ac:dyDescent="0.2">
      <c r="A109" s="55" t="str">
        <f t="shared" si="48"/>
        <v>GDS-5 (Seasonal)_Demand Charge &gt; 60 psig MAOP &gt; 30000 (Rider T) Zone III</v>
      </c>
      <c r="B109" s="80" t="s">
        <v>675</v>
      </c>
      <c r="C109" s="83" t="s">
        <v>727</v>
      </c>
      <c r="D109" s="150"/>
      <c r="E109" s="81"/>
      <c r="F109" s="73" t="s">
        <v>649</v>
      </c>
      <c r="G109" s="73">
        <v>0</v>
      </c>
      <c r="H109" s="73">
        <v>6</v>
      </c>
      <c r="I109" s="74" t="s">
        <v>641</v>
      </c>
      <c r="J109" s="75" t="s">
        <v>634</v>
      </c>
      <c r="K109" s="74"/>
      <c r="L109" s="82">
        <v>0.48053000000000001</v>
      </c>
      <c r="M109" s="138">
        <v>0.48053000000000001</v>
      </c>
      <c r="N109" s="138">
        <v>0.48053000000000001</v>
      </c>
      <c r="O109" s="138">
        <v>0.48053000000000001</v>
      </c>
      <c r="P109" s="138">
        <v>0.48053000000000001</v>
      </c>
      <c r="Q109" s="138">
        <v>0.48053000000000001</v>
      </c>
      <c r="R109" s="138">
        <v>0.48053000000000001</v>
      </c>
      <c r="S109" s="138">
        <v>0.48053000000000001</v>
      </c>
      <c r="T109" s="138">
        <v>0.48053000000000001</v>
      </c>
      <c r="U109" s="138">
        <v>0.48053000000000001</v>
      </c>
      <c r="V109" s="138">
        <v>0.48053000000000001</v>
      </c>
      <c r="W109" s="138">
        <v>0.48053000000000001</v>
      </c>
      <c r="X109" s="138">
        <v>0.48053000000000001</v>
      </c>
      <c r="Y109" s="138">
        <f t="shared" si="78"/>
        <v>0.48053000000000001</v>
      </c>
      <c r="Z109" s="138">
        <f t="shared" si="79"/>
        <v>0.48053000000000001</v>
      </c>
      <c r="AA109" s="138">
        <f t="shared" si="80"/>
        <v>0.48053000000000001</v>
      </c>
      <c r="AB109" s="138">
        <f t="shared" si="81"/>
        <v>0.48053000000000001</v>
      </c>
      <c r="AC109" s="138">
        <f t="shared" si="82"/>
        <v>0.48053000000000001</v>
      </c>
      <c r="AD109" s="138">
        <f t="shared" si="83"/>
        <v>0.48053000000000001</v>
      </c>
      <c r="AE109" s="138">
        <f t="shared" si="84"/>
        <v>0.48053000000000001</v>
      </c>
      <c r="AF109" s="138">
        <f t="shared" si="85"/>
        <v>0.48053000000000001</v>
      </c>
      <c r="AG109" s="138">
        <f t="shared" si="86"/>
        <v>0.48053000000000001</v>
      </c>
      <c r="AH109" s="138">
        <f t="shared" si="87"/>
        <v>0.48053000000000001</v>
      </c>
      <c r="AI109" s="138">
        <f t="shared" si="88"/>
        <v>0.48053000000000001</v>
      </c>
      <c r="AJ109" s="138">
        <f t="shared" si="89"/>
        <v>0.48053000000000001</v>
      </c>
      <c r="AK109" s="138">
        <f t="shared" si="90"/>
        <v>0.48053000000000001</v>
      </c>
      <c r="AL109" s="138">
        <f t="shared" si="91"/>
        <v>0.48052999999999996</v>
      </c>
      <c r="AM109" s="138">
        <f t="shared" si="92"/>
        <v>0.48052999999999996</v>
      </c>
      <c r="AO109" s="77" t="str">
        <f t="shared" si="49"/>
        <v>GDS-5 (Seasonal)</v>
      </c>
      <c r="AP109" s="78" t="s">
        <v>676</v>
      </c>
      <c r="AQ109" s="77" t="str">
        <f t="shared" si="50"/>
        <v>Demand Charge &gt; 60 psig MAOP &gt; 30000 (Rider T) Zone III</v>
      </c>
      <c r="AR109" s="78" t="str">
        <f t="shared" si="51"/>
        <v>Billing Cycle</v>
      </c>
      <c r="AS109" s="79">
        <f t="shared" si="52"/>
        <v>6</v>
      </c>
      <c r="AT109" s="78">
        <f t="shared" si="53"/>
        <v>0</v>
      </c>
      <c r="AU109" s="78">
        <f t="shared" si="54"/>
        <v>0.48053000000000001</v>
      </c>
      <c r="AV109" s="78">
        <f t="shared" si="55"/>
        <v>0.48053000000000001</v>
      </c>
      <c r="AW109" s="78">
        <f t="shared" si="56"/>
        <v>0.48053000000000001</v>
      </c>
      <c r="AX109" s="78">
        <f t="shared" si="57"/>
        <v>0.48053000000000001</v>
      </c>
      <c r="AY109" s="78">
        <f t="shared" si="58"/>
        <v>0.48053000000000001</v>
      </c>
      <c r="AZ109" s="78">
        <f t="shared" si="59"/>
        <v>0.48053000000000001</v>
      </c>
      <c r="BA109" s="78">
        <f t="shared" si="60"/>
        <v>0.48053000000000001</v>
      </c>
      <c r="BB109" s="78">
        <f t="shared" si="61"/>
        <v>0.48053000000000001</v>
      </c>
      <c r="BC109" s="78">
        <f t="shared" si="62"/>
        <v>0.48053000000000001</v>
      </c>
      <c r="BD109" s="78">
        <f t="shared" si="63"/>
        <v>0.48053000000000001</v>
      </c>
      <c r="BE109" s="78">
        <f t="shared" si="64"/>
        <v>0.48053000000000001</v>
      </c>
      <c r="BF109" s="78">
        <f t="shared" si="65"/>
        <v>0.48053000000000001</v>
      </c>
      <c r="BG109" s="78">
        <f t="shared" si="66"/>
        <v>0.48053000000000001</v>
      </c>
      <c r="BH109" s="78">
        <f t="shared" si="67"/>
        <v>0.48053000000000001</v>
      </c>
      <c r="BI109" s="78">
        <f t="shared" si="68"/>
        <v>0.48053000000000001</v>
      </c>
      <c r="BJ109" s="78">
        <f t="shared" si="69"/>
        <v>0.48053000000000001</v>
      </c>
      <c r="BK109" s="78">
        <f t="shared" si="70"/>
        <v>0.48053000000000001</v>
      </c>
      <c r="BL109" s="78">
        <f t="shared" si="71"/>
        <v>0.48053000000000001</v>
      </c>
      <c r="BM109" s="78">
        <f t="shared" si="72"/>
        <v>0.48053000000000001</v>
      </c>
      <c r="BN109" s="78">
        <f t="shared" si="73"/>
        <v>0.48053000000000001</v>
      </c>
      <c r="BO109" s="78">
        <f t="shared" si="74"/>
        <v>0.48053000000000001</v>
      </c>
      <c r="BP109" s="78">
        <f t="shared" si="75"/>
        <v>0.48053000000000001</v>
      </c>
      <c r="BQ109" s="78">
        <f t="shared" si="76"/>
        <v>0.48053000000000001</v>
      </c>
      <c r="BR109" s="78">
        <f t="shared" si="77"/>
        <v>0.48053000000000001</v>
      </c>
      <c r="BS109" s="77"/>
      <c r="BT109" s="77"/>
    </row>
    <row r="110" spans="1:72" ht="14.1" customHeight="1" x14ac:dyDescent="0.2">
      <c r="A110" s="55" t="str">
        <f t="shared" si="48"/>
        <v>GDS-4 (Large General Delivery)_Demand Gas Charge (DGC)</v>
      </c>
      <c r="B110" s="80" t="s">
        <v>673</v>
      </c>
      <c r="C110" s="83" t="s">
        <v>728</v>
      </c>
      <c r="D110" s="150"/>
      <c r="E110" s="81"/>
      <c r="F110" s="84" t="s">
        <v>640</v>
      </c>
      <c r="G110" s="84">
        <v>0</v>
      </c>
      <c r="H110" s="84">
        <v>6</v>
      </c>
      <c r="I110" s="74" t="s">
        <v>699</v>
      </c>
      <c r="J110" s="75" t="s">
        <v>634</v>
      </c>
      <c r="K110" s="74"/>
      <c r="L110" s="82">
        <v>0.63580000000000003</v>
      </c>
      <c r="M110" s="138">
        <v>0.50109999999999999</v>
      </c>
      <c r="N110" s="138">
        <v>0.49</v>
      </c>
      <c r="O110" s="138">
        <v>0.46539999999999998</v>
      </c>
      <c r="P110" s="138">
        <v>0.45090000000000002</v>
      </c>
      <c r="Q110" s="138">
        <v>0.45729999999999998</v>
      </c>
      <c r="R110" s="138">
        <v>0.46689999999999998</v>
      </c>
      <c r="S110" s="138">
        <v>0.48</v>
      </c>
      <c r="T110" s="138">
        <v>0.50239999999999996</v>
      </c>
      <c r="U110" s="138">
        <v>0.53010000000000002</v>
      </c>
      <c r="V110" s="138">
        <v>0.57069999999999999</v>
      </c>
      <c r="W110" s="138">
        <v>0.57069999999999999</v>
      </c>
      <c r="X110" s="138">
        <v>0.57069999999999999</v>
      </c>
      <c r="Y110" s="138">
        <f t="shared" si="78"/>
        <v>0.57069999999999999</v>
      </c>
      <c r="Z110" s="138">
        <f t="shared" si="79"/>
        <v>0.57069999999999999</v>
      </c>
      <c r="AA110" s="138">
        <f t="shared" si="80"/>
        <v>0.57069999999999999</v>
      </c>
      <c r="AB110" s="138">
        <f t="shared" si="81"/>
        <v>0.57069999999999999</v>
      </c>
      <c r="AC110" s="138">
        <f t="shared" si="82"/>
        <v>0.57069999999999999</v>
      </c>
      <c r="AD110" s="138">
        <f t="shared" si="83"/>
        <v>0.57069999999999999</v>
      </c>
      <c r="AE110" s="138">
        <f t="shared" si="84"/>
        <v>0.57069999999999999</v>
      </c>
      <c r="AF110" s="138">
        <f t="shared" si="85"/>
        <v>0.57069999999999999</v>
      </c>
      <c r="AG110" s="138">
        <f t="shared" si="86"/>
        <v>0.57069999999999999</v>
      </c>
      <c r="AH110" s="138">
        <f t="shared" si="87"/>
        <v>0.57069999999999999</v>
      </c>
      <c r="AI110" s="138">
        <f t="shared" si="88"/>
        <v>0.57069999999999999</v>
      </c>
      <c r="AJ110" s="138">
        <f t="shared" si="89"/>
        <v>0.57069999999999999</v>
      </c>
      <c r="AK110" s="138">
        <f t="shared" si="90"/>
        <v>0.57069999999999999</v>
      </c>
      <c r="AL110" s="138">
        <f t="shared" si="91"/>
        <v>0.5707000000000001</v>
      </c>
      <c r="AM110" s="138">
        <f t="shared" si="92"/>
        <v>0.54059166666666691</v>
      </c>
      <c r="AO110" s="77" t="str">
        <f t="shared" si="49"/>
        <v>GDS-4 (Large General Delivery)</v>
      </c>
      <c r="AP110" s="78" t="s">
        <v>674</v>
      </c>
      <c r="AQ110" s="77" t="str">
        <f t="shared" si="50"/>
        <v>Demand Gas Charge (DGC)</v>
      </c>
      <c r="AR110" s="78" t="str">
        <f t="shared" si="51"/>
        <v>Prorated</v>
      </c>
      <c r="AS110" s="79">
        <f t="shared" si="52"/>
        <v>6</v>
      </c>
      <c r="AT110" s="78">
        <f t="shared" si="53"/>
        <v>1</v>
      </c>
      <c r="AU110" s="78">
        <f t="shared" si="54"/>
        <v>0.50109999999999999</v>
      </c>
      <c r="AV110" s="78">
        <f t="shared" si="55"/>
        <v>0.49</v>
      </c>
      <c r="AW110" s="78">
        <f t="shared" si="56"/>
        <v>0.46539999999999998</v>
      </c>
      <c r="AX110" s="78">
        <f t="shared" si="57"/>
        <v>0.45090000000000002</v>
      </c>
      <c r="AY110" s="78">
        <f t="shared" si="58"/>
        <v>0.45729999999999998</v>
      </c>
      <c r="AZ110" s="78">
        <f t="shared" si="59"/>
        <v>0.46689999999999998</v>
      </c>
      <c r="BA110" s="78">
        <f t="shared" si="60"/>
        <v>0.48</v>
      </c>
      <c r="BB110" s="78">
        <f t="shared" si="61"/>
        <v>0.50239999999999996</v>
      </c>
      <c r="BC110" s="78">
        <f t="shared" si="62"/>
        <v>0.53010000000000002</v>
      </c>
      <c r="BD110" s="78">
        <f t="shared" si="63"/>
        <v>0.57069999999999999</v>
      </c>
      <c r="BE110" s="78">
        <f t="shared" si="64"/>
        <v>0.57069999999999999</v>
      </c>
      <c r="BF110" s="78">
        <f t="shared" si="65"/>
        <v>0.57069999999999999</v>
      </c>
      <c r="BG110" s="78">
        <f t="shared" si="66"/>
        <v>0.57069999999999999</v>
      </c>
      <c r="BH110" s="78">
        <f t="shared" si="67"/>
        <v>0.57069999999999999</v>
      </c>
      <c r="BI110" s="78">
        <f t="shared" si="68"/>
        <v>0.57069999999999999</v>
      </c>
      <c r="BJ110" s="78">
        <f t="shared" si="69"/>
        <v>0.57069999999999999</v>
      </c>
      <c r="BK110" s="78">
        <f t="shared" si="70"/>
        <v>0.57069999999999999</v>
      </c>
      <c r="BL110" s="78">
        <f t="shared" si="71"/>
        <v>0.57069999999999999</v>
      </c>
      <c r="BM110" s="78">
        <f t="shared" si="72"/>
        <v>0.57069999999999999</v>
      </c>
      <c r="BN110" s="78">
        <f t="shared" si="73"/>
        <v>0.57069999999999999</v>
      </c>
      <c r="BO110" s="78">
        <f t="shared" si="74"/>
        <v>0.57069999999999999</v>
      </c>
      <c r="BP110" s="78">
        <f t="shared" si="75"/>
        <v>0.57069999999999999</v>
      </c>
      <c r="BQ110" s="78">
        <f t="shared" si="76"/>
        <v>0.57069999999999999</v>
      </c>
      <c r="BR110" s="78">
        <f t="shared" si="77"/>
        <v>0.57069999999999999</v>
      </c>
      <c r="BS110" s="77"/>
      <c r="BT110" s="77"/>
    </row>
    <row r="111" spans="1:72" ht="14.1" customHeight="1" x14ac:dyDescent="0.2">
      <c r="A111" s="55" t="str">
        <f t="shared" si="48"/>
        <v>GDS-5 (Seasonal)_Demand Gas Charge (DGC)</v>
      </c>
      <c r="B111" s="80" t="s">
        <v>675</v>
      </c>
      <c r="C111" s="83" t="s">
        <v>728</v>
      </c>
      <c r="D111" s="150"/>
      <c r="E111" s="81"/>
      <c r="F111" s="84" t="s">
        <v>640</v>
      </c>
      <c r="G111" s="84">
        <v>0</v>
      </c>
      <c r="H111" s="84">
        <v>6</v>
      </c>
      <c r="I111" s="74" t="s">
        <v>699</v>
      </c>
      <c r="J111" s="75" t="s">
        <v>634</v>
      </c>
      <c r="K111" s="74"/>
      <c r="L111" s="82">
        <v>0.63580000000000003</v>
      </c>
      <c r="M111" s="138">
        <v>0.50109999999999999</v>
      </c>
      <c r="N111" s="138">
        <v>0.49</v>
      </c>
      <c r="O111" s="138">
        <v>0.46539999999999998</v>
      </c>
      <c r="P111" s="138">
        <v>0.45090000000000002</v>
      </c>
      <c r="Q111" s="138">
        <v>0.45729999999999998</v>
      </c>
      <c r="R111" s="138">
        <v>0.46689999999999998</v>
      </c>
      <c r="S111" s="138">
        <v>0.48</v>
      </c>
      <c r="T111" s="138">
        <v>0.50239999999999996</v>
      </c>
      <c r="U111" s="138">
        <v>0.53010000000000002</v>
      </c>
      <c r="V111" s="138">
        <v>0.57069999999999999</v>
      </c>
      <c r="W111" s="138">
        <v>0.57069999999999999</v>
      </c>
      <c r="X111" s="138">
        <v>0.57069999999999999</v>
      </c>
      <c r="Y111" s="138">
        <f t="shared" si="78"/>
        <v>0.57069999999999999</v>
      </c>
      <c r="Z111" s="138">
        <f t="shared" si="79"/>
        <v>0.57069999999999999</v>
      </c>
      <c r="AA111" s="138">
        <f t="shared" si="80"/>
        <v>0.57069999999999999</v>
      </c>
      <c r="AB111" s="138">
        <f t="shared" si="81"/>
        <v>0.57069999999999999</v>
      </c>
      <c r="AC111" s="138">
        <f t="shared" si="82"/>
        <v>0.57069999999999999</v>
      </c>
      <c r="AD111" s="138">
        <f t="shared" si="83"/>
        <v>0.57069999999999999</v>
      </c>
      <c r="AE111" s="138">
        <f t="shared" si="84"/>
        <v>0.57069999999999999</v>
      </c>
      <c r="AF111" s="138">
        <f t="shared" si="85"/>
        <v>0.57069999999999999</v>
      </c>
      <c r="AG111" s="138">
        <f t="shared" si="86"/>
        <v>0.57069999999999999</v>
      </c>
      <c r="AH111" s="138">
        <f t="shared" si="87"/>
        <v>0.57069999999999999</v>
      </c>
      <c r="AI111" s="138">
        <f t="shared" si="88"/>
        <v>0.57069999999999999</v>
      </c>
      <c r="AJ111" s="138">
        <f t="shared" si="89"/>
        <v>0.57069999999999999</v>
      </c>
      <c r="AK111" s="138">
        <f t="shared" si="90"/>
        <v>0.57069999999999999</v>
      </c>
      <c r="AL111" s="138">
        <f t="shared" si="91"/>
        <v>0.5707000000000001</v>
      </c>
      <c r="AM111" s="138">
        <f t="shared" si="92"/>
        <v>0.54059166666666691</v>
      </c>
      <c r="AO111" s="77" t="str">
        <f t="shared" si="49"/>
        <v>GDS-5 (Seasonal)</v>
      </c>
      <c r="AP111" s="78" t="s">
        <v>676</v>
      </c>
      <c r="AQ111" s="77" t="str">
        <f t="shared" si="50"/>
        <v>Demand Gas Charge (DGC)</v>
      </c>
      <c r="AR111" s="78" t="str">
        <f t="shared" si="51"/>
        <v>Prorated</v>
      </c>
      <c r="AS111" s="79">
        <f t="shared" si="52"/>
        <v>6</v>
      </c>
      <c r="AT111" s="78">
        <f t="shared" si="53"/>
        <v>1</v>
      </c>
      <c r="AU111" s="78">
        <f t="shared" si="54"/>
        <v>0.50109999999999999</v>
      </c>
      <c r="AV111" s="78">
        <f t="shared" si="55"/>
        <v>0.49</v>
      </c>
      <c r="AW111" s="78">
        <f t="shared" si="56"/>
        <v>0.46539999999999998</v>
      </c>
      <c r="AX111" s="78">
        <f t="shared" si="57"/>
        <v>0.45090000000000002</v>
      </c>
      <c r="AY111" s="78">
        <f t="shared" si="58"/>
        <v>0.45729999999999998</v>
      </c>
      <c r="AZ111" s="78">
        <f t="shared" si="59"/>
        <v>0.46689999999999998</v>
      </c>
      <c r="BA111" s="78">
        <f t="shared" si="60"/>
        <v>0.48</v>
      </c>
      <c r="BB111" s="78">
        <f t="shared" si="61"/>
        <v>0.50239999999999996</v>
      </c>
      <c r="BC111" s="78">
        <f t="shared" si="62"/>
        <v>0.53010000000000002</v>
      </c>
      <c r="BD111" s="78">
        <f t="shared" si="63"/>
        <v>0.57069999999999999</v>
      </c>
      <c r="BE111" s="78">
        <f t="shared" si="64"/>
        <v>0.57069999999999999</v>
      </c>
      <c r="BF111" s="78">
        <f t="shared" si="65"/>
        <v>0.57069999999999999</v>
      </c>
      <c r="BG111" s="78">
        <f t="shared" si="66"/>
        <v>0.57069999999999999</v>
      </c>
      <c r="BH111" s="78">
        <f t="shared" si="67"/>
        <v>0.57069999999999999</v>
      </c>
      <c r="BI111" s="78">
        <f t="shared" si="68"/>
        <v>0.57069999999999999</v>
      </c>
      <c r="BJ111" s="78">
        <f t="shared" si="69"/>
        <v>0.57069999999999999</v>
      </c>
      <c r="BK111" s="78">
        <f t="shared" si="70"/>
        <v>0.57069999999999999</v>
      </c>
      <c r="BL111" s="78">
        <f t="shared" si="71"/>
        <v>0.57069999999999999</v>
      </c>
      <c r="BM111" s="78">
        <f t="shared" si="72"/>
        <v>0.57069999999999999</v>
      </c>
      <c r="BN111" s="78">
        <f t="shared" si="73"/>
        <v>0.57069999999999999</v>
      </c>
      <c r="BO111" s="78">
        <f t="shared" si="74"/>
        <v>0.57069999999999999</v>
      </c>
      <c r="BP111" s="78">
        <f t="shared" si="75"/>
        <v>0.57069999999999999</v>
      </c>
      <c r="BQ111" s="78">
        <f t="shared" si="76"/>
        <v>0.57069999999999999</v>
      </c>
      <c r="BR111" s="78">
        <f t="shared" si="77"/>
        <v>0.57069999999999999</v>
      </c>
      <c r="BS111" s="77"/>
      <c r="BT111" s="77"/>
    </row>
    <row r="112" spans="1:72" ht="14.1" customHeight="1" x14ac:dyDescent="0.2">
      <c r="A112" s="55" t="str">
        <f t="shared" si="48"/>
        <v>GDS-6 (Inadequate Capacity)_Demand Gas Charge (DGC)</v>
      </c>
      <c r="B112" s="80" t="s">
        <v>700</v>
      </c>
      <c r="C112" s="83" t="s">
        <v>728</v>
      </c>
      <c r="D112" s="150"/>
      <c r="E112" s="81"/>
      <c r="F112" s="84" t="s">
        <v>640</v>
      </c>
      <c r="G112" s="84">
        <v>0</v>
      </c>
      <c r="H112" s="84">
        <v>6</v>
      </c>
      <c r="I112" s="74" t="s">
        <v>699</v>
      </c>
      <c r="J112" s="75" t="s">
        <v>634</v>
      </c>
      <c r="K112" s="74"/>
      <c r="L112" s="82">
        <v>0.63580000000000003</v>
      </c>
      <c r="M112" s="138">
        <v>0.50109999999999999</v>
      </c>
      <c r="N112" s="138">
        <v>0.49</v>
      </c>
      <c r="O112" s="138">
        <v>0.46539999999999998</v>
      </c>
      <c r="P112" s="138">
        <v>0.45090000000000002</v>
      </c>
      <c r="Q112" s="138">
        <v>0.45729999999999998</v>
      </c>
      <c r="R112" s="138">
        <v>0.46689999999999998</v>
      </c>
      <c r="S112" s="138">
        <v>0.48</v>
      </c>
      <c r="T112" s="138">
        <v>0.50239999999999996</v>
      </c>
      <c r="U112" s="138">
        <v>0.53010000000000002</v>
      </c>
      <c r="V112" s="138">
        <v>0.57069999999999999</v>
      </c>
      <c r="W112" s="138">
        <v>0.57069999999999999</v>
      </c>
      <c r="X112" s="138">
        <v>0.57069999999999999</v>
      </c>
      <c r="Y112" s="138">
        <f t="shared" si="78"/>
        <v>0.57069999999999999</v>
      </c>
      <c r="Z112" s="138">
        <f t="shared" si="79"/>
        <v>0.57069999999999999</v>
      </c>
      <c r="AA112" s="138">
        <f t="shared" si="80"/>
        <v>0.57069999999999999</v>
      </c>
      <c r="AB112" s="138">
        <f t="shared" si="81"/>
        <v>0.57069999999999999</v>
      </c>
      <c r="AC112" s="138">
        <f t="shared" si="82"/>
        <v>0.57069999999999999</v>
      </c>
      <c r="AD112" s="138">
        <f t="shared" si="83"/>
        <v>0.57069999999999999</v>
      </c>
      <c r="AE112" s="138">
        <f t="shared" si="84"/>
        <v>0.57069999999999999</v>
      </c>
      <c r="AF112" s="138">
        <f t="shared" si="85"/>
        <v>0.57069999999999999</v>
      </c>
      <c r="AG112" s="138">
        <f t="shared" si="86"/>
        <v>0.57069999999999999</v>
      </c>
      <c r="AH112" s="138">
        <f t="shared" si="87"/>
        <v>0.57069999999999999</v>
      </c>
      <c r="AI112" s="138">
        <f t="shared" si="88"/>
        <v>0.57069999999999999</v>
      </c>
      <c r="AJ112" s="138">
        <f t="shared" si="89"/>
        <v>0.57069999999999999</v>
      </c>
      <c r="AK112" s="138">
        <f t="shared" si="90"/>
        <v>0.57069999999999999</v>
      </c>
      <c r="AL112" s="138">
        <f t="shared" si="91"/>
        <v>0.5707000000000001</v>
      </c>
      <c r="AM112" s="138">
        <f t="shared" si="92"/>
        <v>0.54059166666666691</v>
      </c>
      <c r="AO112" s="77" t="str">
        <f t="shared" si="49"/>
        <v>GDS-6 (Inadequate Capacity)</v>
      </c>
      <c r="AP112" s="78" t="s">
        <v>701</v>
      </c>
      <c r="AQ112" s="77" t="str">
        <f t="shared" si="50"/>
        <v>Demand Gas Charge (DGC)</v>
      </c>
      <c r="AR112" s="78" t="str">
        <f t="shared" si="51"/>
        <v>Prorated</v>
      </c>
      <c r="AS112" s="79">
        <f t="shared" si="52"/>
        <v>6</v>
      </c>
      <c r="AT112" s="78">
        <f t="shared" si="53"/>
        <v>1</v>
      </c>
      <c r="AU112" s="78">
        <f t="shared" si="54"/>
        <v>0.50109999999999999</v>
      </c>
      <c r="AV112" s="78">
        <f t="shared" si="55"/>
        <v>0.49</v>
      </c>
      <c r="AW112" s="78">
        <f t="shared" si="56"/>
        <v>0.46539999999999998</v>
      </c>
      <c r="AX112" s="78">
        <f t="shared" si="57"/>
        <v>0.45090000000000002</v>
      </c>
      <c r="AY112" s="78">
        <f t="shared" si="58"/>
        <v>0.45729999999999998</v>
      </c>
      <c r="AZ112" s="78">
        <f t="shared" si="59"/>
        <v>0.46689999999999998</v>
      </c>
      <c r="BA112" s="78">
        <f t="shared" si="60"/>
        <v>0.48</v>
      </c>
      <c r="BB112" s="78">
        <f t="shared" si="61"/>
        <v>0.50239999999999996</v>
      </c>
      <c r="BC112" s="78">
        <f t="shared" si="62"/>
        <v>0.53010000000000002</v>
      </c>
      <c r="BD112" s="78">
        <f t="shared" si="63"/>
        <v>0.57069999999999999</v>
      </c>
      <c r="BE112" s="78">
        <f t="shared" si="64"/>
        <v>0.57069999999999999</v>
      </c>
      <c r="BF112" s="78">
        <f t="shared" si="65"/>
        <v>0.57069999999999999</v>
      </c>
      <c r="BG112" s="78">
        <f t="shared" si="66"/>
        <v>0.57069999999999999</v>
      </c>
      <c r="BH112" s="78">
        <f t="shared" si="67"/>
        <v>0.57069999999999999</v>
      </c>
      <c r="BI112" s="78">
        <f t="shared" si="68"/>
        <v>0.57069999999999999</v>
      </c>
      <c r="BJ112" s="78">
        <f t="shared" si="69"/>
        <v>0.57069999999999999</v>
      </c>
      <c r="BK112" s="78">
        <f t="shared" si="70"/>
        <v>0.57069999999999999</v>
      </c>
      <c r="BL112" s="78">
        <f t="shared" si="71"/>
        <v>0.57069999999999999</v>
      </c>
      <c r="BM112" s="78">
        <f t="shared" si="72"/>
        <v>0.57069999999999999</v>
      </c>
      <c r="BN112" s="78">
        <f t="shared" si="73"/>
        <v>0.57069999999999999</v>
      </c>
      <c r="BO112" s="78">
        <f t="shared" si="74"/>
        <v>0.57069999999999999</v>
      </c>
      <c r="BP112" s="78">
        <f t="shared" si="75"/>
        <v>0.57069999999999999</v>
      </c>
      <c r="BQ112" s="78">
        <f t="shared" si="76"/>
        <v>0.57069999999999999</v>
      </c>
      <c r="BR112" s="78">
        <f t="shared" si="77"/>
        <v>0.57069999999999999</v>
      </c>
      <c r="BS112" s="77"/>
      <c r="BT112" s="77"/>
    </row>
    <row r="113" spans="1:72" ht="14.1" customHeight="1" x14ac:dyDescent="0.2">
      <c r="A113" s="55" t="str">
        <f t="shared" si="48"/>
        <v>GDS-4 (Large General Delivery)_Demand Gas Charge (DGC) - Uncollectible Adjustment</v>
      </c>
      <c r="B113" s="80" t="s">
        <v>673</v>
      </c>
      <c r="C113" s="83" t="s">
        <v>729</v>
      </c>
      <c r="D113" s="150"/>
      <c r="E113" s="81"/>
      <c r="F113" s="84" t="s">
        <v>640</v>
      </c>
      <c r="G113" s="84">
        <v>0</v>
      </c>
      <c r="H113" s="84">
        <v>6</v>
      </c>
      <c r="I113" s="74" t="s">
        <v>699</v>
      </c>
      <c r="J113" s="75" t="s">
        <v>634</v>
      </c>
      <c r="K113" s="74"/>
      <c r="L113" s="82">
        <v>0</v>
      </c>
      <c r="M113" s="138">
        <v>2.7E-4</v>
      </c>
      <c r="N113" s="138">
        <v>2.5999999999999998E-4</v>
      </c>
      <c r="O113" s="138">
        <v>2.5000000000000001E-4</v>
      </c>
      <c r="P113" s="138">
        <v>2.4000000000000001E-4</v>
      </c>
      <c r="Q113" s="138">
        <v>2.5000000000000001E-4</v>
      </c>
      <c r="R113" s="138">
        <v>2.5000000000000001E-4</v>
      </c>
      <c r="S113" s="138">
        <v>2.5999999999999998E-4</v>
      </c>
      <c r="T113" s="138">
        <v>2.7E-4</v>
      </c>
      <c r="U113" s="138">
        <v>2.9E-4</v>
      </c>
      <c r="V113" s="138">
        <v>3.1E-4</v>
      </c>
      <c r="W113" s="138">
        <v>3.1E-4</v>
      </c>
      <c r="X113" s="138">
        <v>3.1E-4</v>
      </c>
      <c r="Y113" s="138">
        <f t="shared" si="78"/>
        <v>3.1E-4</v>
      </c>
      <c r="Z113" s="138">
        <f t="shared" si="79"/>
        <v>3.1E-4</v>
      </c>
      <c r="AA113" s="138">
        <f t="shared" si="80"/>
        <v>3.1E-4</v>
      </c>
      <c r="AB113" s="138">
        <f t="shared" si="81"/>
        <v>3.1E-4</v>
      </c>
      <c r="AC113" s="138">
        <f t="shared" si="82"/>
        <v>3.1E-4</v>
      </c>
      <c r="AD113" s="138">
        <f t="shared" si="83"/>
        <v>3.1E-4</v>
      </c>
      <c r="AE113" s="138">
        <f t="shared" si="84"/>
        <v>3.1E-4</v>
      </c>
      <c r="AF113" s="138">
        <f t="shared" si="85"/>
        <v>3.1E-4</v>
      </c>
      <c r="AG113" s="138">
        <f t="shared" si="86"/>
        <v>3.1E-4</v>
      </c>
      <c r="AH113" s="138">
        <f t="shared" si="87"/>
        <v>3.1E-4</v>
      </c>
      <c r="AI113" s="138">
        <f t="shared" si="88"/>
        <v>3.1E-4</v>
      </c>
      <c r="AJ113" s="138">
        <f t="shared" si="89"/>
        <v>3.1E-4</v>
      </c>
      <c r="AK113" s="138">
        <f t="shared" si="90"/>
        <v>3.1E-4</v>
      </c>
      <c r="AL113" s="138">
        <f t="shared" si="91"/>
        <v>3.1E-4</v>
      </c>
      <c r="AM113" s="138">
        <f t="shared" si="92"/>
        <v>2.9291666666666686E-4</v>
      </c>
      <c r="AO113" s="77" t="str">
        <f t="shared" si="49"/>
        <v>GDS-4 (Large General Delivery)</v>
      </c>
      <c r="AP113" s="78" t="s">
        <v>674</v>
      </c>
      <c r="AQ113" s="77" t="str">
        <f t="shared" si="50"/>
        <v>Demand Gas Charge (DGC) - Uncollectible Adjustment</v>
      </c>
      <c r="AR113" s="78" t="str">
        <f t="shared" si="51"/>
        <v>Prorated</v>
      </c>
      <c r="AS113" s="79">
        <f t="shared" si="52"/>
        <v>6</v>
      </c>
      <c r="AT113" s="78">
        <f t="shared" si="53"/>
        <v>0</v>
      </c>
      <c r="AU113" s="78">
        <f t="shared" si="54"/>
        <v>2.7E-4</v>
      </c>
      <c r="AV113" s="78">
        <f t="shared" si="55"/>
        <v>2.5999999999999998E-4</v>
      </c>
      <c r="AW113" s="78">
        <f t="shared" si="56"/>
        <v>2.5000000000000001E-4</v>
      </c>
      <c r="AX113" s="78">
        <f t="shared" si="57"/>
        <v>2.4000000000000001E-4</v>
      </c>
      <c r="AY113" s="78">
        <f t="shared" si="58"/>
        <v>2.5000000000000001E-4</v>
      </c>
      <c r="AZ113" s="78">
        <f t="shared" si="59"/>
        <v>2.5000000000000001E-4</v>
      </c>
      <c r="BA113" s="78">
        <f t="shared" si="60"/>
        <v>2.5999999999999998E-4</v>
      </c>
      <c r="BB113" s="78">
        <f t="shared" si="61"/>
        <v>2.7E-4</v>
      </c>
      <c r="BC113" s="78">
        <f t="shared" si="62"/>
        <v>2.9E-4</v>
      </c>
      <c r="BD113" s="78">
        <f t="shared" si="63"/>
        <v>3.1E-4</v>
      </c>
      <c r="BE113" s="78">
        <f t="shared" si="64"/>
        <v>3.1E-4</v>
      </c>
      <c r="BF113" s="78">
        <f t="shared" si="65"/>
        <v>3.1E-4</v>
      </c>
      <c r="BG113" s="78">
        <f t="shared" si="66"/>
        <v>3.1E-4</v>
      </c>
      <c r="BH113" s="78">
        <f t="shared" si="67"/>
        <v>3.1E-4</v>
      </c>
      <c r="BI113" s="78">
        <f t="shared" si="68"/>
        <v>3.1E-4</v>
      </c>
      <c r="BJ113" s="78">
        <f t="shared" si="69"/>
        <v>3.1E-4</v>
      </c>
      <c r="BK113" s="78">
        <f t="shared" si="70"/>
        <v>3.1E-4</v>
      </c>
      <c r="BL113" s="78">
        <f t="shared" si="71"/>
        <v>3.1E-4</v>
      </c>
      <c r="BM113" s="78">
        <f t="shared" si="72"/>
        <v>3.1E-4</v>
      </c>
      <c r="BN113" s="78">
        <f t="shared" si="73"/>
        <v>3.1E-4</v>
      </c>
      <c r="BO113" s="78">
        <f t="shared" si="74"/>
        <v>3.1E-4</v>
      </c>
      <c r="BP113" s="78">
        <f t="shared" si="75"/>
        <v>3.1E-4</v>
      </c>
      <c r="BQ113" s="78">
        <f t="shared" si="76"/>
        <v>3.1E-4</v>
      </c>
      <c r="BR113" s="78">
        <f t="shared" si="77"/>
        <v>3.1E-4</v>
      </c>
      <c r="BS113" s="77"/>
      <c r="BT113" s="77"/>
    </row>
    <row r="114" spans="1:72" ht="14.1" customHeight="1" x14ac:dyDescent="0.2">
      <c r="A114" s="55" t="str">
        <f t="shared" si="48"/>
        <v>GDS-5 (Seasonal)_Demand Gas Charge (DGC) - Uncollectible Adjustment</v>
      </c>
      <c r="B114" s="80" t="s">
        <v>675</v>
      </c>
      <c r="C114" s="83" t="s">
        <v>729</v>
      </c>
      <c r="D114" s="150"/>
      <c r="E114" s="81"/>
      <c r="F114" s="84" t="s">
        <v>640</v>
      </c>
      <c r="G114" s="84">
        <v>0</v>
      </c>
      <c r="H114" s="84">
        <v>6</v>
      </c>
      <c r="I114" s="74" t="s">
        <v>699</v>
      </c>
      <c r="J114" s="75" t="s">
        <v>634</v>
      </c>
      <c r="K114" s="74"/>
      <c r="L114" s="82">
        <v>0</v>
      </c>
      <c r="M114" s="138">
        <v>4.3800000000000002E-3</v>
      </c>
      <c r="N114" s="138">
        <v>4.2900000000000004E-3</v>
      </c>
      <c r="O114" s="138">
        <v>4.0699999999999998E-3</v>
      </c>
      <c r="P114" s="138">
        <v>3.9500000000000004E-3</v>
      </c>
      <c r="Q114" s="138">
        <v>4.0000000000000001E-3</v>
      </c>
      <c r="R114" s="138">
        <v>4.0899999999999999E-3</v>
      </c>
      <c r="S114" s="138">
        <v>4.1999999999999997E-3</v>
      </c>
      <c r="T114" s="138">
        <v>4.4000000000000003E-3</v>
      </c>
      <c r="U114" s="138">
        <v>4.64E-3</v>
      </c>
      <c r="V114" s="138">
        <v>4.9899999999999996E-3</v>
      </c>
      <c r="W114" s="138">
        <v>4.9899999999999996E-3</v>
      </c>
      <c r="X114" s="138">
        <v>4.9899999999999996E-3</v>
      </c>
      <c r="Y114" s="138">
        <f t="shared" si="78"/>
        <v>4.9899999999999996E-3</v>
      </c>
      <c r="Z114" s="138">
        <f t="shared" si="79"/>
        <v>4.9899999999999996E-3</v>
      </c>
      <c r="AA114" s="138">
        <f t="shared" si="80"/>
        <v>4.9899999999999996E-3</v>
      </c>
      <c r="AB114" s="138">
        <f t="shared" si="81"/>
        <v>4.9899999999999996E-3</v>
      </c>
      <c r="AC114" s="138">
        <f t="shared" si="82"/>
        <v>4.9899999999999996E-3</v>
      </c>
      <c r="AD114" s="138">
        <f t="shared" si="83"/>
        <v>4.9899999999999996E-3</v>
      </c>
      <c r="AE114" s="138">
        <f t="shared" si="84"/>
        <v>4.9899999999999996E-3</v>
      </c>
      <c r="AF114" s="138">
        <f t="shared" si="85"/>
        <v>4.9899999999999996E-3</v>
      </c>
      <c r="AG114" s="138">
        <f t="shared" si="86"/>
        <v>4.9899999999999996E-3</v>
      </c>
      <c r="AH114" s="138">
        <f t="shared" si="87"/>
        <v>4.9899999999999996E-3</v>
      </c>
      <c r="AI114" s="138">
        <f t="shared" si="88"/>
        <v>4.9899999999999996E-3</v>
      </c>
      <c r="AJ114" s="138">
        <f t="shared" si="89"/>
        <v>4.9899999999999996E-3</v>
      </c>
      <c r="AK114" s="138">
        <f t="shared" si="90"/>
        <v>4.9899999999999996E-3</v>
      </c>
      <c r="AL114" s="138">
        <f t="shared" si="91"/>
        <v>4.9900000000000005E-3</v>
      </c>
      <c r="AM114" s="138">
        <f t="shared" si="92"/>
        <v>4.7283333333333309E-3</v>
      </c>
      <c r="AO114" s="77" t="str">
        <f t="shared" si="49"/>
        <v>GDS-5 (Seasonal)</v>
      </c>
      <c r="AP114" s="78" t="s">
        <v>676</v>
      </c>
      <c r="AQ114" s="77" t="str">
        <f t="shared" si="50"/>
        <v>Demand Gas Charge (DGC) - Uncollectible Adjustment</v>
      </c>
      <c r="AR114" s="78" t="str">
        <f t="shared" si="51"/>
        <v>Prorated</v>
      </c>
      <c r="AS114" s="79">
        <f t="shared" si="52"/>
        <v>6</v>
      </c>
      <c r="AT114" s="78">
        <f t="shared" si="53"/>
        <v>0</v>
      </c>
      <c r="AU114" s="78">
        <f t="shared" si="54"/>
        <v>4.3800000000000002E-3</v>
      </c>
      <c r="AV114" s="78">
        <f t="shared" si="55"/>
        <v>4.2900000000000004E-3</v>
      </c>
      <c r="AW114" s="78">
        <f t="shared" si="56"/>
        <v>4.0699999999999998E-3</v>
      </c>
      <c r="AX114" s="78">
        <f t="shared" si="57"/>
        <v>3.9500000000000004E-3</v>
      </c>
      <c r="AY114" s="78">
        <f t="shared" si="58"/>
        <v>4.0000000000000001E-3</v>
      </c>
      <c r="AZ114" s="78">
        <f t="shared" si="59"/>
        <v>4.0899999999999999E-3</v>
      </c>
      <c r="BA114" s="78">
        <f t="shared" si="60"/>
        <v>4.1999999999999997E-3</v>
      </c>
      <c r="BB114" s="78">
        <f t="shared" si="61"/>
        <v>4.4000000000000003E-3</v>
      </c>
      <c r="BC114" s="78">
        <f t="shared" si="62"/>
        <v>4.64E-3</v>
      </c>
      <c r="BD114" s="78">
        <f t="shared" si="63"/>
        <v>4.9899999999999996E-3</v>
      </c>
      <c r="BE114" s="78">
        <f t="shared" si="64"/>
        <v>4.9899999999999996E-3</v>
      </c>
      <c r="BF114" s="78">
        <f t="shared" si="65"/>
        <v>4.9899999999999996E-3</v>
      </c>
      <c r="BG114" s="78">
        <f t="shared" si="66"/>
        <v>4.9899999999999996E-3</v>
      </c>
      <c r="BH114" s="78">
        <f t="shared" si="67"/>
        <v>4.9899999999999996E-3</v>
      </c>
      <c r="BI114" s="78">
        <f t="shared" si="68"/>
        <v>4.9899999999999996E-3</v>
      </c>
      <c r="BJ114" s="78">
        <f t="shared" si="69"/>
        <v>4.9899999999999996E-3</v>
      </c>
      <c r="BK114" s="78">
        <f t="shared" si="70"/>
        <v>4.9899999999999996E-3</v>
      </c>
      <c r="BL114" s="78">
        <f t="shared" si="71"/>
        <v>4.9899999999999996E-3</v>
      </c>
      <c r="BM114" s="78">
        <f t="shared" si="72"/>
        <v>4.9899999999999996E-3</v>
      </c>
      <c r="BN114" s="78">
        <f t="shared" si="73"/>
        <v>4.9899999999999996E-3</v>
      </c>
      <c r="BO114" s="78">
        <f t="shared" si="74"/>
        <v>4.9899999999999996E-3</v>
      </c>
      <c r="BP114" s="78">
        <f t="shared" si="75"/>
        <v>4.9899999999999996E-3</v>
      </c>
      <c r="BQ114" s="78">
        <f t="shared" si="76"/>
        <v>4.9899999999999996E-3</v>
      </c>
      <c r="BR114" s="78">
        <f t="shared" si="77"/>
        <v>4.9899999999999996E-3</v>
      </c>
      <c r="BS114" s="77"/>
      <c r="BT114" s="77"/>
    </row>
    <row r="115" spans="1:72" ht="14.1" customHeight="1" x14ac:dyDescent="0.2">
      <c r="A115" s="55" t="str">
        <f t="shared" si="48"/>
        <v>GDS-6 (Inadequate Capacity)_Demand Gas Charge (DGC) - Uncollectible Adjustment</v>
      </c>
      <c r="B115" s="80" t="s">
        <v>700</v>
      </c>
      <c r="C115" s="83" t="s">
        <v>729</v>
      </c>
      <c r="D115" s="150"/>
      <c r="E115" s="81"/>
      <c r="F115" s="84" t="s">
        <v>640</v>
      </c>
      <c r="G115" s="84">
        <v>0</v>
      </c>
      <c r="H115" s="84">
        <v>6</v>
      </c>
      <c r="I115" s="74" t="s">
        <v>699</v>
      </c>
      <c r="J115" s="75" t="s">
        <v>634</v>
      </c>
      <c r="K115" s="74"/>
      <c r="L115" s="82">
        <v>0</v>
      </c>
      <c r="M115" s="138">
        <v>0</v>
      </c>
      <c r="N115" s="138">
        <v>0</v>
      </c>
      <c r="O115" s="138">
        <v>0</v>
      </c>
      <c r="P115" s="138">
        <v>0</v>
      </c>
      <c r="Q115" s="138">
        <v>0</v>
      </c>
      <c r="R115" s="138">
        <v>0</v>
      </c>
      <c r="S115" s="138">
        <v>0</v>
      </c>
      <c r="T115" s="138">
        <v>0</v>
      </c>
      <c r="U115" s="138">
        <v>0</v>
      </c>
      <c r="V115" s="138">
        <v>0</v>
      </c>
      <c r="W115" s="138">
        <v>0</v>
      </c>
      <c r="X115" s="138">
        <v>0</v>
      </c>
      <c r="Y115" s="138">
        <f t="shared" si="78"/>
        <v>0</v>
      </c>
      <c r="Z115" s="138">
        <f t="shared" si="79"/>
        <v>0</v>
      </c>
      <c r="AA115" s="138">
        <f t="shared" si="80"/>
        <v>0</v>
      </c>
      <c r="AB115" s="138">
        <f t="shared" si="81"/>
        <v>0</v>
      </c>
      <c r="AC115" s="138">
        <f t="shared" si="82"/>
        <v>0</v>
      </c>
      <c r="AD115" s="138">
        <f t="shared" si="83"/>
        <v>0</v>
      </c>
      <c r="AE115" s="138">
        <f t="shared" si="84"/>
        <v>0</v>
      </c>
      <c r="AF115" s="138">
        <f t="shared" si="85"/>
        <v>0</v>
      </c>
      <c r="AG115" s="138">
        <f t="shared" si="86"/>
        <v>0</v>
      </c>
      <c r="AH115" s="138">
        <f t="shared" si="87"/>
        <v>0</v>
      </c>
      <c r="AI115" s="138">
        <f t="shared" si="88"/>
        <v>0</v>
      </c>
      <c r="AJ115" s="138">
        <f t="shared" si="89"/>
        <v>0</v>
      </c>
      <c r="AK115" s="138">
        <f t="shared" si="90"/>
        <v>0</v>
      </c>
      <c r="AL115" s="138">
        <f t="shared" si="91"/>
        <v>0</v>
      </c>
      <c r="AM115" s="138">
        <f t="shared" si="92"/>
        <v>0</v>
      </c>
      <c r="AO115" s="77" t="str">
        <f t="shared" si="49"/>
        <v>GDS-6 (Inadequate Capacity)</v>
      </c>
      <c r="AP115" s="78" t="s">
        <v>701</v>
      </c>
      <c r="AQ115" s="77" t="str">
        <f t="shared" si="50"/>
        <v>Demand Gas Charge (DGC) - Uncollectible Adjustment</v>
      </c>
      <c r="AR115" s="78" t="str">
        <f t="shared" si="51"/>
        <v>Prorated</v>
      </c>
      <c r="AS115" s="79">
        <f t="shared" si="52"/>
        <v>6</v>
      </c>
      <c r="AT115" s="78">
        <f t="shared" si="53"/>
        <v>0</v>
      </c>
      <c r="AU115" s="78">
        <f t="shared" si="54"/>
        <v>0</v>
      </c>
      <c r="AV115" s="78">
        <f t="shared" si="55"/>
        <v>0</v>
      </c>
      <c r="AW115" s="78">
        <f t="shared" si="56"/>
        <v>0</v>
      </c>
      <c r="AX115" s="78">
        <f t="shared" si="57"/>
        <v>0</v>
      </c>
      <c r="AY115" s="78">
        <f t="shared" si="58"/>
        <v>0</v>
      </c>
      <c r="AZ115" s="78">
        <f t="shared" si="59"/>
        <v>0</v>
      </c>
      <c r="BA115" s="78">
        <f t="shared" si="60"/>
        <v>0</v>
      </c>
      <c r="BB115" s="78">
        <f t="shared" si="61"/>
        <v>0</v>
      </c>
      <c r="BC115" s="78">
        <f t="shared" si="62"/>
        <v>0</v>
      </c>
      <c r="BD115" s="78">
        <f t="shared" si="63"/>
        <v>0</v>
      </c>
      <c r="BE115" s="78">
        <f t="shared" si="64"/>
        <v>0</v>
      </c>
      <c r="BF115" s="78">
        <f t="shared" si="65"/>
        <v>0</v>
      </c>
      <c r="BG115" s="78">
        <f t="shared" si="66"/>
        <v>0</v>
      </c>
      <c r="BH115" s="78">
        <f t="shared" si="67"/>
        <v>0</v>
      </c>
      <c r="BI115" s="78">
        <f t="shared" si="68"/>
        <v>0</v>
      </c>
      <c r="BJ115" s="78">
        <f t="shared" si="69"/>
        <v>0</v>
      </c>
      <c r="BK115" s="78">
        <f t="shared" si="70"/>
        <v>0</v>
      </c>
      <c r="BL115" s="78">
        <f t="shared" si="71"/>
        <v>0</v>
      </c>
      <c r="BM115" s="78">
        <f t="shared" si="72"/>
        <v>0</v>
      </c>
      <c r="BN115" s="78">
        <f t="shared" si="73"/>
        <v>0</v>
      </c>
      <c r="BO115" s="78">
        <f t="shared" si="74"/>
        <v>0</v>
      </c>
      <c r="BP115" s="78">
        <f t="shared" si="75"/>
        <v>0</v>
      </c>
      <c r="BQ115" s="78">
        <f t="shared" si="76"/>
        <v>0</v>
      </c>
      <c r="BR115" s="78">
        <f t="shared" si="77"/>
        <v>0</v>
      </c>
      <c r="BS115" s="77"/>
      <c r="BT115" s="77"/>
    </row>
    <row r="116" spans="1:72" ht="14.1" customHeight="1" x14ac:dyDescent="0.2">
      <c r="A116" s="55" t="str">
        <f t="shared" si="48"/>
        <v>GDS-4 (Large General Delivery)_Demand Gas Charge (DGC) - Working Capital Adjustment</v>
      </c>
      <c r="B116" s="80" t="s">
        <v>673</v>
      </c>
      <c r="C116" s="83" t="s">
        <v>730</v>
      </c>
      <c r="D116" s="150"/>
      <c r="E116" s="81"/>
      <c r="F116" s="84" t="s">
        <v>640</v>
      </c>
      <c r="G116" s="84">
        <v>0</v>
      </c>
      <c r="H116" s="84">
        <v>6</v>
      </c>
      <c r="I116" s="74" t="s">
        <v>699</v>
      </c>
      <c r="J116" s="75" t="s">
        <v>634</v>
      </c>
      <c r="K116" s="74"/>
      <c r="L116" s="82">
        <v>1.33E-3</v>
      </c>
      <c r="M116" s="138">
        <v>1.9599999999999999E-3</v>
      </c>
      <c r="N116" s="138">
        <v>1.92E-3</v>
      </c>
      <c r="O116" s="138">
        <v>1.82E-3</v>
      </c>
      <c r="P116" s="138">
        <v>1.7700000000000001E-3</v>
      </c>
      <c r="Q116" s="138">
        <v>1.7899999999999999E-3</v>
      </c>
      <c r="R116" s="138">
        <v>1.83E-3</v>
      </c>
      <c r="S116" s="138">
        <v>1.8799999999999999E-3</v>
      </c>
      <c r="T116" s="138">
        <v>1.97E-3</v>
      </c>
      <c r="U116" s="138">
        <v>2.0799999999999998E-3</v>
      </c>
      <c r="V116" s="138">
        <v>2.2399999999999998E-3</v>
      </c>
      <c r="W116" s="138">
        <v>2.2399999999999998E-3</v>
      </c>
      <c r="X116" s="138">
        <v>2.2399999999999998E-3</v>
      </c>
      <c r="Y116" s="138">
        <f t="shared" si="78"/>
        <v>2.2399999999999998E-3</v>
      </c>
      <c r="Z116" s="138">
        <f t="shared" si="79"/>
        <v>2.2399999999999998E-3</v>
      </c>
      <c r="AA116" s="138">
        <f t="shared" si="80"/>
        <v>2.2399999999999998E-3</v>
      </c>
      <c r="AB116" s="138">
        <f t="shared" si="81"/>
        <v>2.2399999999999998E-3</v>
      </c>
      <c r="AC116" s="138">
        <f t="shared" si="82"/>
        <v>2.2399999999999998E-3</v>
      </c>
      <c r="AD116" s="138">
        <f t="shared" si="83"/>
        <v>2.2399999999999998E-3</v>
      </c>
      <c r="AE116" s="138">
        <f t="shared" si="84"/>
        <v>2.2399999999999998E-3</v>
      </c>
      <c r="AF116" s="138">
        <f t="shared" si="85"/>
        <v>2.2399999999999998E-3</v>
      </c>
      <c r="AG116" s="138">
        <f t="shared" si="86"/>
        <v>2.2399999999999998E-3</v>
      </c>
      <c r="AH116" s="138">
        <f t="shared" si="87"/>
        <v>2.2399999999999998E-3</v>
      </c>
      <c r="AI116" s="138">
        <f t="shared" si="88"/>
        <v>2.2399999999999998E-3</v>
      </c>
      <c r="AJ116" s="138">
        <f t="shared" si="89"/>
        <v>2.2399999999999998E-3</v>
      </c>
      <c r="AK116" s="138">
        <f t="shared" si="90"/>
        <v>2.2399999999999998E-3</v>
      </c>
      <c r="AL116" s="138">
        <f t="shared" si="91"/>
        <v>2.2399999999999994E-3</v>
      </c>
      <c r="AM116" s="138">
        <f t="shared" si="92"/>
        <v>2.1208333333333326E-3</v>
      </c>
      <c r="AO116" s="77" t="str">
        <f t="shared" si="49"/>
        <v>GDS-4 (Large General Delivery)</v>
      </c>
      <c r="AP116" s="78" t="s">
        <v>674</v>
      </c>
      <c r="AQ116" s="77" t="str">
        <f t="shared" si="50"/>
        <v>Demand Gas Charge (DGC) - Working Capital Adjustment</v>
      </c>
      <c r="AR116" s="78" t="str">
        <f t="shared" si="51"/>
        <v>Prorated</v>
      </c>
      <c r="AS116" s="79">
        <f t="shared" si="52"/>
        <v>6</v>
      </c>
      <c r="AT116" s="78">
        <f t="shared" si="53"/>
        <v>0</v>
      </c>
      <c r="AU116" s="78">
        <f t="shared" si="54"/>
        <v>1.9599999999999999E-3</v>
      </c>
      <c r="AV116" s="78">
        <f t="shared" si="55"/>
        <v>1.92E-3</v>
      </c>
      <c r="AW116" s="78">
        <f t="shared" si="56"/>
        <v>1.82E-3</v>
      </c>
      <c r="AX116" s="78">
        <f t="shared" si="57"/>
        <v>1.7700000000000001E-3</v>
      </c>
      <c r="AY116" s="78">
        <f t="shared" si="58"/>
        <v>1.7899999999999999E-3</v>
      </c>
      <c r="AZ116" s="78">
        <f t="shared" si="59"/>
        <v>1.83E-3</v>
      </c>
      <c r="BA116" s="78">
        <f t="shared" si="60"/>
        <v>1.8799999999999999E-3</v>
      </c>
      <c r="BB116" s="78">
        <f t="shared" si="61"/>
        <v>1.97E-3</v>
      </c>
      <c r="BC116" s="78">
        <f t="shared" si="62"/>
        <v>2.0799999999999998E-3</v>
      </c>
      <c r="BD116" s="78">
        <f t="shared" si="63"/>
        <v>2.2399999999999998E-3</v>
      </c>
      <c r="BE116" s="78">
        <f t="shared" si="64"/>
        <v>2.2399999999999998E-3</v>
      </c>
      <c r="BF116" s="78">
        <f t="shared" si="65"/>
        <v>2.2399999999999998E-3</v>
      </c>
      <c r="BG116" s="78">
        <f t="shared" si="66"/>
        <v>2.2399999999999998E-3</v>
      </c>
      <c r="BH116" s="78">
        <f t="shared" si="67"/>
        <v>2.2399999999999998E-3</v>
      </c>
      <c r="BI116" s="78">
        <f t="shared" si="68"/>
        <v>2.2399999999999998E-3</v>
      </c>
      <c r="BJ116" s="78">
        <f t="shared" si="69"/>
        <v>2.2399999999999998E-3</v>
      </c>
      <c r="BK116" s="78">
        <f t="shared" si="70"/>
        <v>2.2399999999999998E-3</v>
      </c>
      <c r="BL116" s="78">
        <f t="shared" si="71"/>
        <v>2.2399999999999998E-3</v>
      </c>
      <c r="BM116" s="78">
        <f t="shared" si="72"/>
        <v>2.2399999999999998E-3</v>
      </c>
      <c r="BN116" s="78">
        <f t="shared" si="73"/>
        <v>2.2399999999999998E-3</v>
      </c>
      <c r="BO116" s="78">
        <f t="shared" si="74"/>
        <v>2.2399999999999998E-3</v>
      </c>
      <c r="BP116" s="78">
        <f t="shared" si="75"/>
        <v>2.2399999999999998E-3</v>
      </c>
      <c r="BQ116" s="78">
        <f t="shared" si="76"/>
        <v>2.2399999999999998E-3</v>
      </c>
      <c r="BR116" s="78">
        <f t="shared" si="77"/>
        <v>2.2399999999999998E-3</v>
      </c>
      <c r="BS116" s="77">
        <v>2000</v>
      </c>
      <c r="BT116" s="77" t="s">
        <v>654</v>
      </c>
    </row>
    <row r="117" spans="1:72" ht="14.1" customHeight="1" x14ac:dyDescent="0.2">
      <c r="A117" s="55" t="str">
        <f t="shared" si="48"/>
        <v>GDS-5 (Seasonal)_Demand Gas Charge (DGC) - Working Capital Adjustment</v>
      </c>
      <c r="B117" s="80" t="s">
        <v>675</v>
      </c>
      <c r="C117" s="83" t="s">
        <v>730</v>
      </c>
      <c r="D117" s="150"/>
      <c r="E117" s="81"/>
      <c r="F117" s="84" t="s">
        <v>640</v>
      </c>
      <c r="G117" s="84">
        <v>0</v>
      </c>
      <c r="H117" s="84">
        <v>6</v>
      </c>
      <c r="I117" s="74" t="s">
        <v>699</v>
      </c>
      <c r="J117" s="75" t="s">
        <v>634</v>
      </c>
      <c r="K117" s="74"/>
      <c r="L117" s="82">
        <v>1.33E-3</v>
      </c>
      <c r="M117" s="138">
        <v>1.9599999999999999E-3</v>
      </c>
      <c r="N117" s="138">
        <v>1.92E-3</v>
      </c>
      <c r="O117" s="138">
        <v>1.82E-3</v>
      </c>
      <c r="P117" s="138">
        <v>1.7700000000000001E-3</v>
      </c>
      <c r="Q117" s="138">
        <v>1.7899999999999999E-3</v>
      </c>
      <c r="R117" s="138">
        <v>1.83E-3</v>
      </c>
      <c r="S117" s="138">
        <v>1.8799999999999999E-3</v>
      </c>
      <c r="T117" s="138">
        <v>1.97E-3</v>
      </c>
      <c r="U117" s="138">
        <v>2.0799999999999998E-3</v>
      </c>
      <c r="V117" s="138">
        <v>2.2399999999999998E-3</v>
      </c>
      <c r="W117" s="138">
        <v>2.2399999999999998E-3</v>
      </c>
      <c r="X117" s="138">
        <v>2.2399999999999998E-3</v>
      </c>
      <c r="Y117" s="138">
        <f t="shared" si="78"/>
        <v>2.2399999999999998E-3</v>
      </c>
      <c r="Z117" s="138">
        <f t="shared" si="79"/>
        <v>2.2399999999999998E-3</v>
      </c>
      <c r="AA117" s="138">
        <f t="shared" si="80"/>
        <v>2.2399999999999998E-3</v>
      </c>
      <c r="AB117" s="138">
        <f t="shared" si="81"/>
        <v>2.2399999999999998E-3</v>
      </c>
      <c r="AC117" s="138">
        <f t="shared" si="82"/>
        <v>2.2399999999999998E-3</v>
      </c>
      <c r="AD117" s="138">
        <f t="shared" si="83"/>
        <v>2.2399999999999998E-3</v>
      </c>
      <c r="AE117" s="138">
        <f t="shared" si="84"/>
        <v>2.2399999999999998E-3</v>
      </c>
      <c r="AF117" s="138">
        <f t="shared" si="85"/>
        <v>2.2399999999999998E-3</v>
      </c>
      <c r="AG117" s="138">
        <f t="shared" si="86"/>
        <v>2.2399999999999998E-3</v>
      </c>
      <c r="AH117" s="138">
        <f t="shared" si="87"/>
        <v>2.2399999999999998E-3</v>
      </c>
      <c r="AI117" s="138">
        <f t="shared" si="88"/>
        <v>2.2399999999999998E-3</v>
      </c>
      <c r="AJ117" s="138">
        <f t="shared" si="89"/>
        <v>2.2399999999999998E-3</v>
      </c>
      <c r="AK117" s="138">
        <f t="shared" si="90"/>
        <v>2.2399999999999998E-3</v>
      </c>
      <c r="AL117" s="138">
        <f t="shared" si="91"/>
        <v>2.2399999999999994E-3</v>
      </c>
      <c r="AM117" s="138">
        <f t="shared" si="92"/>
        <v>2.1208333333333326E-3</v>
      </c>
      <c r="AO117" s="77" t="str">
        <f t="shared" si="49"/>
        <v>GDS-5 (Seasonal)</v>
      </c>
      <c r="AP117" s="78" t="s">
        <v>676</v>
      </c>
      <c r="AQ117" s="77" t="str">
        <f t="shared" si="50"/>
        <v>Demand Gas Charge (DGC) - Working Capital Adjustment</v>
      </c>
      <c r="AR117" s="78" t="str">
        <f t="shared" si="51"/>
        <v>Prorated</v>
      </c>
      <c r="AS117" s="79">
        <f t="shared" si="52"/>
        <v>6</v>
      </c>
      <c r="AT117" s="78">
        <f t="shared" si="53"/>
        <v>0</v>
      </c>
      <c r="AU117" s="78">
        <f t="shared" si="54"/>
        <v>1.9599999999999999E-3</v>
      </c>
      <c r="AV117" s="78">
        <f t="shared" si="55"/>
        <v>1.92E-3</v>
      </c>
      <c r="AW117" s="78">
        <f t="shared" si="56"/>
        <v>1.82E-3</v>
      </c>
      <c r="AX117" s="78">
        <f t="shared" si="57"/>
        <v>1.7700000000000001E-3</v>
      </c>
      <c r="AY117" s="78">
        <f t="shared" si="58"/>
        <v>1.7899999999999999E-3</v>
      </c>
      <c r="AZ117" s="78">
        <f t="shared" si="59"/>
        <v>1.83E-3</v>
      </c>
      <c r="BA117" s="78">
        <f t="shared" si="60"/>
        <v>1.8799999999999999E-3</v>
      </c>
      <c r="BB117" s="78">
        <f t="shared" si="61"/>
        <v>1.97E-3</v>
      </c>
      <c r="BC117" s="78">
        <f t="shared" si="62"/>
        <v>2.0799999999999998E-3</v>
      </c>
      <c r="BD117" s="78">
        <f t="shared" si="63"/>
        <v>2.2399999999999998E-3</v>
      </c>
      <c r="BE117" s="78">
        <f t="shared" si="64"/>
        <v>2.2399999999999998E-3</v>
      </c>
      <c r="BF117" s="78">
        <f t="shared" si="65"/>
        <v>2.2399999999999998E-3</v>
      </c>
      <c r="BG117" s="78">
        <f t="shared" si="66"/>
        <v>2.2399999999999998E-3</v>
      </c>
      <c r="BH117" s="78">
        <f t="shared" si="67"/>
        <v>2.2399999999999998E-3</v>
      </c>
      <c r="BI117" s="78">
        <f t="shared" si="68"/>
        <v>2.2399999999999998E-3</v>
      </c>
      <c r="BJ117" s="78">
        <f t="shared" si="69"/>
        <v>2.2399999999999998E-3</v>
      </c>
      <c r="BK117" s="78">
        <f t="shared" si="70"/>
        <v>2.2399999999999998E-3</v>
      </c>
      <c r="BL117" s="78">
        <f t="shared" si="71"/>
        <v>2.2399999999999998E-3</v>
      </c>
      <c r="BM117" s="78">
        <f t="shared" si="72"/>
        <v>2.2399999999999998E-3</v>
      </c>
      <c r="BN117" s="78">
        <f t="shared" si="73"/>
        <v>2.2399999999999998E-3</v>
      </c>
      <c r="BO117" s="78">
        <f t="shared" si="74"/>
        <v>2.2399999999999998E-3</v>
      </c>
      <c r="BP117" s="78">
        <f t="shared" si="75"/>
        <v>2.2399999999999998E-3</v>
      </c>
      <c r="BQ117" s="78">
        <f t="shared" si="76"/>
        <v>2.2399999999999998E-3</v>
      </c>
      <c r="BR117" s="78">
        <f t="shared" si="77"/>
        <v>2.2399999999999998E-3</v>
      </c>
      <c r="BS117" s="77">
        <v>2000</v>
      </c>
      <c r="BT117" s="77" t="s">
        <v>654</v>
      </c>
    </row>
    <row r="118" spans="1:72" ht="14.1" customHeight="1" x14ac:dyDescent="0.2">
      <c r="A118" s="55" t="str">
        <f t="shared" si="48"/>
        <v>GDS-6 (Inadequate Capacity)_Demand Gas Charge (DGC) - Working Capital Adjustment</v>
      </c>
      <c r="B118" s="80" t="s">
        <v>700</v>
      </c>
      <c r="C118" s="83" t="s">
        <v>730</v>
      </c>
      <c r="D118" s="150"/>
      <c r="E118" s="81"/>
      <c r="F118" s="84" t="s">
        <v>640</v>
      </c>
      <c r="G118" s="84">
        <v>0</v>
      </c>
      <c r="H118" s="84">
        <v>6</v>
      </c>
      <c r="I118" s="74" t="s">
        <v>699</v>
      </c>
      <c r="J118" s="75" t="s">
        <v>634</v>
      </c>
      <c r="K118" s="74"/>
      <c r="L118" s="82">
        <v>1.33E-3</v>
      </c>
      <c r="M118" s="138">
        <v>1.9599999999999999E-3</v>
      </c>
      <c r="N118" s="138">
        <v>1.92E-3</v>
      </c>
      <c r="O118" s="138">
        <v>1.82E-3</v>
      </c>
      <c r="P118" s="138">
        <v>1.7700000000000001E-3</v>
      </c>
      <c r="Q118" s="138">
        <v>1.7899999999999999E-3</v>
      </c>
      <c r="R118" s="138">
        <v>1.83E-3</v>
      </c>
      <c r="S118" s="138">
        <v>1.8799999999999999E-3</v>
      </c>
      <c r="T118" s="138">
        <v>1.97E-3</v>
      </c>
      <c r="U118" s="138">
        <v>2.0799999999999998E-3</v>
      </c>
      <c r="V118" s="138">
        <v>2.2399999999999998E-3</v>
      </c>
      <c r="W118" s="138">
        <v>2.2399999999999998E-3</v>
      </c>
      <c r="X118" s="138">
        <v>2.2399999999999998E-3</v>
      </c>
      <c r="Y118" s="138">
        <f t="shared" si="78"/>
        <v>2.2399999999999998E-3</v>
      </c>
      <c r="Z118" s="138">
        <f t="shared" si="79"/>
        <v>2.2399999999999998E-3</v>
      </c>
      <c r="AA118" s="138">
        <f t="shared" si="80"/>
        <v>2.2399999999999998E-3</v>
      </c>
      <c r="AB118" s="138">
        <f t="shared" si="81"/>
        <v>2.2399999999999998E-3</v>
      </c>
      <c r="AC118" s="138">
        <f t="shared" si="82"/>
        <v>2.2399999999999998E-3</v>
      </c>
      <c r="AD118" s="138">
        <f t="shared" si="83"/>
        <v>2.2399999999999998E-3</v>
      </c>
      <c r="AE118" s="138">
        <f t="shared" si="84"/>
        <v>2.2399999999999998E-3</v>
      </c>
      <c r="AF118" s="138">
        <f t="shared" si="85"/>
        <v>2.2399999999999998E-3</v>
      </c>
      <c r="AG118" s="138">
        <f t="shared" si="86"/>
        <v>2.2399999999999998E-3</v>
      </c>
      <c r="AH118" s="138">
        <f t="shared" si="87"/>
        <v>2.2399999999999998E-3</v>
      </c>
      <c r="AI118" s="138">
        <f t="shared" si="88"/>
        <v>2.2399999999999998E-3</v>
      </c>
      <c r="AJ118" s="138">
        <f t="shared" si="89"/>
        <v>2.2399999999999998E-3</v>
      </c>
      <c r="AK118" s="138">
        <f t="shared" si="90"/>
        <v>2.2399999999999998E-3</v>
      </c>
      <c r="AL118" s="138">
        <f t="shared" si="91"/>
        <v>2.2399999999999994E-3</v>
      </c>
      <c r="AM118" s="138">
        <f t="shared" si="92"/>
        <v>2.1208333333333326E-3</v>
      </c>
      <c r="AO118" s="77" t="str">
        <f t="shared" si="49"/>
        <v>GDS-6 (Inadequate Capacity)</v>
      </c>
      <c r="AP118" s="78" t="s">
        <v>701</v>
      </c>
      <c r="AQ118" s="77" t="str">
        <f t="shared" si="50"/>
        <v>Demand Gas Charge (DGC) - Working Capital Adjustment</v>
      </c>
      <c r="AR118" s="78" t="str">
        <f t="shared" si="51"/>
        <v>Prorated</v>
      </c>
      <c r="AS118" s="79">
        <f t="shared" si="52"/>
        <v>6</v>
      </c>
      <c r="AT118" s="78">
        <f t="shared" si="53"/>
        <v>0</v>
      </c>
      <c r="AU118" s="78">
        <f t="shared" si="54"/>
        <v>1.9599999999999999E-3</v>
      </c>
      <c r="AV118" s="78">
        <f t="shared" si="55"/>
        <v>1.92E-3</v>
      </c>
      <c r="AW118" s="78">
        <f t="shared" si="56"/>
        <v>1.82E-3</v>
      </c>
      <c r="AX118" s="78">
        <f t="shared" si="57"/>
        <v>1.7700000000000001E-3</v>
      </c>
      <c r="AY118" s="78">
        <f t="shared" si="58"/>
        <v>1.7899999999999999E-3</v>
      </c>
      <c r="AZ118" s="78">
        <f t="shared" si="59"/>
        <v>1.83E-3</v>
      </c>
      <c r="BA118" s="78">
        <f t="shared" si="60"/>
        <v>1.8799999999999999E-3</v>
      </c>
      <c r="BB118" s="78">
        <f t="shared" si="61"/>
        <v>1.97E-3</v>
      </c>
      <c r="BC118" s="78">
        <f t="shared" si="62"/>
        <v>2.0799999999999998E-3</v>
      </c>
      <c r="BD118" s="78">
        <f t="shared" si="63"/>
        <v>2.2399999999999998E-3</v>
      </c>
      <c r="BE118" s="78">
        <f t="shared" si="64"/>
        <v>2.2399999999999998E-3</v>
      </c>
      <c r="BF118" s="78">
        <f t="shared" si="65"/>
        <v>2.2399999999999998E-3</v>
      </c>
      <c r="BG118" s="78">
        <f t="shared" si="66"/>
        <v>2.2399999999999998E-3</v>
      </c>
      <c r="BH118" s="78">
        <f t="shared" si="67"/>
        <v>2.2399999999999998E-3</v>
      </c>
      <c r="BI118" s="78">
        <f t="shared" si="68"/>
        <v>2.2399999999999998E-3</v>
      </c>
      <c r="BJ118" s="78">
        <f t="shared" si="69"/>
        <v>2.2399999999999998E-3</v>
      </c>
      <c r="BK118" s="78">
        <f t="shared" si="70"/>
        <v>2.2399999999999998E-3</v>
      </c>
      <c r="BL118" s="78">
        <f t="shared" si="71"/>
        <v>2.2399999999999998E-3</v>
      </c>
      <c r="BM118" s="78">
        <f t="shared" si="72"/>
        <v>2.2399999999999998E-3</v>
      </c>
      <c r="BN118" s="78">
        <f t="shared" si="73"/>
        <v>2.2399999999999998E-3</v>
      </c>
      <c r="BO118" s="78">
        <f t="shared" si="74"/>
        <v>2.2399999999999998E-3</v>
      </c>
      <c r="BP118" s="78">
        <f t="shared" si="75"/>
        <v>2.2399999999999998E-3</v>
      </c>
      <c r="BQ118" s="78">
        <f t="shared" si="76"/>
        <v>2.2399999999999998E-3</v>
      </c>
      <c r="BR118" s="78">
        <f t="shared" si="77"/>
        <v>2.2399999999999998E-3</v>
      </c>
      <c r="BS118" s="77">
        <v>2000</v>
      </c>
      <c r="BT118" s="77" t="s">
        <v>654</v>
      </c>
    </row>
    <row r="119" spans="1:72" ht="14.1" customHeight="1" x14ac:dyDescent="0.2">
      <c r="A119" s="55" t="str">
        <f t="shared" si="48"/>
        <v>DS-5 (Lighting Service)_Directional - LED 25 -Zone I</v>
      </c>
      <c r="B119" s="80" t="s">
        <v>647</v>
      </c>
      <c r="C119" s="83" t="s">
        <v>731</v>
      </c>
      <c r="D119" s="150"/>
      <c r="E119" s="81"/>
      <c r="F119" s="73" t="s">
        <v>649</v>
      </c>
      <c r="G119" s="73">
        <v>0</v>
      </c>
      <c r="H119" s="73">
        <v>6</v>
      </c>
      <c r="I119" s="74" t="s">
        <v>641</v>
      </c>
      <c r="J119" s="75" t="s">
        <v>634</v>
      </c>
      <c r="K119" s="74"/>
      <c r="L119" s="82">
        <v>4.92</v>
      </c>
      <c r="M119" s="138">
        <v>5.56</v>
      </c>
      <c r="N119" s="138">
        <v>5.56</v>
      </c>
      <c r="O119" s="138">
        <v>5.56</v>
      </c>
      <c r="P119" s="138">
        <v>5.56</v>
      </c>
      <c r="Q119" s="138">
        <v>5.56</v>
      </c>
      <c r="R119" s="138">
        <v>5.56</v>
      </c>
      <c r="S119" s="138">
        <v>5.66</v>
      </c>
      <c r="T119" s="138">
        <v>5.66</v>
      </c>
      <c r="U119" s="138">
        <v>5.66</v>
      </c>
      <c r="V119" s="138">
        <v>5.66</v>
      </c>
      <c r="W119" s="138">
        <v>5.66</v>
      </c>
      <c r="X119" s="138">
        <v>5.66</v>
      </c>
      <c r="Y119" s="138">
        <f t="shared" si="78"/>
        <v>5.66</v>
      </c>
      <c r="Z119" s="138">
        <f t="shared" si="79"/>
        <v>5.66</v>
      </c>
      <c r="AA119" s="138">
        <f t="shared" si="80"/>
        <v>5.66</v>
      </c>
      <c r="AB119" s="138">
        <f t="shared" si="81"/>
        <v>5.66</v>
      </c>
      <c r="AC119" s="138">
        <f t="shared" si="82"/>
        <v>5.66</v>
      </c>
      <c r="AD119" s="138">
        <f t="shared" si="83"/>
        <v>5.66</v>
      </c>
      <c r="AE119" s="138">
        <f t="shared" si="84"/>
        <v>5.66</v>
      </c>
      <c r="AF119" s="138">
        <f t="shared" si="85"/>
        <v>5.66</v>
      </c>
      <c r="AG119" s="138">
        <f t="shared" si="86"/>
        <v>5.66</v>
      </c>
      <c r="AH119" s="138">
        <f t="shared" si="87"/>
        <v>5.66</v>
      </c>
      <c r="AI119" s="138">
        <f t="shared" si="88"/>
        <v>5.66</v>
      </c>
      <c r="AJ119" s="138">
        <f t="shared" si="89"/>
        <v>5.66</v>
      </c>
      <c r="AK119" s="138">
        <f t="shared" si="90"/>
        <v>5.66</v>
      </c>
      <c r="AL119" s="138">
        <f t="shared" si="91"/>
        <v>5.6599999999999993</v>
      </c>
      <c r="AM119" s="138">
        <f t="shared" si="92"/>
        <v>5.6391666666666644</v>
      </c>
      <c r="AO119" s="77" t="str">
        <f t="shared" si="49"/>
        <v>DS-5 (Lighting Service)</v>
      </c>
      <c r="AP119" s="78" t="s">
        <v>650</v>
      </c>
      <c r="AQ119" s="77" t="str">
        <f t="shared" si="50"/>
        <v>Directional - LED 25 -Zone I</v>
      </c>
      <c r="AR119" s="78" t="str">
        <f t="shared" si="51"/>
        <v>Billing Cycle</v>
      </c>
      <c r="AS119" s="79">
        <f t="shared" si="52"/>
        <v>6</v>
      </c>
      <c r="AT119" s="78">
        <f t="shared" si="53"/>
        <v>5</v>
      </c>
      <c r="AU119" s="78">
        <f t="shared" si="54"/>
        <v>5.56</v>
      </c>
      <c r="AV119" s="78">
        <f t="shared" si="55"/>
        <v>5.56</v>
      </c>
      <c r="AW119" s="78">
        <f t="shared" si="56"/>
        <v>5.56</v>
      </c>
      <c r="AX119" s="78">
        <f t="shared" si="57"/>
        <v>5.56</v>
      </c>
      <c r="AY119" s="78">
        <f t="shared" si="58"/>
        <v>5.56</v>
      </c>
      <c r="AZ119" s="78">
        <f t="shared" si="59"/>
        <v>5.56</v>
      </c>
      <c r="BA119" s="78">
        <f t="shared" si="60"/>
        <v>5.66</v>
      </c>
      <c r="BB119" s="78">
        <f t="shared" si="61"/>
        <v>5.66</v>
      </c>
      <c r="BC119" s="78">
        <f t="shared" si="62"/>
        <v>5.66</v>
      </c>
      <c r="BD119" s="78">
        <f t="shared" si="63"/>
        <v>5.66</v>
      </c>
      <c r="BE119" s="78">
        <f t="shared" si="64"/>
        <v>5.66</v>
      </c>
      <c r="BF119" s="78">
        <f t="shared" si="65"/>
        <v>5.66</v>
      </c>
      <c r="BG119" s="78">
        <f t="shared" si="66"/>
        <v>5.66</v>
      </c>
      <c r="BH119" s="78">
        <f t="shared" si="67"/>
        <v>5.66</v>
      </c>
      <c r="BI119" s="78">
        <f t="shared" si="68"/>
        <v>5.66</v>
      </c>
      <c r="BJ119" s="78">
        <f t="shared" si="69"/>
        <v>5.66</v>
      </c>
      <c r="BK119" s="78">
        <f t="shared" si="70"/>
        <v>5.66</v>
      </c>
      <c r="BL119" s="78">
        <f t="shared" si="71"/>
        <v>5.66</v>
      </c>
      <c r="BM119" s="78">
        <f t="shared" si="72"/>
        <v>5.66</v>
      </c>
      <c r="BN119" s="78">
        <f t="shared" si="73"/>
        <v>5.66</v>
      </c>
      <c r="BO119" s="78">
        <f t="shared" si="74"/>
        <v>5.66</v>
      </c>
      <c r="BP119" s="78">
        <f t="shared" si="75"/>
        <v>5.66</v>
      </c>
      <c r="BQ119" s="78">
        <f t="shared" si="76"/>
        <v>5.66</v>
      </c>
      <c r="BR119" s="78">
        <f t="shared" si="77"/>
        <v>5.66</v>
      </c>
      <c r="BS119" s="77">
        <v>2000</v>
      </c>
      <c r="BT119" s="77" t="s">
        <v>684</v>
      </c>
    </row>
    <row r="120" spans="1:72" ht="14.1" customHeight="1" x14ac:dyDescent="0.2">
      <c r="A120" s="55" t="str">
        <f t="shared" si="48"/>
        <v>DS-5 (Lighting Service)_Directional - LED 25 -Zone II</v>
      </c>
      <c r="B120" s="80" t="s">
        <v>647</v>
      </c>
      <c r="C120" s="83" t="s">
        <v>732</v>
      </c>
      <c r="D120" s="150"/>
      <c r="E120" s="81"/>
      <c r="F120" s="73" t="s">
        <v>649</v>
      </c>
      <c r="G120" s="73">
        <v>0</v>
      </c>
      <c r="H120" s="73">
        <v>6</v>
      </c>
      <c r="I120" s="74" t="s">
        <v>641</v>
      </c>
      <c r="J120" s="75" t="s">
        <v>634</v>
      </c>
      <c r="K120" s="74"/>
      <c r="L120" s="82">
        <v>4.92</v>
      </c>
      <c r="M120" s="138">
        <v>5.56</v>
      </c>
      <c r="N120" s="138">
        <v>5.56</v>
      </c>
      <c r="O120" s="138">
        <v>5.56</v>
      </c>
      <c r="P120" s="138">
        <v>5.56</v>
      </c>
      <c r="Q120" s="138">
        <v>5.56</v>
      </c>
      <c r="R120" s="138">
        <v>5.56</v>
      </c>
      <c r="S120" s="138">
        <v>5.66</v>
      </c>
      <c r="T120" s="138">
        <v>5.66</v>
      </c>
      <c r="U120" s="138">
        <v>5.66</v>
      </c>
      <c r="V120" s="138">
        <v>5.66</v>
      </c>
      <c r="W120" s="138">
        <v>5.66</v>
      </c>
      <c r="X120" s="138">
        <v>5.66</v>
      </c>
      <c r="Y120" s="138">
        <f t="shared" si="78"/>
        <v>5.66</v>
      </c>
      <c r="Z120" s="138">
        <f t="shared" si="79"/>
        <v>5.66</v>
      </c>
      <c r="AA120" s="138">
        <f t="shared" si="80"/>
        <v>5.66</v>
      </c>
      <c r="AB120" s="138">
        <f t="shared" si="81"/>
        <v>5.66</v>
      </c>
      <c r="AC120" s="138">
        <f t="shared" si="82"/>
        <v>5.66</v>
      </c>
      <c r="AD120" s="138">
        <f t="shared" si="83"/>
        <v>5.66</v>
      </c>
      <c r="AE120" s="138">
        <f t="shared" si="84"/>
        <v>5.66</v>
      </c>
      <c r="AF120" s="138">
        <f t="shared" si="85"/>
        <v>5.66</v>
      </c>
      <c r="AG120" s="138">
        <f t="shared" si="86"/>
        <v>5.66</v>
      </c>
      <c r="AH120" s="138">
        <f t="shared" si="87"/>
        <v>5.66</v>
      </c>
      <c r="AI120" s="138">
        <f t="shared" si="88"/>
        <v>5.66</v>
      </c>
      <c r="AJ120" s="138">
        <f t="shared" si="89"/>
        <v>5.66</v>
      </c>
      <c r="AK120" s="138">
        <f t="shared" si="90"/>
        <v>5.66</v>
      </c>
      <c r="AL120" s="138">
        <f t="shared" si="91"/>
        <v>5.6599999999999993</v>
      </c>
      <c r="AM120" s="138">
        <f t="shared" si="92"/>
        <v>5.6391666666666644</v>
      </c>
      <c r="AO120" s="77" t="str">
        <f t="shared" si="49"/>
        <v>DS-5 (Lighting Service)</v>
      </c>
      <c r="AP120" s="78" t="s">
        <v>650</v>
      </c>
      <c r="AQ120" s="77" t="str">
        <f t="shared" si="50"/>
        <v>Directional - LED 25 -Zone II</v>
      </c>
      <c r="AR120" s="78" t="str">
        <f t="shared" si="51"/>
        <v>Billing Cycle</v>
      </c>
      <c r="AS120" s="79">
        <f t="shared" si="52"/>
        <v>6</v>
      </c>
      <c r="AT120" s="78">
        <f t="shared" si="53"/>
        <v>5</v>
      </c>
      <c r="AU120" s="78">
        <f t="shared" si="54"/>
        <v>5.56</v>
      </c>
      <c r="AV120" s="78">
        <f t="shared" si="55"/>
        <v>5.56</v>
      </c>
      <c r="AW120" s="78">
        <f t="shared" si="56"/>
        <v>5.56</v>
      </c>
      <c r="AX120" s="78">
        <f t="shared" si="57"/>
        <v>5.56</v>
      </c>
      <c r="AY120" s="78">
        <f t="shared" si="58"/>
        <v>5.56</v>
      </c>
      <c r="AZ120" s="78">
        <f t="shared" si="59"/>
        <v>5.56</v>
      </c>
      <c r="BA120" s="78">
        <f t="shared" si="60"/>
        <v>5.66</v>
      </c>
      <c r="BB120" s="78">
        <f t="shared" si="61"/>
        <v>5.66</v>
      </c>
      <c r="BC120" s="78">
        <f t="shared" si="62"/>
        <v>5.66</v>
      </c>
      <c r="BD120" s="78">
        <f t="shared" si="63"/>
        <v>5.66</v>
      </c>
      <c r="BE120" s="78">
        <f t="shared" si="64"/>
        <v>5.66</v>
      </c>
      <c r="BF120" s="78">
        <f t="shared" si="65"/>
        <v>5.66</v>
      </c>
      <c r="BG120" s="78">
        <f t="shared" si="66"/>
        <v>5.66</v>
      </c>
      <c r="BH120" s="78">
        <f t="shared" si="67"/>
        <v>5.66</v>
      </c>
      <c r="BI120" s="78">
        <f t="shared" si="68"/>
        <v>5.66</v>
      </c>
      <c r="BJ120" s="78">
        <f t="shared" si="69"/>
        <v>5.66</v>
      </c>
      <c r="BK120" s="78">
        <f t="shared" si="70"/>
        <v>5.66</v>
      </c>
      <c r="BL120" s="78">
        <f t="shared" si="71"/>
        <v>5.66</v>
      </c>
      <c r="BM120" s="78">
        <f t="shared" si="72"/>
        <v>5.66</v>
      </c>
      <c r="BN120" s="78">
        <f t="shared" si="73"/>
        <v>5.66</v>
      </c>
      <c r="BO120" s="78">
        <f t="shared" si="74"/>
        <v>5.66</v>
      </c>
      <c r="BP120" s="78">
        <f t="shared" si="75"/>
        <v>5.66</v>
      </c>
      <c r="BQ120" s="78">
        <f t="shared" si="76"/>
        <v>5.66</v>
      </c>
      <c r="BR120" s="78">
        <f t="shared" si="77"/>
        <v>5.66</v>
      </c>
      <c r="BS120" s="77">
        <v>2000</v>
      </c>
      <c r="BT120" s="77" t="s">
        <v>684</v>
      </c>
    </row>
    <row r="121" spans="1:72" ht="14.1" customHeight="1" x14ac:dyDescent="0.2">
      <c r="A121" s="55" t="str">
        <f t="shared" si="48"/>
        <v>DS-5 (Lighting Service)_Directional - LED 25 -Zone III</v>
      </c>
      <c r="B121" s="80" t="s">
        <v>647</v>
      </c>
      <c r="C121" s="83" t="s">
        <v>733</v>
      </c>
      <c r="D121" s="150"/>
      <c r="E121" s="81"/>
      <c r="F121" s="73" t="s">
        <v>649</v>
      </c>
      <c r="G121" s="73">
        <v>0</v>
      </c>
      <c r="H121" s="73">
        <v>6</v>
      </c>
      <c r="I121" s="74" t="s">
        <v>641</v>
      </c>
      <c r="J121" s="75" t="s">
        <v>634</v>
      </c>
      <c r="K121" s="74"/>
      <c r="L121" s="82">
        <v>4.92</v>
      </c>
      <c r="M121" s="138">
        <v>5.56</v>
      </c>
      <c r="N121" s="138">
        <v>5.56</v>
      </c>
      <c r="O121" s="138">
        <v>5.56</v>
      </c>
      <c r="P121" s="138">
        <v>5.56</v>
      </c>
      <c r="Q121" s="138">
        <v>5.56</v>
      </c>
      <c r="R121" s="138">
        <v>5.56</v>
      </c>
      <c r="S121" s="138">
        <v>5.66</v>
      </c>
      <c r="T121" s="138">
        <v>5.66</v>
      </c>
      <c r="U121" s="138">
        <v>5.66</v>
      </c>
      <c r="V121" s="138">
        <v>5.66</v>
      </c>
      <c r="W121" s="138">
        <v>5.66</v>
      </c>
      <c r="X121" s="138">
        <v>5.66</v>
      </c>
      <c r="Y121" s="138">
        <f t="shared" si="78"/>
        <v>5.66</v>
      </c>
      <c r="Z121" s="138">
        <f t="shared" si="79"/>
        <v>5.66</v>
      </c>
      <c r="AA121" s="138">
        <f t="shared" si="80"/>
        <v>5.66</v>
      </c>
      <c r="AB121" s="138">
        <f t="shared" si="81"/>
        <v>5.66</v>
      </c>
      <c r="AC121" s="138">
        <f t="shared" si="82"/>
        <v>5.66</v>
      </c>
      <c r="AD121" s="138">
        <f t="shared" si="83"/>
        <v>5.66</v>
      </c>
      <c r="AE121" s="138">
        <f t="shared" si="84"/>
        <v>5.66</v>
      </c>
      <c r="AF121" s="138">
        <f t="shared" si="85"/>
        <v>5.66</v>
      </c>
      <c r="AG121" s="138">
        <f t="shared" si="86"/>
        <v>5.66</v>
      </c>
      <c r="AH121" s="138">
        <f t="shared" si="87"/>
        <v>5.66</v>
      </c>
      <c r="AI121" s="138">
        <f t="shared" si="88"/>
        <v>5.66</v>
      </c>
      <c r="AJ121" s="138">
        <f t="shared" si="89"/>
        <v>5.66</v>
      </c>
      <c r="AK121" s="138">
        <f t="shared" si="90"/>
        <v>5.66</v>
      </c>
      <c r="AL121" s="138">
        <f t="shared" si="91"/>
        <v>5.6599999999999993</v>
      </c>
      <c r="AM121" s="138">
        <f t="shared" si="92"/>
        <v>5.6391666666666644</v>
      </c>
      <c r="AO121" s="77" t="str">
        <f t="shared" si="49"/>
        <v>DS-5 (Lighting Service)</v>
      </c>
      <c r="AP121" s="78" t="s">
        <v>650</v>
      </c>
      <c r="AQ121" s="77" t="str">
        <f t="shared" si="50"/>
        <v>Directional - LED 25 -Zone III</v>
      </c>
      <c r="AR121" s="78" t="str">
        <f t="shared" si="51"/>
        <v>Billing Cycle</v>
      </c>
      <c r="AS121" s="79">
        <f t="shared" si="52"/>
        <v>6</v>
      </c>
      <c r="AT121" s="78">
        <f t="shared" si="53"/>
        <v>5</v>
      </c>
      <c r="AU121" s="78">
        <f t="shared" si="54"/>
        <v>5.56</v>
      </c>
      <c r="AV121" s="78">
        <f t="shared" si="55"/>
        <v>5.56</v>
      </c>
      <c r="AW121" s="78">
        <f t="shared" si="56"/>
        <v>5.56</v>
      </c>
      <c r="AX121" s="78">
        <f t="shared" si="57"/>
        <v>5.56</v>
      </c>
      <c r="AY121" s="78">
        <f t="shared" si="58"/>
        <v>5.56</v>
      </c>
      <c r="AZ121" s="78">
        <f t="shared" si="59"/>
        <v>5.56</v>
      </c>
      <c r="BA121" s="78">
        <f t="shared" si="60"/>
        <v>5.66</v>
      </c>
      <c r="BB121" s="78">
        <f t="shared" si="61"/>
        <v>5.66</v>
      </c>
      <c r="BC121" s="78">
        <f t="shared" si="62"/>
        <v>5.66</v>
      </c>
      <c r="BD121" s="78">
        <f t="shared" si="63"/>
        <v>5.66</v>
      </c>
      <c r="BE121" s="78">
        <f t="shared" si="64"/>
        <v>5.66</v>
      </c>
      <c r="BF121" s="78">
        <f t="shared" si="65"/>
        <v>5.66</v>
      </c>
      <c r="BG121" s="78">
        <f t="shared" si="66"/>
        <v>5.66</v>
      </c>
      <c r="BH121" s="78">
        <f t="shared" si="67"/>
        <v>5.66</v>
      </c>
      <c r="BI121" s="78">
        <f t="shared" si="68"/>
        <v>5.66</v>
      </c>
      <c r="BJ121" s="78">
        <f t="shared" si="69"/>
        <v>5.66</v>
      </c>
      <c r="BK121" s="78">
        <f t="shared" si="70"/>
        <v>5.66</v>
      </c>
      <c r="BL121" s="78">
        <f t="shared" si="71"/>
        <v>5.66</v>
      </c>
      <c r="BM121" s="78">
        <f t="shared" si="72"/>
        <v>5.66</v>
      </c>
      <c r="BN121" s="78">
        <f t="shared" si="73"/>
        <v>5.66</v>
      </c>
      <c r="BO121" s="78">
        <f t="shared" si="74"/>
        <v>5.66</v>
      </c>
      <c r="BP121" s="78">
        <f t="shared" si="75"/>
        <v>5.66</v>
      </c>
      <c r="BQ121" s="78">
        <f t="shared" si="76"/>
        <v>5.66</v>
      </c>
      <c r="BR121" s="78">
        <f t="shared" si="77"/>
        <v>5.66</v>
      </c>
      <c r="BS121" s="77">
        <v>2000</v>
      </c>
      <c r="BT121" s="77" t="s">
        <v>684</v>
      </c>
    </row>
    <row r="122" spans="1:72" ht="14.1" customHeight="1" x14ac:dyDescent="0.2">
      <c r="A122" s="55" t="str">
        <f t="shared" si="48"/>
        <v>DS-5 (Lighting Service)_Directional - LED 40 -Zone I</v>
      </c>
      <c r="B122" s="80" t="s">
        <v>647</v>
      </c>
      <c r="C122" s="83" t="s">
        <v>734</v>
      </c>
      <c r="D122" s="150"/>
      <c r="E122" s="81"/>
      <c r="F122" s="73" t="s">
        <v>649</v>
      </c>
      <c r="G122" s="73">
        <v>0</v>
      </c>
      <c r="H122" s="73">
        <v>6</v>
      </c>
      <c r="I122" s="74" t="s">
        <v>641</v>
      </c>
      <c r="J122" s="75" t="s">
        <v>634</v>
      </c>
      <c r="K122" s="74"/>
      <c r="L122" s="82">
        <v>5.85</v>
      </c>
      <c r="M122" s="138">
        <v>6.62</v>
      </c>
      <c r="N122" s="138">
        <v>6.62</v>
      </c>
      <c r="O122" s="138">
        <v>6.62</v>
      </c>
      <c r="P122" s="138">
        <v>6.62</v>
      </c>
      <c r="Q122" s="138">
        <v>6.62</v>
      </c>
      <c r="R122" s="138">
        <v>6.62</v>
      </c>
      <c r="S122" s="138">
        <v>6.75</v>
      </c>
      <c r="T122" s="138">
        <v>6.75</v>
      </c>
      <c r="U122" s="138">
        <v>6.75</v>
      </c>
      <c r="V122" s="138">
        <v>6.75</v>
      </c>
      <c r="W122" s="138">
        <v>6.75</v>
      </c>
      <c r="X122" s="138">
        <v>6.75</v>
      </c>
      <c r="Y122" s="138">
        <f t="shared" si="78"/>
        <v>6.75</v>
      </c>
      <c r="Z122" s="138">
        <f t="shared" si="79"/>
        <v>6.75</v>
      </c>
      <c r="AA122" s="138">
        <f t="shared" si="80"/>
        <v>6.75</v>
      </c>
      <c r="AB122" s="138">
        <f t="shared" si="81"/>
        <v>6.75</v>
      </c>
      <c r="AC122" s="138">
        <f t="shared" si="82"/>
        <v>6.75</v>
      </c>
      <c r="AD122" s="138">
        <f t="shared" si="83"/>
        <v>6.75</v>
      </c>
      <c r="AE122" s="138">
        <f t="shared" si="84"/>
        <v>6.75</v>
      </c>
      <c r="AF122" s="138">
        <f t="shared" si="85"/>
        <v>6.75</v>
      </c>
      <c r="AG122" s="138">
        <f t="shared" si="86"/>
        <v>6.75</v>
      </c>
      <c r="AH122" s="138">
        <f t="shared" si="87"/>
        <v>6.75</v>
      </c>
      <c r="AI122" s="138">
        <f t="shared" si="88"/>
        <v>6.75</v>
      </c>
      <c r="AJ122" s="138">
        <f t="shared" si="89"/>
        <v>6.75</v>
      </c>
      <c r="AK122" s="138">
        <f t="shared" si="90"/>
        <v>6.75</v>
      </c>
      <c r="AL122" s="138">
        <f t="shared" si="91"/>
        <v>6.75</v>
      </c>
      <c r="AM122" s="138">
        <f t="shared" si="92"/>
        <v>6.7229166666666664</v>
      </c>
      <c r="AO122" s="77" t="str">
        <f t="shared" si="49"/>
        <v>DS-5 (Lighting Service)</v>
      </c>
      <c r="AP122" s="78" t="s">
        <v>650</v>
      </c>
      <c r="AQ122" s="77" t="str">
        <f t="shared" si="50"/>
        <v>Directional - LED 40 -Zone I</v>
      </c>
      <c r="AR122" s="78" t="str">
        <f t="shared" si="51"/>
        <v>Billing Cycle</v>
      </c>
      <c r="AS122" s="79">
        <f t="shared" si="52"/>
        <v>6</v>
      </c>
      <c r="AT122" s="78">
        <f t="shared" si="53"/>
        <v>6</v>
      </c>
      <c r="AU122" s="78">
        <f t="shared" si="54"/>
        <v>6.62</v>
      </c>
      <c r="AV122" s="78">
        <f t="shared" si="55"/>
        <v>6.62</v>
      </c>
      <c r="AW122" s="78">
        <f t="shared" si="56"/>
        <v>6.62</v>
      </c>
      <c r="AX122" s="78">
        <f t="shared" si="57"/>
        <v>6.62</v>
      </c>
      <c r="AY122" s="78">
        <f t="shared" si="58"/>
        <v>6.62</v>
      </c>
      <c r="AZ122" s="78">
        <f t="shared" si="59"/>
        <v>6.62</v>
      </c>
      <c r="BA122" s="78">
        <f t="shared" si="60"/>
        <v>6.75</v>
      </c>
      <c r="BB122" s="78">
        <f t="shared" si="61"/>
        <v>6.75</v>
      </c>
      <c r="BC122" s="78">
        <f t="shared" si="62"/>
        <v>6.75</v>
      </c>
      <c r="BD122" s="78">
        <f t="shared" si="63"/>
        <v>6.75</v>
      </c>
      <c r="BE122" s="78">
        <f t="shared" si="64"/>
        <v>6.75</v>
      </c>
      <c r="BF122" s="78">
        <f t="shared" si="65"/>
        <v>6.75</v>
      </c>
      <c r="BG122" s="78">
        <f t="shared" si="66"/>
        <v>6.75</v>
      </c>
      <c r="BH122" s="78">
        <f t="shared" si="67"/>
        <v>6.75</v>
      </c>
      <c r="BI122" s="78">
        <f t="shared" si="68"/>
        <v>6.75</v>
      </c>
      <c r="BJ122" s="78">
        <f t="shared" si="69"/>
        <v>6.75</v>
      </c>
      <c r="BK122" s="78">
        <f t="shared" si="70"/>
        <v>6.75</v>
      </c>
      <c r="BL122" s="78">
        <f t="shared" si="71"/>
        <v>6.75</v>
      </c>
      <c r="BM122" s="78">
        <f t="shared" si="72"/>
        <v>6.75</v>
      </c>
      <c r="BN122" s="78">
        <f t="shared" si="73"/>
        <v>6.75</v>
      </c>
      <c r="BO122" s="78">
        <f t="shared" si="74"/>
        <v>6.75</v>
      </c>
      <c r="BP122" s="78">
        <f t="shared" si="75"/>
        <v>6.75</v>
      </c>
      <c r="BQ122" s="78">
        <f t="shared" si="76"/>
        <v>6.75</v>
      </c>
      <c r="BR122" s="78">
        <f t="shared" si="77"/>
        <v>6.75</v>
      </c>
      <c r="BS122" s="77"/>
      <c r="BT122" s="77"/>
    </row>
    <row r="123" spans="1:72" ht="14.1" customHeight="1" x14ac:dyDescent="0.2">
      <c r="A123" s="55" t="str">
        <f t="shared" si="48"/>
        <v>DS-5 (Lighting Service)_Directional - LED 40 -Zone II</v>
      </c>
      <c r="B123" s="80" t="s">
        <v>647</v>
      </c>
      <c r="C123" s="83" t="s">
        <v>735</v>
      </c>
      <c r="D123" s="150"/>
      <c r="E123" s="81"/>
      <c r="F123" s="73" t="s">
        <v>649</v>
      </c>
      <c r="G123" s="73">
        <v>0</v>
      </c>
      <c r="H123" s="73">
        <v>6</v>
      </c>
      <c r="I123" s="74" t="s">
        <v>641</v>
      </c>
      <c r="J123" s="75" t="s">
        <v>634</v>
      </c>
      <c r="K123" s="74"/>
      <c r="L123" s="82">
        <v>5.85</v>
      </c>
      <c r="M123" s="138">
        <v>6.62</v>
      </c>
      <c r="N123" s="138">
        <v>6.62</v>
      </c>
      <c r="O123" s="138">
        <v>6.62</v>
      </c>
      <c r="P123" s="138">
        <v>6.62</v>
      </c>
      <c r="Q123" s="138">
        <v>6.62</v>
      </c>
      <c r="R123" s="138">
        <v>6.62</v>
      </c>
      <c r="S123" s="138">
        <v>6.75</v>
      </c>
      <c r="T123" s="138">
        <v>6.75</v>
      </c>
      <c r="U123" s="138">
        <v>6.75</v>
      </c>
      <c r="V123" s="138">
        <v>6.75</v>
      </c>
      <c r="W123" s="138">
        <v>6.75</v>
      </c>
      <c r="X123" s="138">
        <v>6.75</v>
      </c>
      <c r="Y123" s="138">
        <f t="shared" si="78"/>
        <v>6.75</v>
      </c>
      <c r="Z123" s="138">
        <f t="shared" si="79"/>
        <v>6.75</v>
      </c>
      <c r="AA123" s="138">
        <f t="shared" si="80"/>
        <v>6.75</v>
      </c>
      <c r="AB123" s="138">
        <f t="shared" si="81"/>
        <v>6.75</v>
      </c>
      <c r="AC123" s="138">
        <f t="shared" si="82"/>
        <v>6.75</v>
      </c>
      <c r="AD123" s="138">
        <f t="shared" si="83"/>
        <v>6.75</v>
      </c>
      <c r="AE123" s="138">
        <f t="shared" si="84"/>
        <v>6.75</v>
      </c>
      <c r="AF123" s="138">
        <f t="shared" si="85"/>
        <v>6.75</v>
      </c>
      <c r="AG123" s="138">
        <f t="shared" si="86"/>
        <v>6.75</v>
      </c>
      <c r="AH123" s="138">
        <f t="shared" si="87"/>
        <v>6.75</v>
      </c>
      <c r="AI123" s="138">
        <f t="shared" si="88"/>
        <v>6.75</v>
      </c>
      <c r="AJ123" s="138">
        <f t="shared" si="89"/>
        <v>6.75</v>
      </c>
      <c r="AK123" s="138">
        <f t="shared" si="90"/>
        <v>6.75</v>
      </c>
      <c r="AL123" s="138">
        <f t="shared" si="91"/>
        <v>6.75</v>
      </c>
      <c r="AM123" s="138">
        <f t="shared" si="92"/>
        <v>6.7229166666666664</v>
      </c>
      <c r="AO123" s="77" t="str">
        <f t="shared" si="49"/>
        <v>DS-5 (Lighting Service)</v>
      </c>
      <c r="AP123" s="78" t="s">
        <v>650</v>
      </c>
      <c r="AQ123" s="77" t="str">
        <f t="shared" si="50"/>
        <v>Directional - LED 40 -Zone II</v>
      </c>
      <c r="AR123" s="78" t="str">
        <f t="shared" si="51"/>
        <v>Billing Cycle</v>
      </c>
      <c r="AS123" s="79">
        <f t="shared" si="52"/>
        <v>6</v>
      </c>
      <c r="AT123" s="78">
        <f t="shared" si="53"/>
        <v>6</v>
      </c>
      <c r="AU123" s="78">
        <f t="shared" si="54"/>
        <v>6.62</v>
      </c>
      <c r="AV123" s="78">
        <f t="shared" si="55"/>
        <v>6.62</v>
      </c>
      <c r="AW123" s="78">
        <f t="shared" si="56"/>
        <v>6.62</v>
      </c>
      <c r="AX123" s="78">
        <f t="shared" si="57"/>
        <v>6.62</v>
      </c>
      <c r="AY123" s="78">
        <f t="shared" si="58"/>
        <v>6.62</v>
      </c>
      <c r="AZ123" s="78">
        <f t="shared" si="59"/>
        <v>6.62</v>
      </c>
      <c r="BA123" s="78">
        <f t="shared" si="60"/>
        <v>6.75</v>
      </c>
      <c r="BB123" s="78">
        <f t="shared" si="61"/>
        <v>6.75</v>
      </c>
      <c r="BC123" s="78">
        <f t="shared" si="62"/>
        <v>6.75</v>
      </c>
      <c r="BD123" s="78">
        <f t="shared" si="63"/>
        <v>6.75</v>
      </c>
      <c r="BE123" s="78">
        <f t="shared" si="64"/>
        <v>6.75</v>
      </c>
      <c r="BF123" s="78">
        <f t="shared" si="65"/>
        <v>6.75</v>
      </c>
      <c r="BG123" s="78">
        <f t="shared" si="66"/>
        <v>6.75</v>
      </c>
      <c r="BH123" s="78">
        <f t="shared" si="67"/>
        <v>6.75</v>
      </c>
      <c r="BI123" s="78">
        <f t="shared" si="68"/>
        <v>6.75</v>
      </c>
      <c r="BJ123" s="78">
        <f t="shared" si="69"/>
        <v>6.75</v>
      </c>
      <c r="BK123" s="78">
        <f t="shared" si="70"/>
        <v>6.75</v>
      </c>
      <c r="BL123" s="78">
        <f t="shared" si="71"/>
        <v>6.75</v>
      </c>
      <c r="BM123" s="78">
        <f t="shared" si="72"/>
        <v>6.75</v>
      </c>
      <c r="BN123" s="78">
        <f t="shared" si="73"/>
        <v>6.75</v>
      </c>
      <c r="BO123" s="78">
        <f t="shared" si="74"/>
        <v>6.75</v>
      </c>
      <c r="BP123" s="78">
        <f t="shared" si="75"/>
        <v>6.75</v>
      </c>
      <c r="BQ123" s="78">
        <f t="shared" si="76"/>
        <v>6.75</v>
      </c>
      <c r="BR123" s="78">
        <f t="shared" si="77"/>
        <v>6.75</v>
      </c>
      <c r="BS123" s="77"/>
      <c r="BT123" s="77"/>
    </row>
    <row r="124" spans="1:72" ht="14.1" customHeight="1" x14ac:dyDescent="0.2">
      <c r="A124" s="55" t="str">
        <f t="shared" si="48"/>
        <v>DS-5 (Lighting Service)_Directional - LED 40 -Zone III</v>
      </c>
      <c r="B124" s="80" t="s">
        <v>647</v>
      </c>
      <c r="C124" s="83" t="s">
        <v>736</v>
      </c>
      <c r="D124" s="150"/>
      <c r="E124" s="81"/>
      <c r="F124" s="73" t="s">
        <v>649</v>
      </c>
      <c r="G124" s="73">
        <v>0</v>
      </c>
      <c r="H124" s="73">
        <v>6</v>
      </c>
      <c r="I124" s="74" t="s">
        <v>641</v>
      </c>
      <c r="J124" s="75" t="s">
        <v>634</v>
      </c>
      <c r="K124" s="74"/>
      <c r="L124" s="82">
        <v>5.85</v>
      </c>
      <c r="M124" s="138">
        <v>6.62</v>
      </c>
      <c r="N124" s="138">
        <v>6.62</v>
      </c>
      <c r="O124" s="138">
        <v>6.62</v>
      </c>
      <c r="P124" s="138">
        <v>6.62</v>
      </c>
      <c r="Q124" s="138">
        <v>6.62</v>
      </c>
      <c r="R124" s="138">
        <v>6.62</v>
      </c>
      <c r="S124" s="138">
        <v>6.75</v>
      </c>
      <c r="T124" s="138">
        <v>6.75</v>
      </c>
      <c r="U124" s="138">
        <v>6.75</v>
      </c>
      <c r="V124" s="138">
        <v>6.75</v>
      </c>
      <c r="W124" s="138">
        <v>6.75</v>
      </c>
      <c r="X124" s="138">
        <v>6.75</v>
      </c>
      <c r="Y124" s="138">
        <f t="shared" si="78"/>
        <v>6.75</v>
      </c>
      <c r="Z124" s="138">
        <f t="shared" si="79"/>
        <v>6.75</v>
      </c>
      <c r="AA124" s="138">
        <f t="shared" si="80"/>
        <v>6.75</v>
      </c>
      <c r="AB124" s="138">
        <f t="shared" si="81"/>
        <v>6.75</v>
      </c>
      <c r="AC124" s="138">
        <f t="shared" si="82"/>
        <v>6.75</v>
      </c>
      <c r="AD124" s="138">
        <f t="shared" si="83"/>
        <v>6.75</v>
      </c>
      <c r="AE124" s="138">
        <f t="shared" si="84"/>
        <v>6.75</v>
      </c>
      <c r="AF124" s="138">
        <f t="shared" si="85"/>
        <v>6.75</v>
      </c>
      <c r="AG124" s="138">
        <f t="shared" si="86"/>
        <v>6.75</v>
      </c>
      <c r="AH124" s="138">
        <f t="shared" si="87"/>
        <v>6.75</v>
      </c>
      <c r="AI124" s="138">
        <f t="shared" si="88"/>
        <v>6.75</v>
      </c>
      <c r="AJ124" s="138">
        <f t="shared" si="89"/>
        <v>6.75</v>
      </c>
      <c r="AK124" s="138">
        <f t="shared" si="90"/>
        <v>6.75</v>
      </c>
      <c r="AL124" s="138">
        <f t="shared" si="91"/>
        <v>6.75</v>
      </c>
      <c r="AM124" s="138">
        <f t="shared" si="92"/>
        <v>6.7229166666666664</v>
      </c>
      <c r="AO124" s="77" t="str">
        <f t="shared" si="49"/>
        <v>DS-5 (Lighting Service)</v>
      </c>
      <c r="AP124" s="78" t="s">
        <v>650</v>
      </c>
      <c r="AQ124" s="77" t="str">
        <f t="shared" si="50"/>
        <v>Directional - LED 40 -Zone III</v>
      </c>
      <c r="AR124" s="78" t="str">
        <f t="shared" si="51"/>
        <v>Billing Cycle</v>
      </c>
      <c r="AS124" s="79">
        <f t="shared" si="52"/>
        <v>6</v>
      </c>
      <c r="AT124" s="78">
        <f t="shared" si="53"/>
        <v>6</v>
      </c>
      <c r="AU124" s="78">
        <f t="shared" si="54"/>
        <v>6.62</v>
      </c>
      <c r="AV124" s="78">
        <f t="shared" si="55"/>
        <v>6.62</v>
      </c>
      <c r="AW124" s="78">
        <f t="shared" si="56"/>
        <v>6.62</v>
      </c>
      <c r="AX124" s="78">
        <f t="shared" si="57"/>
        <v>6.62</v>
      </c>
      <c r="AY124" s="78">
        <f t="shared" si="58"/>
        <v>6.62</v>
      </c>
      <c r="AZ124" s="78">
        <f t="shared" si="59"/>
        <v>6.62</v>
      </c>
      <c r="BA124" s="78">
        <f t="shared" si="60"/>
        <v>6.75</v>
      </c>
      <c r="BB124" s="78">
        <f t="shared" si="61"/>
        <v>6.75</v>
      </c>
      <c r="BC124" s="78">
        <f t="shared" si="62"/>
        <v>6.75</v>
      </c>
      <c r="BD124" s="78">
        <f t="shared" si="63"/>
        <v>6.75</v>
      </c>
      <c r="BE124" s="78">
        <f t="shared" si="64"/>
        <v>6.75</v>
      </c>
      <c r="BF124" s="78">
        <f t="shared" si="65"/>
        <v>6.75</v>
      </c>
      <c r="BG124" s="78">
        <f t="shared" si="66"/>
        <v>6.75</v>
      </c>
      <c r="BH124" s="78">
        <f t="shared" si="67"/>
        <v>6.75</v>
      </c>
      <c r="BI124" s="78">
        <f t="shared" si="68"/>
        <v>6.75</v>
      </c>
      <c r="BJ124" s="78">
        <f t="shared" si="69"/>
        <v>6.75</v>
      </c>
      <c r="BK124" s="78">
        <f t="shared" si="70"/>
        <v>6.75</v>
      </c>
      <c r="BL124" s="78">
        <f t="shared" si="71"/>
        <v>6.75</v>
      </c>
      <c r="BM124" s="78">
        <f t="shared" si="72"/>
        <v>6.75</v>
      </c>
      <c r="BN124" s="78">
        <f t="shared" si="73"/>
        <v>6.75</v>
      </c>
      <c r="BO124" s="78">
        <f t="shared" si="74"/>
        <v>6.75</v>
      </c>
      <c r="BP124" s="78">
        <f t="shared" si="75"/>
        <v>6.75</v>
      </c>
      <c r="BQ124" s="78">
        <f t="shared" si="76"/>
        <v>6.75</v>
      </c>
      <c r="BR124" s="78">
        <f t="shared" si="77"/>
        <v>6.75</v>
      </c>
      <c r="BS124" s="77"/>
      <c r="BT124" s="77"/>
    </row>
    <row r="125" spans="1:72" ht="14.1" customHeight="1" x14ac:dyDescent="0.2">
      <c r="A125" s="55" t="str">
        <f t="shared" si="48"/>
        <v>DS-1 (Residential)_Distribution Delivery Charge Non-Summer &gt; 800</v>
      </c>
      <c r="B125" s="80" t="s">
        <v>90</v>
      </c>
      <c r="C125" s="83" t="s">
        <v>737</v>
      </c>
      <c r="D125" s="150" t="s">
        <v>566</v>
      </c>
      <c r="E125" s="81"/>
      <c r="F125" s="73" t="s">
        <v>649</v>
      </c>
      <c r="G125" s="73">
        <v>0</v>
      </c>
      <c r="H125" s="73">
        <v>6</v>
      </c>
      <c r="I125" s="74" t="s">
        <v>641</v>
      </c>
      <c r="J125" s="75" t="s">
        <v>634</v>
      </c>
      <c r="K125" s="74"/>
      <c r="L125" s="82">
        <v>1.8669999999999999E-2</v>
      </c>
      <c r="M125" s="138">
        <v>2.0629999999999999E-2</v>
      </c>
      <c r="N125" s="138">
        <v>2.0629999999999999E-2</v>
      </c>
      <c r="O125" s="138">
        <v>2.0629999999999999E-2</v>
      </c>
      <c r="P125" s="138">
        <v>2.0629999999999999E-2</v>
      </c>
      <c r="Q125" s="138">
        <v>2.0629999999999999E-2</v>
      </c>
      <c r="R125" s="138">
        <v>2.0629999999999999E-2</v>
      </c>
      <c r="S125" s="138">
        <v>2.1149999999999999E-2</v>
      </c>
      <c r="T125" s="138">
        <v>2.1149999999999999E-2</v>
      </c>
      <c r="U125" s="138">
        <v>2.1149999999999999E-2</v>
      </c>
      <c r="V125" s="138">
        <v>2.1149999999999999E-2</v>
      </c>
      <c r="W125" s="138">
        <v>2.1149999999999999E-2</v>
      </c>
      <c r="X125" s="138">
        <v>2.1149999999999999E-2</v>
      </c>
      <c r="Y125" s="138">
        <f t="shared" si="78"/>
        <v>2.1149999999999999E-2</v>
      </c>
      <c r="Z125" s="138">
        <f t="shared" si="79"/>
        <v>2.1149999999999999E-2</v>
      </c>
      <c r="AA125" s="138">
        <f t="shared" si="80"/>
        <v>2.1149999999999999E-2</v>
      </c>
      <c r="AB125" s="138">
        <f t="shared" si="81"/>
        <v>2.1149999999999999E-2</v>
      </c>
      <c r="AC125" s="138">
        <f t="shared" si="82"/>
        <v>2.1149999999999999E-2</v>
      </c>
      <c r="AD125" s="138">
        <f t="shared" si="83"/>
        <v>2.1149999999999999E-2</v>
      </c>
      <c r="AE125" s="138">
        <f t="shared" si="84"/>
        <v>2.1149999999999999E-2</v>
      </c>
      <c r="AF125" s="138">
        <f t="shared" si="85"/>
        <v>2.1149999999999999E-2</v>
      </c>
      <c r="AG125" s="138">
        <f t="shared" si="86"/>
        <v>2.1149999999999999E-2</v>
      </c>
      <c r="AH125" s="138">
        <f t="shared" si="87"/>
        <v>2.1149999999999999E-2</v>
      </c>
      <c r="AI125" s="138">
        <f t="shared" si="88"/>
        <v>2.1149999999999999E-2</v>
      </c>
      <c r="AJ125" s="138">
        <f t="shared" si="89"/>
        <v>2.1149999999999999E-2</v>
      </c>
      <c r="AK125" s="138">
        <f t="shared" si="90"/>
        <v>2.1149999999999999E-2</v>
      </c>
      <c r="AL125" s="138">
        <f t="shared" si="91"/>
        <v>2.1149999999999999E-2</v>
      </c>
      <c r="AM125" s="138">
        <f t="shared" si="92"/>
        <v>2.1041666666666667E-2</v>
      </c>
      <c r="AO125" s="77" t="str">
        <f t="shared" si="49"/>
        <v>DS-1 (Residential)</v>
      </c>
      <c r="AP125" s="78" t="s">
        <v>662</v>
      </c>
      <c r="AQ125" s="77" t="str">
        <f t="shared" si="50"/>
        <v>Distribution Delivery Charge Non-Summer &gt; 800</v>
      </c>
      <c r="AR125" s="78" t="str">
        <f t="shared" si="51"/>
        <v>Billing Cycle</v>
      </c>
      <c r="AS125" s="79">
        <f t="shared" si="52"/>
        <v>6</v>
      </c>
      <c r="AT125" s="78">
        <f t="shared" si="53"/>
        <v>0</v>
      </c>
      <c r="AU125" s="78">
        <f t="shared" si="54"/>
        <v>2.0629999999999999E-2</v>
      </c>
      <c r="AV125" s="78">
        <f t="shared" si="55"/>
        <v>2.0629999999999999E-2</v>
      </c>
      <c r="AW125" s="78">
        <f t="shared" si="56"/>
        <v>2.0629999999999999E-2</v>
      </c>
      <c r="AX125" s="78">
        <f t="shared" si="57"/>
        <v>2.0629999999999999E-2</v>
      </c>
      <c r="AY125" s="78">
        <f t="shared" si="58"/>
        <v>2.0629999999999999E-2</v>
      </c>
      <c r="AZ125" s="78">
        <f t="shared" si="59"/>
        <v>2.0629999999999999E-2</v>
      </c>
      <c r="BA125" s="78">
        <f t="shared" si="60"/>
        <v>2.1149999999999999E-2</v>
      </c>
      <c r="BB125" s="78">
        <f t="shared" si="61"/>
        <v>2.1149999999999999E-2</v>
      </c>
      <c r="BC125" s="78">
        <f t="shared" si="62"/>
        <v>2.1149999999999999E-2</v>
      </c>
      <c r="BD125" s="78">
        <f t="shared" si="63"/>
        <v>2.1149999999999999E-2</v>
      </c>
      <c r="BE125" s="78">
        <f t="shared" si="64"/>
        <v>2.1149999999999999E-2</v>
      </c>
      <c r="BF125" s="78">
        <f t="shared" si="65"/>
        <v>2.1149999999999999E-2</v>
      </c>
      <c r="BG125" s="78">
        <f t="shared" si="66"/>
        <v>2.1149999999999999E-2</v>
      </c>
      <c r="BH125" s="78">
        <f t="shared" si="67"/>
        <v>2.1149999999999999E-2</v>
      </c>
      <c r="BI125" s="78">
        <f t="shared" si="68"/>
        <v>2.1149999999999999E-2</v>
      </c>
      <c r="BJ125" s="78">
        <f t="shared" si="69"/>
        <v>2.1149999999999999E-2</v>
      </c>
      <c r="BK125" s="78">
        <f t="shared" si="70"/>
        <v>2.1149999999999999E-2</v>
      </c>
      <c r="BL125" s="78">
        <f t="shared" si="71"/>
        <v>2.1149999999999999E-2</v>
      </c>
      <c r="BM125" s="78">
        <f t="shared" si="72"/>
        <v>2.1149999999999999E-2</v>
      </c>
      <c r="BN125" s="78">
        <f t="shared" si="73"/>
        <v>2.1149999999999999E-2</v>
      </c>
      <c r="BO125" s="78">
        <f t="shared" si="74"/>
        <v>2.1149999999999999E-2</v>
      </c>
      <c r="BP125" s="78">
        <f t="shared" si="75"/>
        <v>2.1149999999999999E-2</v>
      </c>
      <c r="BQ125" s="78">
        <f t="shared" si="76"/>
        <v>2.1149999999999999E-2</v>
      </c>
      <c r="BR125" s="78">
        <f t="shared" si="77"/>
        <v>2.1149999999999999E-2</v>
      </c>
      <c r="BS125" s="77"/>
      <c r="BT125" s="77"/>
    </row>
    <row r="126" spans="1:72" ht="14.1" customHeight="1" x14ac:dyDescent="0.2">
      <c r="A126" s="55" t="str">
        <f t="shared" si="48"/>
        <v>DS-1 (Residential)_Distribution Delivery Charge Non-Summer 0-800</v>
      </c>
      <c r="B126" s="80" t="s">
        <v>90</v>
      </c>
      <c r="C126" s="83" t="s">
        <v>738</v>
      </c>
      <c r="D126" s="150" t="s">
        <v>565</v>
      </c>
      <c r="E126" s="81"/>
      <c r="F126" s="73" t="s">
        <v>649</v>
      </c>
      <c r="G126" s="73">
        <v>0</v>
      </c>
      <c r="H126" s="73">
        <v>6</v>
      </c>
      <c r="I126" s="74" t="s">
        <v>641</v>
      </c>
      <c r="J126" s="75" t="s">
        <v>634</v>
      </c>
      <c r="K126" s="74"/>
      <c r="L126" s="82">
        <v>3.517E-2</v>
      </c>
      <c r="M126" s="138">
        <v>3.8890000000000001E-2</v>
      </c>
      <c r="N126" s="138">
        <v>3.8890000000000001E-2</v>
      </c>
      <c r="O126" s="138">
        <v>3.8890000000000001E-2</v>
      </c>
      <c r="P126" s="138">
        <v>3.8890000000000001E-2</v>
      </c>
      <c r="Q126" s="138">
        <v>3.8890000000000001E-2</v>
      </c>
      <c r="R126" s="138">
        <v>3.8890000000000001E-2</v>
      </c>
      <c r="S126" s="138">
        <v>3.9849999999999997E-2</v>
      </c>
      <c r="T126" s="138">
        <v>3.9849999999999997E-2</v>
      </c>
      <c r="U126" s="138">
        <v>3.9849999999999997E-2</v>
      </c>
      <c r="V126" s="138">
        <v>3.9849999999999997E-2</v>
      </c>
      <c r="W126" s="138">
        <v>3.9849999999999997E-2</v>
      </c>
      <c r="X126" s="138">
        <v>3.9849999999999997E-2</v>
      </c>
      <c r="Y126" s="138">
        <f t="shared" si="78"/>
        <v>3.9849999999999997E-2</v>
      </c>
      <c r="Z126" s="138">
        <f t="shared" si="79"/>
        <v>3.9849999999999997E-2</v>
      </c>
      <c r="AA126" s="138">
        <f t="shared" si="80"/>
        <v>3.9849999999999997E-2</v>
      </c>
      <c r="AB126" s="138">
        <f t="shared" si="81"/>
        <v>3.9849999999999997E-2</v>
      </c>
      <c r="AC126" s="138">
        <f t="shared" si="82"/>
        <v>3.9849999999999997E-2</v>
      </c>
      <c r="AD126" s="138">
        <f t="shared" si="83"/>
        <v>3.9849999999999997E-2</v>
      </c>
      <c r="AE126" s="138">
        <f t="shared" si="84"/>
        <v>3.9849999999999997E-2</v>
      </c>
      <c r="AF126" s="138">
        <f t="shared" si="85"/>
        <v>3.9849999999999997E-2</v>
      </c>
      <c r="AG126" s="138">
        <f t="shared" si="86"/>
        <v>3.9849999999999997E-2</v>
      </c>
      <c r="AH126" s="138">
        <f t="shared" si="87"/>
        <v>3.9849999999999997E-2</v>
      </c>
      <c r="AI126" s="138">
        <f t="shared" si="88"/>
        <v>3.9849999999999997E-2</v>
      </c>
      <c r="AJ126" s="138">
        <f t="shared" si="89"/>
        <v>3.9849999999999997E-2</v>
      </c>
      <c r="AK126" s="138">
        <f t="shared" si="90"/>
        <v>3.9849999999999997E-2</v>
      </c>
      <c r="AL126" s="138">
        <f t="shared" si="91"/>
        <v>3.9849999999999997E-2</v>
      </c>
      <c r="AM126" s="138">
        <f t="shared" si="92"/>
        <v>3.964999999999997E-2</v>
      </c>
      <c r="AO126" s="77" t="str">
        <f t="shared" si="49"/>
        <v>DS-1 (Residential)</v>
      </c>
      <c r="AP126" s="78" t="s">
        <v>662</v>
      </c>
      <c r="AQ126" s="77" t="str">
        <f t="shared" si="50"/>
        <v>Distribution Delivery Charge Non-Summer 0-800</v>
      </c>
      <c r="AR126" s="78" t="str">
        <f t="shared" si="51"/>
        <v>Billing Cycle</v>
      </c>
      <c r="AS126" s="79">
        <f t="shared" si="52"/>
        <v>6</v>
      </c>
      <c r="AT126" s="78">
        <f t="shared" si="53"/>
        <v>0</v>
      </c>
      <c r="AU126" s="78">
        <f t="shared" si="54"/>
        <v>3.8890000000000001E-2</v>
      </c>
      <c r="AV126" s="78">
        <f t="shared" si="55"/>
        <v>3.8890000000000001E-2</v>
      </c>
      <c r="AW126" s="78">
        <f t="shared" si="56"/>
        <v>3.8890000000000001E-2</v>
      </c>
      <c r="AX126" s="78">
        <f t="shared" si="57"/>
        <v>3.8890000000000001E-2</v>
      </c>
      <c r="AY126" s="78">
        <f t="shared" si="58"/>
        <v>3.8890000000000001E-2</v>
      </c>
      <c r="AZ126" s="78">
        <f t="shared" si="59"/>
        <v>3.8890000000000001E-2</v>
      </c>
      <c r="BA126" s="78">
        <f t="shared" si="60"/>
        <v>3.9849999999999997E-2</v>
      </c>
      <c r="BB126" s="78">
        <f t="shared" si="61"/>
        <v>3.9849999999999997E-2</v>
      </c>
      <c r="BC126" s="78">
        <f t="shared" si="62"/>
        <v>3.9849999999999997E-2</v>
      </c>
      <c r="BD126" s="78">
        <f t="shared" si="63"/>
        <v>3.9849999999999997E-2</v>
      </c>
      <c r="BE126" s="78">
        <f t="shared" si="64"/>
        <v>3.9849999999999997E-2</v>
      </c>
      <c r="BF126" s="78">
        <f t="shared" si="65"/>
        <v>3.9849999999999997E-2</v>
      </c>
      <c r="BG126" s="78">
        <f t="shared" si="66"/>
        <v>3.9849999999999997E-2</v>
      </c>
      <c r="BH126" s="78">
        <f t="shared" si="67"/>
        <v>3.9849999999999997E-2</v>
      </c>
      <c r="BI126" s="78">
        <f t="shared" si="68"/>
        <v>3.9849999999999997E-2</v>
      </c>
      <c r="BJ126" s="78">
        <f t="shared" si="69"/>
        <v>3.9849999999999997E-2</v>
      </c>
      <c r="BK126" s="78">
        <f t="shared" si="70"/>
        <v>3.9849999999999997E-2</v>
      </c>
      <c r="BL126" s="78">
        <f t="shared" si="71"/>
        <v>3.9849999999999997E-2</v>
      </c>
      <c r="BM126" s="78">
        <f t="shared" si="72"/>
        <v>3.9849999999999997E-2</v>
      </c>
      <c r="BN126" s="78">
        <f t="shared" si="73"/>
        <v>3.9849999999999997E-2</v>
      </c>
      <c r="BO126" s="78">
        <f t="shared" si="74"/>
        <v>3.9849999999999997E-2</v>
      </c>
      <c r="BP126" s="78">
        <f t="shared" si="75"/>
        <v>3.9849999999999997E-2</v>
      </c>
      <c r="BQ126" s="78">
        <f t="shared" si="76"/>
        <v>3.9849999999999997E-2</v>
      </c>
      <c r="BR126" s="78">
        <f t="shared" si="77"/>
        <v>3.9849999999999997E-2</v>
      </c>
      <c r="BS126" s="77"/>
      <c r="BT126" s="77"/>
    </row>
    <row r="127" spans="1:72" ht="14.1" customHeight="1" x14ac:dyDescent="0.2">
      <c r="A127" s="55" t="str">
        <f t="shared" si="48"/>
        <v>DS-1 (Residential)_Distribution Delivery Charge Summer</v>
      </c>
      <c r="B127" s="80" t="s">
        <v>90</v>
      </c>
      <c r="C127" s="71" t="s">
        <v>739</v>
      </c>
      <c r="D127" s="150" t="s">
        <v>563</v>
      </c>
      <c r="E127" s="81"/>
      <c r="F127" s="73" t="s">
        <v>649</v>
      </c>
      <c r="G127" s="73">
        <v>0</v>
      </c>
      <c r="H127" s="73">
        <v>6</v>
      </c>
      <c r="I127" s="74" t="s">
        <v>641</v>
      </c>
      <c r="J127" s="75" t="s">
        <v>634</v>
      </c>
      <c r="K127" s="74"/>
      <c r="L127" s="82">
        <v>6.0080000000000001E-2</v>
      </c>
      <c r="M127" s="138">
        <v>6.6439999999999999E-2</v>
      </c>
      <c r="N127" s="138">
        <v>6.6439999999999999E-2</v>
      </c>
      <c r="O127" s="138">
        <v>6.6439999999999999E-2</v>
      </c>
      <c r="P127" s="138">
        <v>6.6439999999999999E-2</v>
      </c>
      <c r="Q127" s="138">
        <v>6.6439999999999999E-2</v>
      </c>
      <c r="R127" s="138">
        <v>6.6439999999999999E-2</v>
      </c>
      <c r="S127" s="138">
        <v>6.8080000000000002E-2</v>
      </c>
      <c r="T127" s="138">
        <v>6.8080000000000002E-2</v>
      </c>
      <c r="U127" s="138">
        <v>6.8080000000000002E-2</v>
      </c>
      <c r="V127" s="138">
        <v>6.8080000000000002E-2</v>
      </c>
      <c r="W127" s="138">
        <v>6.8080000000000002E-2</v>
      </c>
      <c r="X127" s="138">
        <v>6.8080000000000002E-2</v>
      </c>
      <c r="Y127" s="138">
        <f t="shared" si="78"/>
        <v>6.8080000000000002E-2</v>
      </c>
      <c r="Z127" s="138">
        <f t="shared" si="79"/>
        <v>6.8080000000000002E-2</v>
      </c>
      <c r="AA127" s="138">
        <f t="shared" si="80"/>
        <v>6.8080000000000002E-2</v>
      </c>
      <c r="AB127" s="138">
        <f t="shared" si="81"/>
        <v>6.8080000000000002E-2</v>
      </c>
      <c r="AC127" s="138">
        <f t="shared" si="82"/>
        <v>6.8080000000000002E-2</v>
      </c>
      <c r="AD127" s="138">
        <f t="shared" si="83"/>
        <v>6.8080000000000002E-2</v>
      </c>
      <c r="AE127" s="138">
        <f t="shared" si="84"/>
        <v>6.8080000000000002E-2</v>
      </c>
      <c r="AF127" s="138">
        <f t="shared" si="85"/>
        <v>6.8080000000000002E-2</v>
      </c>
      <c r="AG127" s="138">
        <f t="shared" si="86"/>
        <v>6.8080000000000002E-2</v>
      </c>
      <c r="AH127" s="138">
        <f t="shared" si="87"/>
        <v>6.8080000000000002E-2</v>
      </c>
      <c r="AI127" s="138">
        <f t="shared" si="88"/>
        <v>6.8080000000000002E-2</v>
      </c>
      <c r="AJ127" s="138">
        <f t="shared" si="89"/>
        <v>6.8080000000000002E-2</v>
      </c>
      <c r="AK127" s="138">
        <f t="shared" si="90"/>
        <v>6.8080000000000002E-2</v>
      </c>
      <c r="AL127" s="138">
        <f t="shared" si="91"/>
        <v>6.8080000000000016E-2</v>
      </c>
      <c r="AM127" s="138">
        <f t="shared" si="92"/>
        <v>6.7738333333333303E-2</v>
      </c>
      <c r="AO127" s="77" t="str">
        <f t="shared" si="49"/>
        <v>DS-1 (Residential)</v>
      </c>
      <c r="AP127" s="78" t="s">
        <v>662</v>
      </c>
      <c r="AQ127" s="77" t="str">
        <f t="shared" si="50"/>
        <v>Distribution Delivery Charge Summer</v>
      </c>
      <c r="AR127" s="78" t="str">
        <f t="shared" si="51"/>
        <v>Billing Cycle</v>
      </c>
      <c r="AS127" s="79">
        <f t="shared" si="52"/>
        <v>6</v>
      </c>
      <c r="AT127" s="78">
        <f t="shared" si="53"/>
        <v>0</v>
      </c>
      <c r="AU127" s="78">
        <f t="shared" si="54"/>
        <v>6.6439999999999999E-2</v>
      </c>
      <c r="AV127" s="78">
        <f t="shared" si="55"/>
        <v>6.6439999999999999E-2</v>
      </c>
      <c r="AW127" s="78">
        <f t="shared" si="56"/>
        <v>6.6439999999999999E-2</v>
      </c>
      <c r="AX127" s="78">
        <f t="shared" si="57"/>
        <v>6.6439999999999999E-2</v>
      </c>
      <c r="AY127" s="78">
        <f t="shared" si="58"/>
        <v>6.6439999999999999E-2</v>
      </c>
      <c r="AZ127" s="78">
        <f t="shared" si="59"/>
        <v>6.6439999999999999E-2</v>
      </c>
      <c r="BA127" s="78">
        <f t="shared" si="60"/>
        <v>6.8080000000000002E-2</v>
      </c>
      <c r="BB127" s="78">
        <f t="shared" si="61"/>
        <v>6.8080000000000002E-2</v>
      </c>
      <c r="BC127" s="78">
        <f t="shared" si="62"/>
        <v>6.8080000000000002E-2</v>
      </c>
      <c r="BD127" s="78">
        <f t="shared" si="63"/>
        <v>6.8080000000000002E-2</v>
      </c>
      <c r="BE127" s="78">
        <f t="shared" si="64"/>
        <v>6.8080000000000002E-2</v>
      </c>
      <c r="BF127" s="78">
        <f t="shared" si="65"/>
        <v>6.8080000000000002E-2</v>
      </c>
      <c r="BG127" s="78">
        <f t="shared" si="66"/>
        <v>6.8080000000000002E-2</v>
      </c>
      <c r="BH127" s="78">
        <f t="shared" si="67"/>
        <v>6.8080000000000002E-2</v>
      </c>
      <c r="BI127" s="78">
        <f t="shared" si="68"/>
        <v>6.8080000000000002E-2</v>
      </c>
      <c r="BJ127" s="78">
        <f t="shared" si="69"/>
        <v>6.8080000000000002E-2</v>
      </c>
      <c r="BK127" s="78">
        <f t="shared" si="70"/>
        <v>6.8080000000000002E-2</v>
      </c>
      <c r="BL127" s="78">
        <f t="shared" si="71"/>
        <v>6.8080000000000002E-2</v>
      </c>
      <c r="BM127" s="78">
        <f t="shared" si="72"/>
        <v>6.8080000000000002E-2</v>
      </c>
      <c r="BN127" s="78">
        <f t="shared" si="73"/>
        <v>6.8080000000000002E-2</v>
      </c>
      <c r="BO127" s="78">
        <f t="shared" si="74"/>
        <v>6.8080000000000002E-2</v>
      </c>
      <c r="BP127" s="78">
        <f t="shared" si="75"/>
        <v>6.8080000000000002E-2</v>
      </c>
      <c r="BQ127" s="78">
        <f t="shared" si="76"/>
        <v>6.8080000000000002E-2</v>
      </c>
      <c r="BR127" s="78">
        <f t="shared" si="77"/>
        <v>6.8080000000000002E-2</v>
      </c>
      <c r="BS127" s="77"/>
      <c r="BT127" s="77"/>
    </row>
    <row r="128" spans="1:72" ht="14.1" customHeight="1" x14ac:dyDescent="0.2">
      <c r="A128" s="55" t="str">
        <f t="shared" si="48"/>
        <v>DS-2 (Small General Service)_Distribution Delivery Charge Summer</v>
      </c>
      <c r="B128" s="80" t="s">
        <v>665</v>
      </c>
      <c r="C128" s="71" t="s">
        <v>739</v>
      </c>
      <c r="D128" s="150"/>
      <c r="E128" s="81"/>
      <c r="F128" s="73" t="s">
        <v>649</v>
      </c>
      <c r="G128" s="73">
        <v>0</v>
      </c>
      <c r="H128" s="73">
        <v>6</v>
      </c>
      <c r="I128" s="74" t="s">
        <v>641</v>
      </c>
      <c r="J128" s="75" t="s">
        <v>634</v>
      </c>
      <c r="K128" s="74"/>
      <c r="L128" s="82">
        <v>5.466E-2</v>
      </c>
      <c r="M128" s="138">
        <v>5.5489999999999998E-2</v>
      </c>
      <c r="N128" s="138">
        <v>5.5489999999999998E-2</v>
      </c>
      <c r="O128" s="138">
        <v>5.5489999999999998E-2</v>
      </c>
      <c r="P128" s="138">
        <v>5.5489999999999998E-2</v>
      </c>
      <c r="Q128" s="138">
        <v>5.5489999999999998E-2</v>
      </c>
      <c r="R128" s="138">
        <v>5.5489999999999998E-2</v>
      </c>
      <c r="S128" s="138">
        <v>5.7430000000000002E-2</v>
      </c>
      <c r="T128" s="138">
        <v>5.7430000000000002E-2</v>
      </c>
      <c r="U128" s="138">
        <v>5.7430000000000002E-2</v>
      </c>
      <c r="V128" s="138">
        <v>5.7430000000000002E-2</v>
      </c>
      <c r="W128" s="138">
        <v>5.7430000000000002E-2</v>
      </c>
      <c r="X128" s="138">
        <v>5.7430000000000002E-2</v>
      </c>
      <c r="Y128" s="138">
        <f t="shared" si="78"/>
        <v>5.7430000000000002E-2</v>
      </c>
      <c r="Z128" s="138">
        <f t="shared" si="79"/>
        <v>5.7430000000000002E-2</v>
      </c>
      <c r="AA128" s="138">
        <f t="shared" si="80"/>
        <v>5.7430000000000002E-2</v>
      </c>
      <c r="AB128" s="138">
        <f t="shared" si="81"/>
        <v>5.7430000000000002E-2</v>
      </c>
      <c r="AC128" s="138">
        <f t="shared" si="82"/>
        <v>5.7430000000000002E-2</v>
      </c>
      <c r="AD128" s="138">
        <f t="shared" si="83"/>
        <v>5.7430000000000002E-2</v>
      </c>
      <c r="AE128" s="138">
        <f t="shared" si="84"/>
        <v>5.7430000000000002E-2</v>
      </c>
      <c r="AF128" s="138">
        <f t="shared" si="85"/>
        <v>5.7430000000000002E-2</v>
      </c>
      <c r="AG128" s="138">
        <f t="shared" si="86"/>
        <v>5.7430000000000002E-2</v>
      </c>
      <c r="AH128" s="138">
        <f t="shared" si="87"/>
        <v>5.7430000000000002E-2</v>
      </c>
      <c r="AI128" s="138">
        <f t="shared" si="88"/>
        <v>5.7430000000000002E-2</v>
      </c>
      <c r="AJ128" s="138">
        <f t="shared" si="89"/>
        <v>5.7430000000000002E-2</v>
      </c>
      <c r="AK128" s="138">
        <f t="shared" si="90"/>
        <v>5.7430000000000002E-2</v>
      </c>
      <c r="AL128" s="138">
        <f t="shared" si="91"/>
        <v>5.7429999999999988E-2</v>
      </c>
      <c r="AM128" s="138">
        <f t="shared" si="92"/>
        <v>5.7025833333333352E-2</v>
      </c>
      <c r="AO128" s="77" t="str">
        <f t="shared" si="49"/>
        <v>DS-2 (Small General Service)</v>
      </c>
      <c r="AP128" s="78" t="s">
        <v>664</v>
      </c>
      <c r="AQ128" s="77" t="str">
        <f t="shared" si="50"/>
        <v>Distribution Delivery Charge Summer</v>
      </c>
      <c r="AR128" s="78" t="str">
        <f t="shared" si="51"/>
        <v>Billing Cycle</v>
      </c>
      <c r="AS128" s="79">
        <f t="shared" si="52"/>
        <v>6</v>
      </c>
      <c r="AT128" s="78">
        <f t="shared" si="53"/>
        <v>0</v>
      </c>
      <c r="AU128" s="78">
        <f t="shared" si="54"/>
        <v>5.5489999999999998E-2</v>
      </c>
      <c r="AV128" s="78">
        <f t="shared" si="55"/>
        <v>5.5489999999999998E-2</v>
      </c>
      <c r="AW128" s="78">
        <f t="shared" si="56"/>
        <v>5.5489999999999998E-2</v>
      </c>
      <c r="AX128" s="78">
        <f t="shared" si="57"/>
        <v>5.5489999999999998E-2</v>
      </c>
      <c r="AY128" s="78">
        <f t="shared" si="58"/>
        <v>5.5489999999999998E-2</v>
      </c>
      <c r="AZ128" s="78">
        <f t="shared" si="59"/>
        <v>5.5489999999999998E-2</v>
      </c>
      <c r="BA128" s="78">
        <f t="shared" si="60"/>
        <v>5.7430000000000002E-2</v>
      </c>
      <c r="BB128" s="78">
        <f t="shared" si="61"/>
        <v>5.7430000000000002E-2</v>
      </c>
      <c r="BC128" s="78">
        <f t="shared" si="62"/>
        <v>5.7430000000000002E-2</v>
      </c>
      <c r="BD128" s="78">
        <f t="shared" si="63"/>
        <v>5.7430000000000002E-2</v>
      </c>
      <c r="BE128" s="78">
        <f t="shared" si="64"/>
        <v>5.7430000000000002E-2</v>
      </c>
      <c r="BF128" s="78">
        <f t="shared" si="65"/>
        <v>5.7430000000000002E-2</v>
      </c>
      <c r="BG128" s="78">
        <f t="shared" si="66"/>
        <v>5.7430000000000002E-2</v>
      </c>
      <c r="BH128" s="78">
        <f t="shared" si="67"/>
        <v>5.7430000000000002E-2</v>
      </c>
      <c r="BI128" s="78">
        <f t="shared" si="68"/>
        <v>5.7430000000000002E-2</v>
      </c>
      <c r="BJ128" s="78">
        <f t="shared" si="69"/>
        <v>5.7430000000000002E-2</v>
      </c>
      <c r="BK128" s="78">
        <f t="shared" si="70"/>
        <v>5.7430000000000002E-2</v>
      </c>
      <c r="BL128" s="78">
        <f t="shared" si="71"/>
        <v>5.7430000000000002E-2</v>
      </c>
      <c r="BM128" s="78">
        <f t="shared" si="72"/>
        <v>5.7430000000000002E-2</v>
      </c>
      <c r="BN128" s="78">
        <f t="shared" si="73"/>
        <v>5.7430000000000002E-2</v>
      </c>
      <c r="BO128" s="78">
        <f t="shared" si="74"/>
        <v>5.7430000000000002E-2</v>
      </c>
      <c r="BP128" s="78">
        <f t="shared" si="75"/>
        <v>5.7430000000000002E-2</v>
      </c>
      <c r="BQ128" s="78">
        <f t="shared" si="76"/>
        <v>5.7430000000000002E-2</v>
      </c>
      <c r="BR128" s="78">
        <f t="shared" si="77"/>
        <v>5.7430000000000002E-2</v>
      </c>
      <c r="BS128" s="77"/>
      <c r="BT128" s="77"/>
    </row>
    <row r="129" spans="1:72" ht="14.1" customHeight="1" x14ac:dyDescent="0.2">
      <c r="A129" s="55" t="str">
        <f t="shared" si="48"/>
        <v>DS-5 (Lighting Service)_Distribution Delivery Charges  (Customer Owned Fixtures) Rate Zone I</v>
      </c>
      <c r="B129" s="85" t="s">
        <v>647</v>
      </c>
      <c r="C129" s="83" t="s">
        <v>740</v>
      </c>
      <c r="D129" s="150"/>
      <c r="E129" s="81"/>
      <c r="F129" s="73" t="s">
        <v>649</v>
      </c>
      <c r="G129" s="73">
        <v>0</v>
      </c>
      <c r="H129" s="73">
        <v>6</v>
      </c>
      <c r="I129" s="74" t="s">
        <v>641</v>
      </c>
      <c r="J129" s="75" t="s">
        <v>634</v>
      </c>
      <c r="K129" s="74"/>
      <c r="L129" s="82">
        <v>1.511E-2</v>
      </c>
      <c r="M129" s="138">
        <v>1.7059999999999999E-2</v>
      </c>
      <c r="N129" s="138">
        <v>1.7059999999999999E-2</v>
      </c>
      <c r="O129" s="138">
        <v>1.7059999999999999E-2</v>
      </c>
      <c r="P129" s="138">
        <v>1.7059999999999999E-2</v>
      </c>
      <c r="Q129" s="138">
        <v>1.7059999999999999E-2</v>
      </c>
      <c r="R129" s="138">
        <v>1.7059999999999999E-2</v>
      </c>
      <c r="S129" s="138">
        <v>1.7399999999999999E-2</v>
      </c>
      <c r="T129" s="138">
        <v>1.7399999999999999E-2</v>
      </c>
      <c r="U129" s="138">
        <v>1.7399999999999999E-2</v>
      </c>
      <c r="V129" s="138">
        <v>1.7399999999999999E-2</v>
      </c>
      <c r="W129" s="138">
        <v>1.7399999999999999E-2</v>
      </c>
      <c r="X129" s="138">
        <v>1.7399999999999999E-2</v>
      </c>
      <c r="Y129" s="138">
        <f t="shared" si="78"/>
        <v>1.7399999999999999E-2</v>
      </c>
      <c r="Z129" s="138">
        <f t="shared" si="79"/>
        <v>1.7399999999999999E-2</v>
      </c>
      <c r="AA129" s="138">
        <f t="shared" si="80"/>
        <v>1.7399999999999999E-2</v>
      </c>
      <c r="AB129" s="138">
        <f t="shared" si="81"/>
        <v>1.7399999999999999E-2</v>
      </c>
      <c r="AC129" s="138">
        <f t="shared" si="82"/>
        <v>1.7399999999999999E-2</v>
      </c>
      <c r="AD129" s="138">
        <f t="shared" si="83"/>
        <v>1.7399999999999999E-2</v>
      </c>
      <c r="AE129" s="138">
        <f t="shared" si="84"/>
        <v>1.7399999999999999E-2</v>
      </c>
      <c r="AF129" s="138">
        <f t="shared" si="85"/>
        <v>1.7399999999999999E-2</v>
      </c>
      <c r="AG129" s="138">
        <f t="shared" si="86"/>
        <v>1.7399999999999999E-2</v>
      </c>
      <c r="AH129" s="138">
        <f t="shared" si="87"/>
        <v>1.7399999999999999E-2</v>
      </c>
      <c r="AI129" s="138">
        <f t="shared" si="88"/>
        <v>1.7399999999999999E-2</v>
      </c>
      <c r="AJ129" s="138">
        <f t="shared" si="89"/>
        <v>1.7399999999999999E-2</v>
      </c>
      <c r="AK129" s="138">
        <f t="shared" si="90"/>
        <v>1.7399999999999999E-2</v>
      </c>
      <c r="AL129" s="138">
        <f t="shared" si="91"/>
        <v>1.7399999999999999E-2</v>
      </c>
      <c r="AM129" s="138">
        <f t="shared" si="92"/>
        <v>1.7329166666666656E-2</v>
      </c>
      <c r="AO129" s="77" t="str">
        <f t="shared" si="49"/>
        <v>DS-5 (Lighting Service)</v>
      </c>
      <c r="AP129" s="78" t="s">
        <v>650</v>
      </c>
      <c r="AQ129" s="77" t="str">
        <f t="shared" si="50"/>
        <v>Distribution Delivery Charges  (Customer Owned Fixtures) Rate Zone I</v>
      </c>
      <c r="AR129" s="78" t="str">
        <f t="shared" si="51"/>
        <v>Billing Cycle</v>
      </c>
      <c r="AS129" s="79">
        <f t="shared" si="52"/>
        <v>6</v>
      </c>
      <c r="AT129" s="78">
        <f t="shared" si="53"/>
        <v>0</v>
      </c>
      <c r="AU129" s="78">
        <f t="shared" si="54"/>
        <v>1.7059999999999999E-2</v>
      </c>
      <c r="AV129" s="78">
        <f t="shared" si="55"/>
        <v>1.7059999999999999E-2</v>
      </c>
      <c r="AW129" s="78">
        <f t="shared" si="56"/>
        <v>1.7059999999999999E-2</v>
      </c>
      <c r="AX129" s="78">
        <f t="shared" si="57"/>
        <v>1.7059999999999999E-2</v>
      </c>
      <c r="AY129" s="78">
        <f t="shared" si="58"/>
        <v>1.7059999999999999E-2</v>
      </c>
      <c r="AZ129" s="78">
        <f t="shared" si="59"/>
        <v>1.7059999999999999E-2</v>
      </c>
      <c r="BA129" s="78">
        <f t="shared" si="60"/>
        <v>1.7399999999999999E-2</v>
      </c>
      <c r="BB129" s="78">
        <f t="shared" si="61"/>
        <v>1.7399999999999999E-2</v>
      </c>
      <c r="BC129" s="78">
        <f t="shared" si="62"/>
        <v>1.7399999999999999E-2</v>
      </c>
      <c r="BD129" s="78">
        <f t="shared" si="63"/>
        <v>1.7399999999999999E-2</v>
      </c>
      <c r="BE129" s="78">
        <f t="shared" si="64"/>
        <v>1.7399999999999999E-2</v>
      </c>
      <c r="BF129" s="78">
        <f t="shared" si="65"/>
        <v>1.7399999999999999E-2</v>
      </c>
      <c r="BG129" s="78">
        <f t="shared" si="66"/>
        <v>1.7399999999999999E-2</v>
      </c>
      <c r="BH129" s="78">
        <f t="shared" si="67"/>
        <v>1.7399999999999999E-2</v>
      </c>
      <c r="BI129" s="78">
        <f t="shared" si="68"/>
        <v>1.7399999999999999E-2</v>
      </c>
      <c r="BJ129" s="78">
        <f t="shared" si="69"/>
        <v>1.7399999999999999E-2</v>
      </c>
      <c r="BK129" s="78">
        <f t="shared" si="70"/>
        <v>1.7399999999999999E-2</v>
      </c>
      <c r="BL129" s="78">
        <f t="shared" si="71"/>
        <v>1.7399999999999999E-2</v>
      </c>
      <c r="BM129" s="78">
        <f t="shared" si="72"/>
        <v>1.7399999999999999E-2</v>
      </c>
      <c r="BN129" s="78">
        <f t="shared" si="73"/>
        <v>1.7399999999999999E-2</v>
      </c>
      <c r="BO129" s="78">
        <f t="shared" si="74"/>
        <v>1.7399999999999999E-2</v>
      </c>
      <c r="BP129" s="78">
        <f t="shared" si="75"/>
        <v>1.7399999999999999E-2</v>
      </c>
      <c r="BQ129" s="78">
        <f t="shared" si="76"/>
        <v>1.7399999999999999E-2</v>
      </c>
      <c r="BR129" s="78">
        <f t="shared" si="77"/>
        <v>1.7399999999999999E-2</v>
      </c>
      <c r="BS129" s="77"/>
      <c r="BT129" s="77"/>
    </row>
    <row r="130" spans="1:72" ht="14.1" customHeight="1" x14ac:dyDescent="0.2">
      <c r="A130" s="55" t="str">
        <f t="shared" si="48"/>
        <v>DS-5 (Lighting Service)_Distribution Delivery Charges  (Customer Owned Fixtures) Rate Zone II</v>
      </c>
      <c r="B130" s="85" t="s">
        <v>647</v>
      </c>
      <c r="C130" s="83" t="s">
        <v>741</v>
      </c>
      <c r="D130" s="150"/>
      <c r="E130" s="81"/>
      <c r="F130" s="73" t="s">
        <v>649</v>
      </c>
      <c r="G130" s="73">
        <v>0</v>
      </c>
      <c r="H130" s="73">
        <v>6</v>
      </c>
      <c r="I130" s="74" t="s">
        <v>641</v>
      </c>
      <c r="J130" s="75" t="s">
        <v>634</v>
      </c>
      <c r="K130" s="74"/>
      <c r="L130" s="82">
        <v>1.511E-2</v>
      </c>
      <c r="M130" s="138">
        <v>1.7059999999999999E-2</v>
      </c>
      <c r="N130" s="138">
        <v>1.7059999999999999E-2</v>
      </c>
      <c r="O130" s="138">
        <v>1.7059999999999999E-2</v>
      </c>
      <c r="P130" s="138">
        <v>1.7059999999999999E-2</v>
      </c>
      <c r="Q130" s="138">
        <v>1.7059999999999999E-2</v>
      </c>
      <c r="R130" s="138">
        <v>1.7059999999999999E-2</v>
      </c>
      <c r="S130" s="138">
        <v>1.7399999999999999E-2</v>
      </c>
      <c r="T130" s="138">
        <v>1.7399999999999999E-2</v>
      </c>
      <c r="U130" s="138">
        <v>1.7399999999999999E-2</v>
      </c>
      <c r="V130" s="138">
        <v>1.7399999999999999E-2</v>
      </c>
      <c r="W130" s="138">
        <v>1.7399999999999999E-2</v>
      </c>
      <c r="X130" s="138">
        <v>1.7399999999999999E-2</v>
      </c>
      <c r="Y130" s="138">
        <f t="shared" si="78"/>
        <v>1.7399999999999999E-2</v>
      </c>
      <c r="Z130" s="138">
        <f t="shared" si="79"/>
        <v>1.7399999999999999E-2</v>
      </c>
      <c r="AA130" s="138">
        <f t="shared" si="80"/>
        <v>1.7399999999999999E-2</v>
      </c>
      <c r="AB130" s="138">
        <f t="shared" si="81"/>
        <v>1.7399999999999999E-2</v>
      </c>
      <c r="AC130" s="138">
        <f t="shared" si="82"/>
        <v>1.7399999999999999E-2</v>
      </c>
      <c r="AD130" s="138">
        <f t="shared" si="83"/>
        <v>1.7399999999999999E-2</v>
      </c>
      <c r="AE130" s="138">
        <f t="shared" si="84"/>
        <v>1.7399999999999999E-2</v>
      </c>
      <c r="AF130" s="138">
        <f t="shared" si="85"/>
        <v>1.7399999999999999E-2</v>
      </c>
      <c r="AG130" s="138">
        <f t="shared" si="86"/>
        <v>1.7399999999999999E-2</v>
      </c>
      <c r="AH130" s="138">
        <f t="shared" si="87"/>
        <v>1.7399999999999999E-2</v>
      </c>
      <c r="AI130" s="138">
        <f t="shared" si="88"/>
        <v>1.7399999999999999E-2</v>
      </c>
      <c r="AJ130" s="138">
        <f t="shared" si="89"/>
        <v>1.7399999999999999E-2</v>
      </c>
      <c r="AK130" s="138">
        <f t="shared" si="90"/>
        <v>1.7399999999999999E-2</v>
      </c>
      <c r="AL130" s="138">
        <f t="shared" si="91"/>
        <v>1.7399999999999999E-2</v>
      </c>
      <c r="AM130" s="138">
        <f t="shared" si="92"/>
        <v>1.7329166666666656E-2</v>
      </c>
      <c r="AO130" s="77" t="str">
        <f t="shared" si="49"/>
        <v>DS-5 (Lighting Service)</v>
      </c>
      <c r="AP130" s="78" t="s">
        <v>650</v>
      </c>
      <c r="AQ130" s="77" t="str">
        <f t="shared" si="50"/>
        <v>Distribution Delivery Charges  (Customer Owned Fixtures) Rate Zone II</v>
      </c>
      <c r="AR130" s="78" t="str">
        <f t="shared" si="51"/>
        <v>Billing Cycle</v>
      </c>
      <c r="AS130" s="79">
        <f t="shared" si="52"/>
        <v>6</v>
      </c>
      <c r="AT130" s="78">
        <f t="shared" si="53"/>
        <v>0</v>
      </c>
      <c r="AU130" s="78">
        <f t="shared" si="54"/>
        <v>1.7059999999999999E-2</v>
      </c>
      <c r="AV130" s="78">
        <f t="shared" si="55"/>
        <v>1.7059999999999999E-2</v>
      </c>
      <c r="AW130" s="78">
        <f t="shared" si="56"/>
        <v>1.7059999999999999E-2</v>
      </c>
      <c r="AX130" s="78">
        <f t="shared" si="57"/>
        <v>1.7059999999999999E-2</v>
      </c>
      <c r="AY130" s="78">
        <f t="shared" si="58"/>
        <v>1.7059999999999999E-2</v>
      </c>
      <c r="AZ130" s="78">
        <f t="shared" si="59"/>
        <v>1.7059999999999999E-2</v>
      </c>
      <c r="BA130" s="78">
        <f t="shared" si="60"/>
        <v>1.7399999999999999E-2</v>
      </c>
      <c r="BB130" s="78">
        <f t="shared" si="61"/>
        <v>1.7399999999999999E-2</v>
      </c>
      <c r="BC130" s="78">
        <f t="shared" si="62"/>
        <v>1.7399999999999999E-2</v>
      </c>
      <c r="BD130" s="78">
        <f t="shared" si="63"/>
        <v>1.7399999999999999E-2</v>
      </c>
      <c r="BE130" s="78">
        <f t="shared" si="64"/>
        <v>1.7399999999999999E-2</v>
      </c>
      <c r="BF130" s="78">
        <f t="shared" si="65"/>
        <v>1.7399999999999999E-2</v>
      </c>
      <c r="BG130" s="78">
        <f t="shared" si="66"/>
        <v>1.7399999999999999E-2</v>
      </c>
      <c r="BH130" s="78">
        <f t="shared" si="67"/>
        <v>1.7399999999999999E-2</v>
      </c>
      <c r="BI130" s="78">
        <f t="shared" si="68"/>
        <v>1.7399999999999999E-2</v>
      </c>
      <c r="BJ130" s="78">
        <f t="shared" si="69"/>
        <v>1.7399999999999999E-2</v>
      </c>
      <c r="BK130" s="78">
        <f t="shared" si="70"/>
        <v>1.7399999999999999E-2</v>
      </c>
      <c r="BL130" s="78">
        <f t="shared" si="71"/>
        <v>1.7399999999999999E-2</v>
      </c>
      <c r="BM130" s="78">
        <f t="shared" si="72"/>
        <v>1.7399999999999999E-2</v>
      </c>
      <c r="BN130" s="78">
        <f t="shared" si="73"/>
        <v>1.7399999999999999E-2</v>
      </c>
      <c r="BO130" s="78">
        <f t="shared" si="74"/>
        <v>1.7399999999999999E-2</v>
      </c>
      <c r="BP130" s="78">
        <f t="shared" si="75"/>
        <v>1.7399999999999999E-2</v>
      </c>
      <c r="BQ130" s="78">
        <f t="shared" si="76"/>
        <v>1.7399999999999999E-2</v>
      </c>
      <c r="BR130" s="78">
        <f t="shared" si="77"/>
        <v>1.7399999999999999E-2</v>
      </c>
      <c r="BS130" s="77"/>
      <c r="BT130" s="77"/>
    </row>
    <row r="131" spans="1:72" ht="14.1" customHeight="1" x14ac:dyDescent="0.2">
      <c r="A131" s="55" t="str">
        <f t="shared" si="48"/>
        <v>DS-5 (Lighting Service)_Distribution Delivery Charges  (Customer Owned Fixtures) Rate Zone III</v>
      </c>
      <c r="B131" s="85" t="s">
        <v>647</v>
      </c>
      <c r="C131" s="83" t="s">
        <v>742</v>
      </c>
      <c r="D131" s="150"/>
      <c r="E131" s="81"/>
      <c r="F131" s="73" t="s">
        <v>649</v>
      </c>
      <c r="G131" s="73">
        <v>0</v>
      </c>
      <c r="H131" s="73">
        <v>6</v>
      </c>
      <c r="I131" s="74" t="s">
        <v>641</v>
      </c>
      <c r="J131" s="75" t="s">
        <v>634</v>
      </c>
      <c r="K131" s="74"/>
      <c r="L131" s="82">
        <v>1.511E-2</v>
      </c>
      <c r="M131" s="138">
        <v>1.7059999999999999E-2</v>
      </c>
      <c r="N131" s="138">
        <v>1.7059999999999999E-2</v>
      </c>
      <c r="O131" s="138">
        <v>1.7059999999999999E-2</v>
      </c>
      <c r="P131" s="138">
        <v>1.7059999999999999E-2</v>
      </c>
      <c r="Q131" s="138">
        <v>1.7059999999999999E-2</v>
      </c>
      <c r="R131" s="138">
        <v>1.7059999999999999E-2</v>
      </c>
      <c r="S131" s="138">
        <v>1.7399999999999999E-2</v>
      </c>
      <c r="T131" s="138">
        <v>1.7399999999999999E-2</v>
      </c>
      <c r="U131" s="138">
        <v>1.7399999999999999E-2</v>
      </c>
      <c r="V131" s="138">
        <v>1.7399999999999999E-2</v>
      </c>
      <c r="W131" s="138">
        <v>1.7399999999999999E-2</v>
      </c>
      <c r="X131" s="138">
        <v>1.7399999999999999E-2</v>
      </c>
      <c r="Y131" s="138">
        <f t="shared" si="78"/>
        <v>1.7399999999999999E-2</v>
      </c>
      <c r="Z131" s="138">
        <f t="shared" si="79"/>
        <v>1.7399999999999999E-2</v>
      </c>
      <c r="AA131" s="138">
        <f t="shared" si="80"/>
        <v>1.7399999999999999E-2</v>
      </c>
      <c r="AB131" s="138">
        <f t="shared" si="81"/>
        <v>1.7399999999999999E-2</v>
      </c>
      <c r="AC131" s="138">
        <f t="shared" si="82"/>
        <v>1.7399999999999999E-2</v>
      </c>
      <c r="AD131" s="138">
        <f t="shared" si="83"/>
        <v>1.7399999999999999E-2</v>
      </c>
      <c r="AE131" s="138">
        <f t="shared" si="84"/>
        <v>1.7399999999999999E-2</v>
      </c>
      <c r="AF131" s="138">
        <f t="shared" si="85"/>
        <v>1.7399999999999999E-2</v>
      </c>
      <c r="AG131" s="138">
        <f t="shared" si="86"/>
        <v>1.7399999999999999E-2</v>
      </c>
      <c r="AH131" s="138">
        <f t="shared" si="87"/>
        <v>1.7399999999999999E-2</v>
      </c>
      <c r="AI131" s="138">
        <f t="shared" si="88"/>
        <v>1.7399999999999999E-2</v>
      </c>
      <c r="AJ131" s="138">
        <f t="shared" si="89"/>
        <v>1.7399999999999999E-2</v>
      </c>
      <c r="AK131" s="138">
        <f t="shared" si="90"/>
        <v>1.7399999999999999E-2</v>
      </c>
      <c r="AL131" s="138">
        <f t="shared" si="91"/>
        <v>1.7399999999999999E-2</v>
      </c>
      <c r="AM131" s="138">
        <f t="shared" si="92"/>
        <v>1.7329166666666656E-2</v>
      </c>
      <c r="AO131" s="77" t="str">
        <f t="shared" si="49"/>
        <v>DS-5 (Lighting Service)</v>
      </c>
      <c r="AP131" s="78" t="s">
        <v>650</v>
      </c>
      <c r="AQ131" s="77" t="str">
        <f t="shared" si="50"/>
        <v>Distribution Delivery Charges  (Customer Owned Fixtures) Rate Zone III</v>
      </c>
      <c r="AR131" s="78" t="str">
        <f t="shared" si="51"/>
        <v>Billing Cycle</v>
      </c>
      <c r="AS131" s="79">
        <f t="shared" si="52"/>
        <v>6</v>
      </c>
      <c r="AT131" s="78">
        <f t="shared" si="53"/>
        <v>0</v>
      </c>
      <c r="AU131" s="78">
        <f t="shared" si="54"/>
        <v>1.7059999999999999E-2</v>
      </c>
      <c r="AV131" s="78">
        <f t="shared" si="55"/>
        <v>1.7059999999999999E-2</v>
      </c>
      <c r="AW131" s="78">
        <f t="shared" si="56"/>
        <v>1.7059999999999999E-2</v>
      </c>
      <c r="AX131" s="78">
        <f t="shared" si="57"/>
        <v>1.7059999999999999E-2</v>
      </c>
      <c r="AY131" s="78">
        <f t="shared" si="58"/>
        <v>1.7059999999999999E-2</v>
      </c>
      <c r="AZ131" s="78">
        <f t="shared" si="59"/>
        <v>1.7059999999999999E-2</v>
      </c>
      <c r="BA131" s="78">
        <f t="shared" si="60"/>
        <v>1.7399999999999999E-2</v>
      </c>
      <c r="BB131" s="78">
        <f t="shared" si="61"/>
        <v>1.7399999999999999E-2</v>
      </c>
      <c r="BC131" s="78">
        <f t="shared" si="62"/>
        <v>1.7399999999999999E-2</v>
      </c>
      <c r="BD131" s="78">
        <f t="shared" si="63"/>
        <v>1.7399999999999999E-2</v>
      </c>
      <c r="BE131" s="78">
        <f t="shared" si="64"/>
        <v>1.7399999999999999E-2</v>
      </c>
      <c r="BF131" s="78">
        <f t="shared" si="65"/>
        <v>1.7399999999999999E-2</v>
      </c>
      <c r="BG131" s="78">
        <f t="shared" si="66"/>
        <v>1.7399999999999999E-2</v>
      </c>
      <c r="BH131" s="78">
        <f t="shared" si="67"/>
        <v>1.7399999999999999E-2</v>
      </c>
      <c r="BI131" s="78">
        <f t="shared" si="68"/>
        <v>1.7399999999999999E-2</v>
      </c>
      <c r="BJ131" s="78">
        <f t="shared" si="69"/>
        <v>1.7399999999999999E-2</v>
      </c>
      <c r="BK131" s="78">
        <f t="shared" si="70"/>
        <v>1.7399999999999999E-2</v>
      </c>
      <c r="BL131" s="78">
        <f t="shared" si="71"/>
        <v>1.7399999999999999E-2</v>
      </c>
      <c r="BM131" s="78">
        <f t="shared" si="72"/>
        <v>1.7399999999999999E-2</v>
      </c>
      <c r="BN131" s="78">
        <f t="shared" si="73"/>
        <v>1.7399999999999999E-2</v>
      </c>
      <c r="BO131" s="78">
        <f t="shared" si="74"/>
        <v>1.7399999999999999E-2</v>
      </c>
      <c r="BP131" s="78">
        <f t="shared" si="75"/>
        <v>1.7399999999999999E-2</v>
      </c>
      <c r="BQ131" s="78">
        <f t="shared" si="76"/>
        <v>1.7399999999999999E-2</v>
      </c>
      <c r="BR131" s="78">
        <f t="shared" si="77"/>
        <v>1.7399999999999999E-2</v>
      </c>
      <c r="BS131" s="77"/>
      <c r="BT131" s="77"/>
    </row>
    <row r="132" spans="1:72" ht="14.1" customHeight="1" x14ac:dyDescent="0.2">
      <c r="A132" s="55" t="str">
        <f t="shared" si="48"/>
        <v>DS-6 (DS-3) Temp. Sensitive DS_Distribution Delivery Charges</v>
      </c>
      <c r="B132" s="80" t="s">
        <v>643</v>
      </c>
      <c r="C132" s="83" t="s">
        <v>743</v>
      </c>
      <c r="D132" s="150"/>
      <c r="E132" s="81"/>
      <c r="F132" s="73" t="s">
        <v>649</v>
      </c>
      <c r="G132" s="73">
        <v>0</v>
      </c>
      <c r="H132" s="73">
        <v>6</v>
      </c>
      <c r="I132" s="74" t="s">
        <v>641</v>
      </c>
      <c r="J132" s="75" t="s">
        <v>634</v>
      </c>
      <c r="K132" s="74"/>
      <c r="L132" s="82">
        <v>10.435</v>
      </c>
      <c r="M132" s="138">
        <v>9.16</v>
      </c>
      <c r="N132" s="138">
        <v>9.16</v>
      </c>
      <c r="O132" s="138">
        <v>9.16</v>
      </c>
      <c r="P132" s="138">
        <v>9.16</v>
      </c>
      <c r="Q132" s="138">
        <v>9.16</v>
      </c>
      <c r="R132" s="138">
        <v>9.16</v>
      </c>
      <c r="S132" s="138">
        <v>9.5229999999999997</v>
      </c>
      <c r="T132" s="138">
        <v>9.5229999999999997</v>
      </c>
      <c r="U132" s="138">
        <v>9.5229999999999997</v>
      </c>
      <c r="V132" s="138">
        <v>9.5229999999999997</v>
      </c>
      <c r="W132" s="138">
        <v>9.5229999999999997</v>
      </c>
      <c r="X132" s="138">
        <v>9.5229999999999997</v>
      </c>
      <c r="Y132" s="138">
        <f t="shared" si="78"/>
        <v>9.5229999999999997</v>
      </c>
      <c r="Z132" s="138">
        <f t="shared" si="79"/>
        <v>9.5229999999999997</v>
      </c>
      <c r="AA132" s="138">
        <f t="shared" si="80"/>
        <v>9.5229999999999997</v>
      </c>
      <c r="AB132" s="138">
        <f t="shared" si="81"/>
        <v>9.5229999999999997</v>
      </c>
      <c r="AC132" s="138">
        <f t="shared" si="82"/>
        <v>9.5229999999999997</v>
      </c>
      <c r="AD132" s="138">
        <f t="shared" si="83"/>
        <v>9.5229999999999997</v>
      </c>
      <c r="AE132" s="138">
        <f t="shared" si="84"/>
        <v>9.5229999999999997</v>
      </c>
      <c r="AF132" s="138">
        <f t="shared" si="85"/>
        <v>9.5229999999999997</v>
      </c>
      <c r="AG132" s="138">
        <f t="shared" si="86"/>
        <v>9.5229999999999997</v>
      </c>
      <c r="AH132" s="138">
        <f t="shared" si="87"/>
        <v>9.5229999999999997</v>
      </c>
      <c r="AI132" s="138">
        <f t="shared" si="88"/>
        <v>9.5229999999999997</v>
      </c>
      <c r="AJ132" s="138">
        <f t="shared" si="89"/>
        <v>9.5229999999999997</v>
      </c>
      <c r="AK132" s="138">
        <f t="shared" si="90"/>
        <v>9.5229999999999997</v>
      </c>
      <c r="AL132" s="138">
        <f t="shared" si="91"/>
        <v>9.5229999999999979</v>
      </c>
      <c r="AM132" s="138">
        <f t="shared" si="92"/>
        <v>9.4473749999999974</v>
      </c>
      <c r="AO132" s="77" t="str">
        <f t="shared" si="49"/>
        <v>DS-6 (DS-3) Temp. Sensitive DS</v>
      </c>
      <c r="AP132" s="78" t="s">
        <v>644</v>
      </c>
      <c r="AQ132" s="77" t="str">
        <f t="shared" si="50"/>
        <v>Distribution Delivery Charges</v>
      </c>
      <c r="AR132" s="78" t="str">
        <f t="shared" si="51"/>
        <v>Billing Cycle</v>
      </c>
      <c r="AS132" s="79">
        <f t="shared" si="52"/>
        <v>6</v>
      </c>
      <c r="AT132" s="78">
        <f t="shared" si="53"/>
        <v>10</v>
      </c>
      <c r="AU132" s="78">
        <f t="shared" si="54"/>
        <v>9.16</v>
      </c>
      <c r="AV132" s="78">
        <f t="shared" si="55"/>
        <v>9.16</v>
      </c>
      <c r="AW132" s="78">
        <f t="shared" si="56"/>
        <v>9.16</v>
      </c>
      <c r="AX132" s="78">
        <f t="shared" si="57"/>
        <v>9.16</v>
      </c>
      <c r="AY132" s="78">
        <f t="shared" si="58"/>
        <v>9.16</v>
      </c>
      <c r="AZ132" s="78">
        <f t="shared" si="59"/>
        <v>9.16</v>
      </c>
      <c r="BA132" s="78">
        <f t="shared" si="60"/>
        <v>9.5229999999999997</v>
      </c>
      <c r="BB132" s="78">
        <f t="shared" si="61"/>
        <v>9.5229999999999997</v>
      </c>
      <c r="BC132" s="78">
        <f t="shared" si="62"/>
        <v>9.5229999999999997</v>
      </c>
      <c r="BD132" s="78">
        <f t="shared" si="63"/>
        <v>9.5229999999999997</v>
      </c>
      <c r="BE132" s="78">
        <f t="shared" si="64"/>
        <v>9.5229999999999997</v>
      </c>
      <c r="BF132" s="78">
        <f t="shared" si="65"/>
        <v>9.5229999999999997</v>
      </c>
      <c r="BG132" s="78">
        <f t="shared" si="66"/>
        <v>9.5229999999999997</v>
      </c>
      <c r="BH132" s="78">
        <f t="shared" si="67"/>
        <v>9.5229999999999997</v>
      </c>
      <c r="BI132" s="78">
        <f t="shared" si="68"/>
        <v>9.5229999999999997</v>
      </c>
      <c r="BJ132" s="78">
        <f t="shared" si="69"/>
        <v>9.5229999999999997</v>
      </c>
      <c r="BK132" s="78">
        <f t="shared" si="70"/>
        <v>9.5229999999999997</v>
      </c>
      <c r="BL132" s="78">
        <f t="shared" si="71"/>
        <v>9.5229999999999997</v>
      </c>
      <c r="BM132" s="78">
        <f t="shared" si="72"/>
        <v>9.5229999999999997</v>
      </c>
      <c r="BN132" s="78">
        <f t="shared" si="73"/>
        <v>9.5229999999999997</v>
      </c>
      <c r="BO132" s="78">
        <f t="shared" si="74"/>
        <v>9.5229999999999997</v>
      </c>
      <c r="BP132" s="78">
        <f t="shared" si="75"/>
        <v>9.5229999999999997</v>
      </c>
      <c r="BQ132" s="78">
        <f t="shared" si="76"/>
        <v>9.5229999999999997</v>
      </c>
      <c r="BR132" s="78">
        <f t="shared" si="77"/>
        <v>9.5229999999999997</v>
      </c>
      <c r="BS132" s="77"/>
      <c r="BT132" s="77"/>
    </row>
    <row r="133" spans="1:72" ht="14.1" customHeight="1" x14ac:dyDescent="0.2">
      <c r="A133" s="55" t="str">
        <f t="shared" si="48"/>
        <v>DS-6 (DS-4) Temp. Sensitive DS_Distribution Delivery Charges</v>
      </c>
      <c r="B133" s="80" t="s">
        <v>645</v>
      </c>
      <c r="C133" s="83" t="s">
        <v>743</v>
      </c>
      <c r="D133" s="150"/>
      <c r="E133" s="81"/>
      <c r="F133" s="73" t="s">
        <v>649</v>
      </c>
      <c r="G133" s="73">
        <v>0</v>
      </c>
      <c r="H133" s="73">
        <v>6</v>
      </c>
      <c r="I133" s="74" t="s">
        <v>641</v>
      </c>
      <c r="J133" s="75" t="s">
        <v>634</v>
      </c>
      <c r="K133" s="74"/>
      <c r="L133" s="82">
        <v>10.435</v>
      </c>
      <c r="M133" s="138">
        <v>9.16</v>
      </c>
      <c r="N133" s="138">
        <v>9.16</v>
      </c>
      <c r="O133" s="138">
        <v>9.16</v>
      </c>
      <c r="P133" s="138">
        <v>9.16</v>
      </c>
      <c r="Q133" s="138">
        <v>9.16</v>
      </c>
      <c r="R133" s="138">
        <v>9.16</v>
      </c>
      <c r="S133" s="138">
        <v>9.5229999999999997</v>
      </c>
      <c r="T133" s="138">
        <v>9.5229999999999997</v>
      </c>
      <c r="U133" s="138">
        <v>9.5229999999999997</v>
      </c>
      <c r="V133" s="138">
        <v>9.5229999999999997</v>
      </c>
      <c r="W133" s="138">
        <v>9.5229999999999997</v>
      </c>
      <c r="X133" s="138">
        <v>9.5229999999999997</v>
      </c>
      <c r="Y133" s="138">
        <f t="shared" si="78"/>
        <v>9.5229999999999997</v>
      </c>
      <c r="Z133" s="138">
        <f t="shared" si="79"/>
        <v>9.5229999999999997</v>
      </c>
      <c r="AA133" s="138">
        <f t="shared" si="80"/>
        <v>9.5229999999999997</v>
      </c>
      <c r="AB133" s="138">
        <f t="shared" si="81"/>
        <v>9.5229999999999997</v>
      </c>
      <c r="AC133" s="138">
        <f t="shared" si="82"/>
        <v>9.5229999999999997</v>
      </c>
      <c r="AD133" s="138">
        <f t="shared" si="83"/>
        <v>9.5229999999999997</v>
      </c>
      <c r="AE133" s="138">
        <f t="shared" si="84"/>
        <v>9.5229999999999997</v>
      </c>
      <c r="AF133" s="138">
        <f t="shared" si="85"/>
        <v>9.5229999999999997</v>
      </c>
      <c r="AG133" s="138">
        <f t="shared" si="86"/>
        <v>9.5229999999999997</v>
      </c>
      <c r="AH133" s="138">
        <f t="shared" si="87"/>
        <v>9.5229999999999997</v>
      </c>
      <c r="AI133" s="138">
        <f t="shared" si="88"/>
        <v>9.5229999999999997</v>
      </c>
      <c r="AJ133" s="138">
        <f t="shared" si="89"/>
        <v>9.5229999999999997</v>
      </c>
      <c r="AK133" s="138">
        <f t="shared" si="90"/>
        <v>9.5229999999999997</v>
      </c>
      <c r="AL133" s="138">
        <f t="shared" si="91"/>
        <v>9.5229999999999979</v>
      </c>
      <c r="AM133" s="138">
        <f t="shared" si="92"/>
        <v>9.4473749999999974</v>
      </c>
      <c r="AO133" s="77" t="str">
        <f t="shared" si="49"/>
        <v>DS-6 (DS-4) Temp. Sensitive DS</v>
      </c>
      <c r="AP133" s="78" t="s">
        <v>646</v>
      </c>
      <c r="AQ133" s="77" t="str">
        <f t="shared" si="50"/>
        <v>Distribution Delivery Charges</v>
      </c>
      <c r="AR133" s="78" t="str">
        <f t="shared" si="51"/>
        <v>Billing Cycle</v>
      </c>
      <c r="AS133" s="79">
        <f t="shared" si="52"/>
        <v>6</v>
      </c>
      <c r="AT133" s="78">
        <f t="shared" si="53"/>
        <v>10</v>
      </c>
      <c r="AU133" s="78">
        <f t="shared" si="54"/>
        <v>9.16</v>
      </c>
      <c r="AV133" s="78">
        <f t="shared" si="55"/>
        <v>9.16</v>
      </c>
      <c r="AW133" s="78">
        <f t="shared" si="56"/>
        <v>9.16</v>
      </c>
      <c r="AX133" s="78">
        <f t="shared" si="57"/>
        <v>9.16</v>
      </c>
      <c r="AY133" s="78">
        <f t="shared" si="58"/>
        <v>9.16</v>
      </c>
      <c r="AZ133" s="78">
        <f t="shared" si="59"/>
        <v>9.16</v>
      </c>
      <c r="BA133" s="78">
        <f t="shared" si="60"/>
        <v>9.5229999999999997</v>
      </c>
      <c r="BB133" s="78">
        <f t="shared" si="61"/>
        <v>9.5229999999999997</v>
      </c>
      <c r="BC133" s="78">
        <f t="shared" si="62"/>
        <v>9.5229999999999997</v>
      </c>
      <c r="BD133" s="78">
        <f t="shared" si="63"/>
        <v>9.5229999999999997</v>
      </c>
      <c r="BE133" s="78">
        <f t="shared" si="64"/>
        <v>9.5229999999999997</v>
      </c>
      <c r="BF133" s="78">
        <f t="shared" si="65"/>
        <v>9.5229999999999997</v>
      </c>
      <c r="BG133" s="78">
        <f t="shared" si="66"/>
        <v>9.5229999999999997</v>
      </c>
      <c r="BH133" s="78">
        <f t="shared" si="67"/>
        <v>9.5229999999999997</v>
      </c>
      <c r="BI133" s="78">
        <f t="shared" si="68"/>
        <v>9.5229999999999997</v>
      </c>
      <c r="BJ133" s="78">
        <f t="shared" si="69"/>
        <v>9.5229999999999997</v>
      </c>
      <c r="BK133" s="78">
        <f t="shared" si="70"/>
        <v>9.5229999999999997</v>
      </c>
      <c r="BL133" s="78">
        <f t="shared" si="71"/>
        <v>9.5229999999999997</v>
      </c>
      <c r="BM133" s="78">
        <f t="shared" si="72"/>
        <v>9.5229999999999997</v>
      </c>
      <c r="BN133" s="78">
        <f t="shared" si="73"/>
        <v>9.5229999999999997</v>
      </c>
      <c r="BO133" s="78">
        <f t="shared" si="74"/>
        <v>9.5229999999999997</v>
      </c>
      <c r="BP133" s="78">
        <f t="shared" si="75"/>
        <v>9.5229999999999997</v>
      </c>
      <c r="BQ133" s="78">
        <f t="shared" si="76"/>
        <v>9.5229999999999997</v>
      </c>
      <c r="BR133" s="78">
        <f t="shared" si="77"/>
        <v>9.5229999999999997</v>
      </c>
      <c r="BS133" s="77"/>
      <c r="BT133" s="77"/>
    </row>
    <row r="134" spans="1:72" ht="14.1" customHeight="1" x14ac:dyDescent="0.2">
      <c r="A134" s="55" t="str">
        <f t="shared" ref="A134:A197" si="93">B134&amp;"_"&amp;C134</f>
        <v>GDS-1 (Residential)_Distribution Delivery Charges (Rider S)</v>
      </c>
      <c r="B134" s="80" t="s">
        <v>95</v>
      </c>
      <c r="C134" s="83" t="s">
        <v>744</v>
      </c>
      <c r="D134" s="150" t="s">
        <v>600</v>
      </c>
      <c r="E134" s="81"/>
      <c r="F134" s="73" t="s">
        <v>649</v>
      </c>
      <c r="G134" s="73">
        <v>0</v>
      </c>
      <c r="H134" s="73">
        <v>6</v>
      </c>
      <c r="I134" s="74" t="s">
        <v>641</v>
      </c>
      <c r="J134" s="75" t="s">
        <v>634</v>
      </c>
      <c r="K134" s="74"/>
      <c r="L134" s="82">
        <v>0.43775999999999998</v>
      </c>
      <c r="M134" s="138">
        <v>0.43775999999999998</v>
      </c>
      <c r="N134" s="138">
        <v>0.43775999999999998</v>
      </c>
      <c r="O134" s="138">
        <v>0.43775999999999998</v>
      </c>
      <c r="P134" s="138">
        <v>0.43775999999999998</v>
      </c>
      <c r="Q134" s="138">
        <v>0.43775999999999998</v>
      </c>
      <c r="R134" s="138">
        <v>0.43775999999999998</v>
      </c>
      <c r="S134" s="138">
        <v>0.43775999999999998</v>
      </c>
      <c r="T134" s="138">
        <v>0.43775999999999998</v>
      </c>
      <c r="U134" s="138">
        <v>0.43775999999999998</v>
      </c>
      <c r="V134" s="138">
        <v>0.43775999999999998</v>
      </c>
      <c r="W134" s="138">
        <v>0.43775999999999998</v>
      </c>
      <c r="X134" s="138">
        <v>0.43775999999999998</v>
      </c>
      <c r="Y134" s="138">
        <f t="shared" si="78"/>
        <v>0.43775999999999998</v>
      </c>
      <c r="Z134" s="138">
        <f t="shared" si="79"/>
        <v>0.43775999999999998</v>
      </c>
      <c r="AA134" s="138">
        <f t="shared" si="80"/>
        <v>0.43775999999999998</v>
      </c>
      <c r="AB134" s="138">
        <f t="shared" si="81"/>
        <v>0.43775999999999998</v>
      </c>
      <c r="AC134" s="138">
        <f t="shared" si="82"/>
        <v>0.43775999999999998</v>
      </c>
      <c r="AD134" s="138">
        <f t="shared" si="83"/>
        <v>0.43775999999999998</v>
      </c>
      <c r="AE134" s="138">
        <f t="shared" si="84"/>
        <v>0.43775999999999998</v>
      </c>
      <c r="AF134" s="138">
        <f t="shared" si="85"/>
        <v>0.43775999999999998</v>
      </c>
      <c r="AG134" s="138">
        <f t="shared" si="86"/>
        <v>0.43775999999999998</v>
      </c>
      <c r="AH134" s="138">
        <f t="shared" si="87"/>
        <v>0.43775999999999998</v>
      </c>
      <c r="AI134" s="138">
        <f t="shared" si="88"/>
        <v>0.43775999999999998</v>
      </c>
      <c r="AJ134" s="138">
        <f t="shared" si="89"/>
        <v>0.43775999999999998</v>
      </c>
      <c r="AK134" s="138">
        <f t="shared" si="90"/>
        <v>0.43775999999999998</v>
      </c>
      <c r="AL134" s="138">
        <f t="shared" si="91"/>
        <v>0.43775999999999998</v>
      </c>
      <c r="AM134" s="138">
        <f t="shared" si="92"/>
        <v>0.43776000000000015</v>
      </c>
      <c r="AO134" s="77" t="str">
        <f t="shared" ref="AO134:AO197" si="94">IF(B134="","",B134)</f>
        <v>GDS-1 (Residential)</v>
      </c>
      <c r="AP134" s="78" t="s">
        <v>668</v>
      </c>
      <c r="AQ134" s="77" t="str">
        <f t="shared" ref="AQ134:AQ197" si="95">IF(B134="","",C134)</f>
        <v>Distribution Delivery Charges (Rider S)</v>
      </c>
      <c r="AR134" s="78" t="str">
        <f t="shared" ref="AR134:AR197" si="96">IF(B134="","",F134)</f>
        <v>Billing Cycle</v>
      </c>
      <c r="AS134" s="79">
        <f t="shared" ref="AS134:AS197" si="97">IF(B134="","",H134)</f>
        <v>6</v>
      </c>
      <c r="AT134" s="78">
        <f t="shared" ref="AT134:AT197" si="98">IF(B134="","",ROUND(L134,$H$6))</f>
        <v>0</v>
      </c>
      <c r="AU134" s="78">
        <f t="shared" ref="AU134:AU197" si="99">IF($B134="","",ROUND(IF(M134="",AT134,M134),$H134))</f>
        <v>0.43775999999999998</v>
      </c>
      <c r="AV134" s="78">
        <f t="shared" ref="AV134:AV197" si="100">IF($B134="","",ROUND(IF(N134="",AU134,N134),$H134))</f>
        <v>0.43775999999999998</v>
      </c>
      <c r="AW134" s="78">
        <f t="shared" ref="AW134:AW197" si="101">IF($B134="","",ROUND(IF(O134="",AV134,O134),$H134))</f>
        <v>0.43775999999999998</v>
      </c>
      <c r="AX134" s="78">
        <f t="shared" ref="AX134:AX197" si="102">IF($B134="","",ROUND(IF(P134="",AW134,P134),$H134))</f>
        <v>0.43775999999999998</v>
      </c>
      <c r="AY134" s="78">
        <f t="shared" ref="AY134:AY197" si="103">IF($B134="","",ROUND(IF(Q134="",AX134,Q134),$H134))</f>
        <v>0.43775999999999998</v>
      </c>
      <c r="AZ134" s="78">
        <f t="shared" ref="AZ134:AZ197" si="104">IF($B134="","",ROUND(IF(R134="",AY134,R134),$H134))</f>
        <v>0.43775999999999998</v>
      </c>
      <c r="BA134" s="78">
        <f t="shared" ref="BA134:BA197" si="105">IF($B134="","",ROUND(IF(S134="",AZ134,S134),$H134))</f>
        <v>0.43775999999999998</v>
      </c>
      <c r="BB134" s="78">
        <f t="shared" ref="BB134:BB197" si="106">IF($B134="","",ROUND(IF(T134="",BA134,T134),$H134))</f>
        <v>0.43775999999999998</v>
      </c>
      <c r="BC134" s="78">
        <f t="shared" ref="BC134:BC197" si="107">IF($B134="","",ROUND(IF(U134="",BB134,U134),$H134))</f>
        <v>0.43775999999999998</v>
      </c>
      <c r="BD134" s="78">
        <f t="shared" ref="BD134:BD197" si="108">IF($B134="","",ROUND(IF(V134="",BC134,V134),$H134))</f>
        <v>0.43775999999999998</v>
      </c>
      <c r="BE134" s="78">
        <f t="shared" ref="BE134:BE197" si="109">IF($B134="","",ROUND(IF(W134="",BD134,W134),$H134))</f>
        <v>0.43775999999999998</v>
      </c>
      <c r="BF134" s="78">
        <f t="shared" ref="BF134:BF197" si="110">IF($B134="","",ROUND(IF(X134="",BE134,X134),$H134))</f>
        <v>0.43775999999999998</v>
      </c>
      <c r="BG134" s="78">
        <f t="shared" ref="BG134:BG197" si="111">IF($B134="","",ROUND(IF(Y134="",BF134,Y134),$H134))</f>
        <v>0.43775999999999998</v>
      </c>
      <c r="BH134" s="78">
        <f t="shared" ref="BH134:BH197" si="112">IF($B134="","",ROUND(IF(Z134="",BG134,Z134),$H134))</f>
        <v>0.43775999999999998</v>
      </c>
      <c r="BI134" s="78">
        <f t="shared" ref="BI134:BI197" si="113">IF($B134="","",ROUND(IF(AA134="",BH134,AA134),$H134))</f>
        <v>0.43775999999999998</v>
      </c>
      <c r="BJ134" s="78">
        <f t="shared" ref="BJ134:BJ197" si="114">IF($B134="","",ROUND(IF(AB134="",BI134,AB134),$H134))</f>
        <v>0.43775999999999998</v>
      </c>
      <c r="BK134" s="78">
        <f t="shared" ref="BK134:BK197" si="115">IF($B134="","",ROUND(IF(AC134="",BJ134,AC134),$H134))</f>
        <v>0.43775999999999998</v>
      </c>
      <c r="BL134" s="78">
        <f t="shared" ref="BL134:BL197" si="116">IF($B134="","",ROUND(IF(AD134="",BK134,AD134),$H134))</f>
        <v>0.43775999999999998</v>
      </c>
      <c r="BM134" s="78">
        <f t="shared" ref="BM134:BM197" si="117">IF($B134="","",ROUND(IF(AE134="",BL134,AE134),$H134))</f>
        <v>0.43775999999999998</v>
      </c>
      <c r="BN134" s="78">
        <f t="shared" ref="BN134:BN197" si="118">IF($B134="","",ROUND(IF(AF134="",BM134,AF134),$H134))</f>
        <v>0.43775999999999998</v>
      </c>
      <c r="BO134" s="78">
        <f t="shared" ref="BO134:BO197" si="119">IF($B134="","",ROUND(IF(AG134="",BN134,AG134),$H134))</f>
        <v>0.43775999999999998</v>
      </c>
      <c r="BP134" s="78">
        <f t="shared" ref="BP134:BP197" si="120">IF($B134="","",ROUND(IF(AH134="",BO134,AH134),$H134))</f>
        <v>0.43775999999999998</v>
      </c>
      <c r="BQ134" s="78">
        <f t="shared" ref="BQ134:BQ197" si="121">IF($B134="","",ROUND(IF(AI134="",BP134,AI134),$H134))</f>
        <v>0.43775999999999998</v>
      </c>
      <c r="BR134" s="78">
        <f t="shared" ref="BR134:BR197" si="122">IF($B134="","",ROUND(IF(AJ134="",BQ134,AJ134),$H134))</f>
        <v>0.43775999999999998</v>
      </c>
      <c r="BS134" s="77"/>
      <c r="BT134" s="77"/>
    </row>
    <row r="135" spans="1:72" ht="15" x14ac:dyDescent="0.2">
      <c r="A135" s="55" t="str">
        <f t="shared" si="93"/>
        <v>GDS-2 (Small General Delivery)_Distribution Delivery Charges (Rider S)</v>
      </c>
      <c r="B135" s="80" t="s">
        <v>669</v>
      </c>
      <c r="C135" s="83" t="s">
        <v>744</v>
      </c>
      <c r="D135" s="150"/>
      <c r="E135" s="81"/>
      <c r="F135" s="73" t="s">
        <v>649</v>
      </c>
      <c r="G135" s="73">
        <v>0</v>
      </c>
      <c r="H135" s="73">
        <v>6</v>
      </c>
      <c r="I135" s="74" t="s">
        <v>641</v>
      </c>
      <c r="J135" s="75" t="s">
        <v>634</v>
      </c>
      <c r="K135" s="74"/>
      <c r="L135" s="82">
        <v>0.39161000000000001</v>
      </c>
      <c r="M135" s="138">
        <v>0.39161000000000001</v>
      </c>
      <c r="N135" s="138">
        <v>0.39161000000000001</v>
      </c>
      <c r="O135" s="138">
        <v>0.39161000000000001</v>
      </c>
      <c r="P135" s="138">
        <v>0.39161000000000001</v>
      </c>
      <c r="Q135" s="138">
        <v>0.39161000000000001</v>
      </c>
      <c r="R135" s="138">
        <v>0.39161000000000001</v>
      </c>
      <c r="S135" s="138">
        <v>0.39161000000000001</v>
      </c>
      <c r="T135" s="138">
        <v>0.39161000000000001</v>
      </c>
      <c r="U135" s="138">
        <v>0.39161000000000001</v>
      </c>
      <c r="V135" s="138">
        <v>0.39161000000000001</v>
      </c>
      <c r="W135" s="138">
        <v>0.39161000000000001</v>
      </c>
      <c r="X135" s="138">
        <v>0.39161000000000001</v>
      </c>
      <c r="Y135" s="138">
        <f t="shared" ref="Y135:Y198" si="123">X135</f>
        <v>0.39161000000000001</v>
      </c>
      <c r="Z135" s="138">
        <f t="shared" ref="Z135:Z198" si="124">Y135</f>
        <v>0.39161000000000001</v>
      </c>
      <c r="AA135" s="138">
        <f t="shared" ref="AA135:AA198" si="125">Z135</f>
        <v>0.39161000000000001</v>
      </c>
      <c r="AB135" s="138">
        <f t="shared" ref="AB135:AB198" si="126">AA135</f>
        <v>0.39161000000000001</v>
      </c>
      <c r="AC135" s="138">
        <f t="shared" ref="AC135:AC198" si="127">AB135</f>
        <v>0.39161000000000001</v>
      </c>
      <c r="AD135" s="138">
        <f t="shared" ref="AD135:AD198" si="128">AC135</f>
        <v>0.39161000000000001</v>
      </c>
      <c r="AE135" s="138">
        <f t="shared" ref="AE135:AE198" si="129">AD135</f>
        <v>0.39161000000000001</v>
      </c>
      <c r="AF135" s="138">
        <f t="shared" ref="AF135:AF198" si="130">AE135</f>
        <v>0.39161000000000001</v>
      </c>
      <c r="AG135" s="138">
        <f t="shared" ref="AG135:AG198" si="131">AF135</f>
        <v>0.39161000000000001</v>
      </c>
      <c r="AH135" s="138">
        <f t="shared" ref="AH135:AH198" si="132">AG135</f>
        <v>0.39161000000000001</v>
      </c>
      <c r="AI135" s="138">
        <f t="shared" ref="AI135:AI198" si="133">AH135</f>
        <v>0.39161000000000001</v>
      </c>
      <c r="AJ135" s="138">
        <f t="shared" ref="AJ135:AJ198" si="134">AI135</f>
        <v>0.39161000000000001</v>
      </c>
      <c r="AK135" s="138">
        <f t="shared" ref="AK135:AK198" si="135">AJ135</f>
        <v>0.39161000000000001</v>
      </c>
      <c r="AL135" s="138">
        <f t="shared" ref="AL135:AL198" si="136">AVERAGE(Z135:AK135)</f>
        <v>0.39161000000000001</v>
      </c>
      <c r="AM135" s="138">
        <f t="shared" ref="AM135:AM198" si="137">AVERAGE(N135:AK135)</f>
        <v>0.39161000000000001</v>
      </c>
      <c r="AO135" s="77" t="str">
        <f t="shared" si="94"/>
        <v>GDS-2 (Small General Delivery)</v>
      </c>
      <c r="AP135" s="78" t="s">
        <v>670</v>
      </c>
      <c r="AQ135" s="77" t="str">
        <f t="shared" si="95"/>
        <v>Distribution Delivery Charges (Rider S)</v>
      </c>
      <c r="AR135" s="78" t="str">
        <f t="shared" si="96"/>
        <v>Billing Cycle</v>
      </c>
      <c r="AS135" s="79">
        <f t="shared" si="97"/>
        <v>6</v>
      </c>
      <c r="AT135" s="78">
        <f t="shared" si="98"/>
        <v>0</v>
      </c>
      <c r="AU135" s="78">
        <f t="shared" si="99"/>
        <v>0.39161000000000001</v>
      </c>
      <c r="AV135" s="78">
        <f t="shared" si="100"/>
        <v>0.39161000000000001</v>
      </c>
      <c r="AW135" s="78">
        <f t="shared" si="101"/>
        <v>0.39161000000000001</v>
      </c>
      <c r="AX135" s="78">
        <f t="shared" si="102"/>
        <v>0.39161000000000001</v>
      </c>
      <c r="AY135" s="78">
        <f t="shared" si="103"/>
        <v>0.39161000000000001</v>
      </c>
      <c r="AZ135" s="78">
        <f t="shared" si="104"/>
        <v>0.39161000000000001</v>
      </c>
      <c r="BA135" s="78">
        <f t="shared" si="105"/>
        <v>0.39161000000000001</v>
      </c>
      <c r="BB135" s="78">
        <f t="shared" si="106"/>
        <v>0.39161000000000001</v>
      </c>
      <c r="BC135" s="78">
        <f t="shared" si="107"/>
        <v>0.39161000000000001</v>
      </c>
      <c r="BD135" s="78">
        <f t="shared" si="108"/>
        <v>0.39161000000000001</v>
      </c>
      <c r="BE135" s="78">
        <f t="shared" si="109"/>
        <v>0.39161000000000001</v>
      </c>
      <c r="BF135" s="78">
        <f t="shared" si="110"/>
        <v>0.39161000000000001</v>
      </c>
      <c r="BG135" s="78">
        <f t="shared" si="111"/>
        <v>0.39161000000000001</v>
      </c>
      <c r="BH135" s="78">
        <f t="shared" si="112"/>
        <v>0.39161000000000001</v>
      </c>
      <c r="BI135" s="78">
        <f t="shared" si="113"/>
        <v>0.39161000000000001</v>
      </c>
      <c r="BJ135" s="78">
        <f t="shared" si="114"/>
        <v>0.39161000000000001</v>
      </c>
      <c r="BK135" s="78">
        <f t="shared" si="115"/>
        <v>0.39161000000000001</v>
      </c>
      <c r="BL135" s="78">
        <f t="shared" si="116"/>
        <v>0.39161000000000001</v>
      </c>
      <c r="BM135" s="78">
        <f t="shared" si="117"/>
        <v>0.39161000000000001</v>
      </c>
      <c r="BN135" s="78">
        <f t="shared" si="118"/>
        <v>0.39161000000000001</v>
      </c>
      <c r="BO135" s="78">
        <f t="shared" si="119"/>
        <v>0.39161000000000001</v>
      </c>
      <c r="BP135" s="78">
        <f t="shared" si="120"/>
        <v>0.39161000000000001</v>
      </c>
      <c r="BQ135" s="78">
        <f t="shared" si="121"/>
        <v>0.39161000000000001</v>
      </c>
      <c r="BR135" s="78">
        <f t="shared" si="122"/>
        <v>0.39161000000000001</v>
      </c>
      <c r="BS135" s="77"/>
      <c r="BT135" s="77"/>
    </row>
    <row r="136" spans="1:72" ht="15" x14ac:dyDescent="0.2">
      <c r="A136" s="55" t="str">
        <f t="shared" si="93"/>
        <v>GDS-3 (Intermediate General Delivery)_Distribution Delivery Charges (Rider S)</v>
      </c>
      <c r="B136" s="80" t="s">
        <v>671</v>
      </c>
      <c r="C136" s="83" t="s">
        <v>744</v>
      </c>
      <c r="D136" s="150"/>
      <c r="E136" s="81"/>
      <c r="F136" s="73" t="s">
        <v>649</v>
      </c>
      <c r="G136" s="73">
        <v>0</v>
      </c>
      <c r="H136" s="73">
        <v>6</v>
      </c>
      <c r="I136" s="74" t="s">
        <v>641</v>
      </c>
      <c r="J136" s="75" t="s">
        <v>634</v>
      </c>
      <c r="K136" s="74"/>
      <c r="L136" s="82">
        <v>0.28959000000000001</v>
      </c>
      <c r="M136" s="138">
        <v>0.28959000000000001</v>
      </c>
      <c r="N136" s="138">
        <v>0.28959000000000001</v>
      </c>
      <c r="O136" s="138">
        <v>0.28959000000000001</v>
      </c>
      <c r="P136" s="138">
        <v>0.28959000000000001</v>
      </c>
      <c r="Q136" s="138">
        <v>0.28959000000000001</v>
      </c>
      <c r="R136" s="138">
        <v>0.28959000000000001</v>
      </c>
      <c r="S136" s="138">
        <v>0.28959000000000001</v>
      </c>
      <c r="T136" s="138">
        <v>0.28959000000000001</v>
      </c>
      <c r="U136" s="138">
        <v>0.28959000000000001</v>
      </c>
      <c r="V136" s="138">
        <v>0.28959000000000001</v>
      </c>
      <c r="W136" s="138">
        <v>0.28959000000000001</v>
      </c>
      <c r="X136" s="138">
        <v>0.28959000000000001</v>
      </c>
      <c r="Y136" s="138">
        <f t="shared" si="123"/>
        <v>0.28959000000000001</v>
      </c>
      <c r="Z136" s="138">
        <f t="shared" si="124"/>
        <v>0.28959000000000001</v>
      </c>
      <c r="AA136" s="138">
        <f t="shared" si="125"/>
        <v>0.28959000000000001</v>
      </c>
      <c r="AB136" s="138">
        <f t="shared" si="126"/>
        <v>0.28959000000000001</v>
      </c>
      <c r="AC136" s="138">
        <f t="shared" si="127"/>
        <v>0.28959000000000001</v>
      </c>
      <c r="AD136" s="138">
        <f t="shared" si="128"/>
        <v>0.28959000000000001</v>
      </c>
      <c r="AE136" s="138">
        <f t="shared" si="129"/>
        <v>0.28959000000000001</v>
      </c>
      <c r="AF136" s="138">
        <f t="shared" si="130"/>
        <v>0.28959000000000001</v>
      </c>
      <c r="AG136" s="138">
        <f t="shared" si="131"/>
        <v>0.28959000000000001</v>
      </c>
      <c r="AH136" s="138">
        <f t="shared" si="132"/>
        <v>0.28959000000000001</v>
      </c>
      <c r="AI136" s="138">
        <f t="shared" si="133"/>
        <v>0.28959000000000001</v>
      </c>
      <c r="AJ136" s="138">
        <f t="shared" si="134"/>
        <v>0.28959000000000001</v>
      </c>
      <c r="AK136" s="138">
        <f t="shared" si="135"/>
        <v>0.28959000000000001</v>
      </c>
      <c r="AL136" s="138">
        <f t="shared" si="136"/>
        <v>0.28959000000000001</v>
      </c>
      <c r="AM136" s="138">
        <f t="shared" si="137"/>
        <v>0.28959000000000018</v>
      </c>
      <c r="AO136" s="77" t="str">
        <f t="shared" si="94"/>
        <v>GDS-3 (Intermediate General Delivery)</v>
      </c>
      <c r="AP136" s="78" t="s">
        <v>672</v>
      </c>
      <c r="AQ136" s="77" t="str">
        <f t="shared" si="95"/>
        <v>Distribution Delivery Charges (Rider S)</v>
      </c>
      <c r="AR136" s="78" t="str">
        <f t="shared" si="96"/>
        <v>Billing Cycle</v>
      </c>
      <c r="AS136" s="79">
        <f t="shared" si="97"/>
        <v>6</v>
      </c>
      <c r="AT136" s="78">
        <f t="shared" si="98"/>
        <v>0</v>
      </c>
      <c r="AU136" s="78">
        <f t="shared" si="99"/>
        <v>0.28959000000000001</v>
      </c>
      <c r="AV136" s="78">
        <f t="shared" si="100"/>
        <v>0.28959000000000001</v>
      </c>
      <c r="AW136" s="78">
        <f t="shared" si="101"/>
        <v>0.28959000000000001</v>
      </c>
      <c r="AX136" s="78">
        <f t="shared" si="102"/>
        <v>0.28959000000000001</v>
      </c>
      <c r="AY136" s="78">
        <f t="shared" si="103"/>
        <v>0.28959000000000001</v>
      </c>
      <c r="AZ136" s="78">
        <f t="shared" si="104"/>
        <v>0.28959000000000001</v>
      </c>
      <c r="BA136" s="78">
        <f t="shared" si="105"/>
        <v>0.28959000000000001</v>
      </c>
      <c r="BB136" s="78">
        <f t="shared" si="106"/>
        <v>0.28959000000000001</v>
      </c>
      <c r="BC136" s="78">
        <f t="shared" si="107"/>
        <v>0.28959000000000001</v>
      </c>
      <c r="BD136" s="78">
        <f t="shared" si="108"/>
        <v>0.28959000000000001</v>
      </c>
      <c r="BE136" s="78">
        <f t="shared" si="109"/>
        <v>0.28959000000000001</v>
      </c>
      <c r="BF136" s="78">
        <f t="shared" si="110"/>
        <v>0.28959000000000001</v>
      </c>
      <c r="BG136" s="78">
        <f t="shared" si="111"/>
        <v>0.28959000000000001</v>
      </c>
      <c r="BH136" s="78">
        <f t="shared" si="112"/>
        <v>0.28959000000000001</v>
      </c>
      <c r="BI136" s="78">
        <f t="shared" si="113"/>
        <v>0.28959000000000001</v>
      </c>
      <c r="BJ136" s="78">
        <f t="shared" si="114"/>
        <v>0.28959000000000001</v>
      </c>
      <c r="BK136" s="78">
        <f t="shared" si="115"/>
        <v>0.28959000000000001</v>
      </c>
      <c r="BL136" s="78">
        <f t="shared" si="116"/>
        <v>0.28959000000000001</v>
      </c>
      <c r="BM136" s="78">
        <f t="shared" si="117"/>
        <v>0.28959000000000001</v>
      </c>
      <c r="BN136" s="78">
        <f t="shared" si="118"/>
        <v>0.28959000000000001</v>
      </c>
      <c r="BO136" s="78">
        <f t="shared" si="119"/>
        <v>0.28959000000000001</v>
      </c>
      <c r="BP136" s="78">
        <f t="shared" si="120"/>
        <v>0.28959000000000001</v>
      </c>
      <c r="BQ136" s="78">
        <f t="shared" si="121"/>
        <v>0.28959000000000001</v>
      </c>
      <c r="BR136" s="78">
        <f t="shared" si="122"/>
        <v>0.28959000000000001</v>
      </c>
      <c r="BS136" s="77"/>
      <c r="BT136" s="77"/>
    </row>
    <row r="137" spans="1:72" ht="14.1" customHeight="1" x14ac:dyDescent="0.2">
      <c r="A137" s="55" t="str">
        <f t="shared" si="93"/>
        <v>GDS-5 (Seasonal)_Distribution Delivery Charges (Rider S)</v>
      </c>
      <c r="B137" s="80" t="s">
        <v>675</v>
      </c>
      <c r="C137" s="83" t="s">
        <v>744</v>
      </c>
      <c r="D137" s="150"/>
      <c r="E137" s="81"/>
      <c r="F137" s="73" t="s">
        <v>649</v>
      </c>
      <c r="G137" s="73">
        <v>0</v>
      </c>
      <c r="H137" s="73">
        <v>6</v>
      </c>
      <c r="I137" s="74" t="s">
        <v>641</v>
      </c>
      <c r="J137" s="75" t="s">
        <v>634</v>
      </c>
      <c r="K137" s="74"/>
      <c r="L137" s="82">
        <v>0.26562000000000002</v>
      </c>
      <c r="M137" s="138">
        <v>0.26562000000000002</v>
      </c>
      <c r="N137" s="138">
        <v>0.26562000000000002</v>
      </c>
      <c r="O137" s="138">
        <v>0.26562000000000002</v>
      </c>
      <c r="P137" s="138">
        <v>0.26562000000000002</v>
      </c>
      <c r="Q137" s="138">
        <v>0.26562000000000002</v>
      </c>
      <c r="R137" s="138">
        <v>0.26562000000000002</v>
      </c>
      <c r="S137" s="138">
        <v>0.26562000000000002</v>
      </c>
      <c r="T137" s="138">
        <v>0.26562000000000002</v>
      </c>
      <c r="U137" s="138">
        <v>0.26562000000000002</v>
      </c>
      <c r="V137" s="138">
        <v>0.26562000000000002</v>
      </c>
      <c r="W137" s="138">
        <v>0.26562000000000002</v>
      </c>
      <c r="X137" s="138">
        <v>0.26562000000000002</v>
      </c>
      <c r="Y137" s="138">
        <f t="shared" si="123"/>
        <v>0.26562000000000002</v>
      </c>
      <c r="Z137" s="138">
        <f t="shared" si="124"/>
        <v>0.26562000000000002</v>
      </c>
      <c r="AA137" s="138">
        <f t="shared" si="125"/>
        <v>0.26562000000000002</v>
      </c>
      <c r="AB137" s="138">
        <f t="shared" si="126"/>
        <v>0.26562000000000002</v>
      </c>
      <c r="AC137" s="138">
        <f t="shared" si="127"/>
        <v>0.26562000000000002</v>
      </c>
      <c r="AD137" s="138">
        <f t="shared" si="128"/>
        <v>0.26562000000000002</v>
      </c>
      <c r="AE137" s="138">
        <f t="shared" si="129"/>
        <v>0.26562000000000002</v>
      </c>
      <c r="AF137" s="138">
        <f t="shared" si="130"/>
        <v>0.26562000000000002</v>
      </c>
      <c r="AG137" s="138">
        <f t="shared" si="131"/>
        <v>0.26562000000000002</v>
      </c>
      <c r="AH137" s="138">
        <f t="shared" si="132"/>
        <v>0.26562000000000002</v>
      </c>
      <c r="AI137" s="138">
        <f t="shared" si="133"/>
        <v>0.26562000000000002</v>
      </c>
      <c r="AJ137" s="138">
        <f t="shared" si="134"/>
        <v>0.26562000000000002</v>
      </c>
      <c r="AK137" s="138">
        <f t="shared" si="135"/>
        <v>0.26562000000000002</v>
      </c>
      <c r="AL137" s="138">
        <f t="shared" si="136"/>
        <v>0.26562000000000008</v>
      </c>
      <c r="AM137" s="138">
        <f t="shared" si="137"/>
        <v>0.26562000000000013</v>
      </c>
      <c r="AO137" s="77" t="str">
        <f t="shared" si="94"/>
        <v>GDS-5 (Seasonal)</v>
      </c>
      <c r="AP137" s="78" t="s">
        <v>676</v>
      </c>
      <c r="AQ137" s="77" t="str">
        <f t="shared" si="95"/>
        <v>Distribution Delivery Charges (Rider S)</v>
      </c>
      <c r="AR137" s="78" t="str">
        <f t="shared" si="96"/>
        <v>Billing Cycle</v>
      </c>
      <c r="AS137" s="79">
        <f t="shared" si="97"/>
        <v>6</v>
      </c>
      <c r="AT137" s="78">
        <f t="shared" si="98"/>
        <v>0</v>
      </c>
      <c r="AU137" s="78">
        <f t="shared" si="99"/>
        <v>0.26562000000000002</v>
      </c>
      <c r="AV137" s="78">
        <f t="shared" si="100"/>
        <v>0.26562000000000002</v>
      </c>
      <c r="AW137" s="78">
        <f t="shared" si="101"/>
        <v>0.26562000000000002</v>
      </c>
      <c r="AX137" s="78">
        <f t="shared" si="102"/>
        <v>0.26562000000000002</v>
      </c>
      <c r="AY137" s="78">
        <f t="shared" si="103"/>
        <v>0.26562000000000002</v>
      </c>
      <c r="AZ137" s="78">
        <f t="shared" si="104"/>
        <v>0.26562000000000002</v>
      </c>
      <c r="BA137" s="78">
        <f t="shared" si="105"/>
        <v>0.26562000000000002</v>
      </c>
      <c r="BB137" s="78">
        <f t="shared" si="106"/>
        <v>0.26562000000000002</v>
      </c>
      <c r="BC137" s="78">
        <f t="shared" si="107"/>
        <v>0.26562000000000002</v>
      </c>
      <c r="BD137" s="78">
        <f t="shared" si="108"/>
        <v>0.26562000000000002</v>
      </c>
      <c r="BE137" s="78">
        <f t="shared" si="109"/>
        <v>0.26562000000000002</v>
      </c>
      <c r="BF137" s="78">
        <f t="shared" si="110"/>
        <v>0.26562000000000002</v>
      </c>
      <c r="BG137" s="78">
        <f t="shared" si="111"/>
        <v>0.26562000000000002</v>
      </c>
      <c r="BH137" s="78">
        <f t="shared" si="112"/>
        <v>0.26562000000000002</v>
      </c>
      <c r="BI137" s="78">
        <f t="shared" si="113"/>
        <v>0.26562000000000002</v>
      </c>
      <c r="BJ137" s="78">
        <f t="shared" si="114"/>
        <v>0.26562000000000002</v>
      </c>
      <c r="BK137" s="78">
        <f t="shared" si="115"/>
        <v>0.26562000000000002</v>
      </c>
      <c r="BL137" s="78">
        <f t="shared" si="116"/>
        <v>0.26562000000000002</v>
      </c>
      <c r="BM137" s="78">
        <f t="shared" si="117"/>
        <v>0.26562000000000002</v>
      </c>
      <c r="BN137" s="78">
        <f t="shared" si="118"/>
        <v>0.26562000000000002</v>
      </c>
      <c r="BO137" s="78">
        <f t="shared" si="119"/>
        <v>0.26562000000000002</v>
      </c>
      <c r="BP137" s="78">
        <f t="shared" si="120"/>
        <v>0.26562000000000002</v>
      </c>
      <c r="BQ137" s="78">
        <f t="shared" si="121"/>
        <v>0.26562000000000002</v>
      </c>
      <c r="BR137" s="78">
        <f t="shared" si="122"/>
        <v>0.26562000000000002</v>
      </c>
      <c r="BS137" s="77"/>
      <c r="BT137" s="77"/>
    </row>
    <row r="138" spans="1:72" ht="14.1" customHeight="1" x14ac:dyDescent="0.2">
      <c r="A138" s="55" t="str">
        <f t="shared" si="93"/>
        <v>GDS-2 (Small General Delivery)_Distribution Delivery Charges (Rider T)</v>
      </c>
      <c r="B138" s="80" t="s">
        <v>669</v>
      </c>
      <c r="C138" s="83" t="s">
        <v>745</v>
      </c>
      <c r="D138" s="150"/>
      <c r="E138" s="81"/>
      <c r="F138" s="73" t="s">
        <v>649</v>
      </c>
      <c r="G138" s="73">
        <v>0</v>
      </c>
      <c r="H138" s="73">
        <v>6</v>
      </c>
      <c r="I138" s="74" t="s">
        <v>641</v>
      </c>
      <c r="J138" s="75" t="s">
        <v>634</v>
      </c>
      <c r="K138" s="74"/>
      <c r="L138" s="82">
        <v>0.28122999999999998</v>
      </c>
      <c r="M138" s="138">
        <v>0.28122999999999998</v>
      </c>
      <c r="N138" s="138">
        <v>0.28122999999999998</v>
      </c>
      <c r="O138" s="138">
        <v>0.28122999999999998</v>
      </c>
      <c r="P138" s="138">
        <v>0.28122999999999998</v>
      </c>
      <c r="Q138" s="138">
        <v>0.28122999999999998</v>
      </c>
      <c r="R138" s="138">
        <v>0.28122999999999998</v>
      </c>
      <c r="S138" s="138">
        <v>0.28122999999999998</v>
      </c>
      <c r="T138" s="138">
        <v>0.28122999999999998</v>
      </c>
      <c r="U138" s="138">
        <v>0.28122999999999998</v>
      </c>
      <c r="V138" s="138">
        <v>0.28122999999999998</v>
      </c>
      <c r="W138" s="138">
        <v>0.28122999999999998</v>
      </c>
      <c r="X138" s="138">
        <v>0.28122999999999998</v>
      </c>
      <c r="Y138" s="138">
        <f t="shared" si="123"/>
        <v>0.28122999999999998</v>
      </c>
      <c r="Z138" s="138">
        <f t="shared" si="124"/>
        <v>0.28122999999999998</v>
      </c>
      <c r="AA138" s="138">
        <f t="shared" si="125"/>
        <v>0.28122999999999998</v>
      </c>
      <c r="AB138" s="138">
        <f t="shared" si="126"/>
        <v>0.28122999999999998</v>
      </c>
      <c r="AC138" s="138">
        <f t="shared" si="127"/>
        <v>0.28122999999999998</v>
      </c>
      <c r="AD138" s="138">
        <f t="shared" si="128"/>
        <v>0.28122999999999998</v>
      </c>
      <c r="AE138" s="138">
        <f t="shared" si="129"/>
        <v>0.28122999999999998</v>
      </c>
      <c r="AF138" s="138">
        <f t="shared" si="130"/>
        <v>0.28122999999999998</v>
      </c>
      <c r="AG138" s="138">
        <f t="shared" si="131"/>
        <v>0.28122999999999998</v>
      </c>
      <c r="AH138" s="138">
        <f t="shared" si="132"/>
        <v>0.28122999999999998</v>
      </c>
      <c r="AI138" s="138">
        <f t="shared" si="133"/>
        <v>0.28122999999999998</v>
      </c>
      <c r="AJ138" s="138">
        <f t="shared" si="134"/>
        <v>0.28122999999999998</v>
      </c>
      <c r="AK138" s="138">
        <f t="shared" si="135"/>
        <v>0.28122999999999998</v>
      </c>
      <c r="AL138" s="138">
        <f t="shared" si="136"/>
        <v>0.28122999999999992</v>
      </c>
      <c r="AM138" s="138">
        <f t="shared" si="137"/>
        <v>0.28122999999999992</v>
      </c>
      <c r="AO138" s="77" t="str">
        <f t="shared" si="94"/>
        <v>GDS-2 (Small General Delivery)</v>
      </c>
      <c r="AP138" s="78" t="s">
        <v>670</v>
      </c>
      <c r="AQ138" s="77" t="str">
        <f t="shared" si="95"/>
        <v>Distribution Delivery Charges (Rider T)</v>
      </c>
      <c r="AR138" s="78" t="str">
        <f t="shared" si="96"/>
        <v>Billing Cycle</v>
      </c>
      <c r="AS138" s="79">
        <f t="shared" si="97"/>
        <v>6</v>
      </c>
      <c r="AT138" s="78">
        <f t="shared" si="98"/>
        <v>0</v>
      </c>
      <c r="AU138" s="78">
        <f t="shared" si="99"/>
        <v>0.28122999999999998</v>
      </c>
      <c r="AV138" s="78">
        <f t="shared" si="100"/>
        <v>0.28122999999999998</v>
      </c>
      <c r="AW138" s="78">
        <f t="shared" si="101"/>
        <v>0.28122999999999998</v>
      </c>
      <c r="AX138" s="78">
        <f t="shared" si="102"/>
        <v>0.28122999999999998</v>
      </c>
      <c r="AY138" s="78">
        <f t="shared" si="103"/>
        <v>0.28122999999999998</v>
      </c>
      <c r="AZ138" s="78">
        <f t="shared" si="104"/>
        <v>0.28122999999999998</v>
      </c>
      <c r="BA138" s="78">
        <f t="shared" si="105"/>
        <v>0.28122999999999998</v>
      </c>
      <c r="BB138" s="78">
        <f t="shared" si="106"/>
        <v>0.28122999999999998</v>
      </c>
      <c r="BC138" s="78">
        <f t="shared" si="107"/>
        <v>0.28122999999999998</v>
      </c>
      <c r="BD138" s="78">
        <f t="shared" si="108"/>
        <v>0.28122999999999998</v>
      </c>
      <c r="BE138" s="78">
        <f t="shared" si="109"/>
        <v>0.28122999999999998</v>
      </c>
      <c r="BF138" s="78">
        <f t="shared" si="110"/>
        <v>0.28122999999999998</v>
      </c>
      <c r="BG138" s="78">
        <f t="shared" si="111"/>
        <v>0.28122999999999998</v>
      </c>
      <c r="BH138" s="78">
        <f t="shared" si="112"/>
        <v>0.28122999999999998</v>
      </c>
      <c r="BI138" s="78">
        <f t="shared" si="113"/>
        <v>0.28122999999999998</v>
      </c>
      <c r="BJ138" s="78">
        <f t="shared" si="114"/>
        <v>0.28122999999999998</v>
      </c>
      <c r="BK138" s="78">
        <f t="shared" si="115"/>
        <v>0.28122999999999998</v>
      </c>
      <c r="BL138" s="78">
        <f t="shared" si="116"/>
        <v>0.28122999999999998</v>
      </c>
      <c r="BM138" s="78">
        <f t="shared" si="117"/>
        <v>0.28122999999999998</v>
      </c>
      <c r="BN138" s="78">
        <f t="shared" si="118"/>
        <v>0.28122999999999998</v>
      </c>
      <c r="BO138" s="78">
        <f t="shared" si="119"/>
        <v>0.28122999999999998</v>
      </c>
      <c r="BP138" s="78">
        <f t="shared" si="120"/>
        <v>0.28122999999999998</v>
      </c>
      <c r="BQ138" s="78">
        <f t="shared" si="121"/>
        <v>0.28122999999999998</v>
      </c>
      <c r="BR138" s="78">
        <f t="shared" si="122"/>
        <v>0.28122999999999998</v>
      </c>
      <c r="BS138" s="77"/>
      <c r="BT138" s="77"/>
    </row>
    <row r="139" spans="1:72" ht="14.1" customHeight="1" x14ac:dyDescent="0.2">
      <c r="A139" s="55" t="str">
        <f t="shared" si="93"/>
        <v>GDS-3 (Intermediate General Delivery)_Distribution Delivery Charges (Rider T)</v>
      </c>
      <c r="B139" s="80" t="s">
        <v>671</v>
      </c>
      <c r="C139" s="83" t="s">
        <v>745</v>
      </c>
      <c r="D139" s="150"/>
      <c r="E139" s="81"/>
      <c r="F139" s="73" t="s">
        <v>649</v>
      </c>
      <c r="G139" s="73">
        <v>0</v>
      </c>
      <c r="H139" s="73">
        <v>6</v>
      </c>
      <c r="I139" s="74" t="s">
        <v>641</v>
      </c>
      <c r="J139" s="75" t="s">
        <v>634</v>
      </c>
      <c r="K139" s="74"/>
      <c r="L139" s="82">
        <v>0.24257000000000001</v>
      </c>
      <c r="M139" s="138">
        <v>0.24257000000000001</v>
      </c>
      <c r="N139" s="138">
        <v>0.24257000000000001</v>
      </c>
      <c r="O139" s="138">
        <v>0.24257000000000001</v>
      </c>
      <c r="P139" s="138">
        <v>0.24257000000000001</v>
      </c>
      <c r="Q139" s="138">
        <v>0.24257000000000001</v>
      </c>
      <c r="R139" s="138">
        <v>0.24257000000000001</v>
      </c>
      <c r="S139" s="138">
        <v>0.24257000000000001</v>
      </c>
      <c r="T139" s="138">
        <v>0.24257000000000001</v>
      </c>
      <c r="U139" s="138">
        <v>0.24257000000000001</v>
      </c>
      <c r="V139" s="138">
        <v>0.24257000000000001</v>
      </c>
      <c r="W139" s="138">
        <v>0.24257000000000001</v>
      </c>
      <c r="X139" s="138">
        <v>0.24257000000000001</v>
      </c>
      <c r="Y139" s="138">
        <f t="shared" si="123"/>
        <v>0.24257000000000001</v>
      </c>
      <c r="Z139" s="138">
        <f t="shared" si="124"/>
        <v>0.24257000000000001</v>
      </c>
      <c r="AA139" s="138">
        <f t="shared" si="125"/>
        <v>0.24257000000000001</v>
      </c>
      <c r="AB139" s="138">
        <f t="shared" si="126"/>
        <v>0.24257000000000001</v>
      </c>
      <c r="AC139" s="138">
        <f t="shared" si="127"/>
        <v>0.24257000000000001</v>
      </c>
      <c r="AD139" s="138">
        <f t="shared" si="128"/>
        <v>0.24257000000000001</v>
      </c>
      <c r="AE139" s="138">
        <f t="shared" si="129"/>
        <v>0.24257000000000001</v>
      </c>
      <c r="AF139" s="138">
        <f t="shared" si="130"/>
        <v>0.24257000000000001</v>
      </c>
      <c r="AG139" s="138">
        <f t="shared" si="131"/>
        <v>0.24257000000000001</v>
      </c>
      <c r="AH139" s="138">
        <f t="shared" si="132"/>
        <v>0.24257000000000001</v>
      </c>
      <c r="AI139" s="138">
        <f t="shared" si="133"/>
        <v>0.24257000000000001</v>
      </c>
      <c r="AJ139" s="138">
        <f t="shared" si="134"/>
        <v>0.24257000000000001</v>
      </c>
      <c r="AK139" s="138">
        <f t="shared" si="135"/>
        <v>0.24257000000000001</v>
      </c>
      <c r="AL139" s="138">
        <f t="shared" si="136"/>
        <v>0.24257000000000004</v>
      </c>
      <c r="AM139" s="138">
        <f t="shared" si="137"/>
        <v>0.24256999999999995</v>
      </c>
      <c r="AO139" s="77" t="str">
        <f t="shared" si="94"/>
        <v>GDS-3 (Intermediate General Delivery)</v>
      </c>
      <c r="AP139" s="78" t="s">
        <v>672</v>
      </c>
      <c r="AQ139" s="77" t="str">
        <f t="shared" si="95"/>
        <v>Distribution Delivery Charges (Rider T)</v>
      </c>
      <c r="AR139" s="78" t="str">
        <f t="shared" si="96"/>
        <v>Billing Cycle</v>
      </c>
      <c r="AS139" s="79">
        <f t="shared" si="97"/>
        <v>6</v>
      </c>
      <c r="AT139" s="78">
        <f t="shared" si="98"/>
        <v>0</v>
      </c>
      <c r="AU139" s="78">
        <f t="shared" si="99"/>
        <v>0.24257000000000001</v>
      </c>
      <c r="AV139" s="78">
        <f t="shared" si="100"/>
        <v>0.24257000000000001</v>
      </c>
      <c r="AW139" s="78">
        <f t="shared" si="101"/>
        <v>0.24257000000000001</v>
      </c>
      <c r="AX139" s="78">
        <f t="shared" si="102"/>
        <v>0.24257000000000001</v>
      </c>
      <c r="AY139" s="78">
        <f t="shared" si="103"/>
        <v>0.24257000000000001</v>
      </c>
      <c r="AZ139" s="78">
        <f t="shared" si="104"/>
        <v>0.24257000000000001</v>
      </c>
      <c r="BA139" s="78">
        <f t="shared" si="105"/>
        <v>0.24257000000000001</v>
      </c>
      <c r="BB139" s="78">
        <f t="shared" si="106"/>
        <v>0.24257000000000001</v>
      </c>
      <c r="BC139" s="78">
        <f t="shared" si="107"/>
        <v>0.24257000000000001</v>
      </c>
      <c r="BD139" s="78">
        <f t="shared" si="108"/>
        <v>0.24257000000000001</v>
      </c>
      <c r="BE139" s="78">
        <f t="shared" si="109"/>
        <v>0.24257000000000001</v>
      </c>
      <c r="BF139" s="78">
        <f t="shared" si="110"/>
        <v>0.24257000000000001</v>
      </c>
      <c r="BG139" s="78">
        <f t="shared" si="111"/>
        <v>0.24257000000000001</v>
      </c>
      <c r="BH139" s="78">
        <f t="shared" si="112"/>
        <v>0.24257000000000001</v>
      </c>
      <c r="BI139" s="78">
        <f t="shared" si="113"/>
        <v>0.24257000000000001</v>
      </c>
      <c r="BJ139" s="78">
        <f t="shared" si="114"/>
        <v>0.24257000000000001</v>
      </c>
      <c r="BK139" s="78">
        <f t="shared" si="115"/>
        <v>0.24257000000000001</v>
      </c>
      <c r="BL139" s="78">
        <f t="shared" si="116"/>
        <v>0.24257000000000001</v>
      </c>
      <c r="BM139" s="78">
        <f t="shared" si="117"/>
        <v>0.24257000000000001</v>
      </c>
      <c r="BN139" s="78">
        <f t="shared" si="118"/>
        <v>0.24257000000000001</v>
      </c>
      <c r="BO139" s="78">
        <f t="shared" si="119"/>
        <v>0.24257000000000001</v>
      </c>
      <c r="BP139" s="78">
        <f t="shared" si="120"/>
        <v>0.24257000000000001</v>
      </c>
      <c r="BQ139" s="78">
        <f t="shared" si="121"/>
        <v>0.24257000000000001</v>
      </c>
      <c r="BR139" s="78">
        <f t="shared" si="122"/>
        <v>0.24257000000000001</v>
      </c>
      <c r="BS139" s="77"/>
      <c r="BT139" s="77"/>
    </row>
    <row r="140" spans="1:72" ht="14.1" customHeight="1" x14ac:dyDescent="0.2">
      <c r="A140" s="55" t="str">
        <f t="shared" si="93"/>
        <v>GDS-5 (Seasonal)_Distribution Delivery Charges (Rider T)</v>
      </c>
      <c r="B140" s="80" t="s">
        <v>675</v>
      </c>
      <c r="C140" s="83" t="s">
        <v>745</v>
      </c>
      <c r="D140" s="150"/>
      <c r="E140" s="81"/>
      <c r="F140" s="73" t="s">
        <v>649</v>
      </c>
      <c r="G140" s="73">
        <v>0</v>
      </c>
      <c r="H140" s="73">
        <v>6</v>
      </c>
      <c r="I140" s="74" t="s">
        <v>641</v>
      </c>
      <c r="J140" s="75" t="s">
        <v>634</v>
      </c>
      <c r="K140" s="74"/>
      <c r="L140" s="82">
        <v>0.10911</v>
      </c>
      <c r="M140" s="138">
        <v>0.10911</v>
      </c>
      <c r="N140" s="138">
        <v>0.10911</v>
      </c>
      <c r="O140" s="138">
        <v>0.10911</v>
      </c>
      <c r="P140" s="138">
        <v>0.10911</v>
      </c>
      <c r="Q140" s="138">
        <v>0.10911</v>
      </c>
      <c r="R140" s="138">
        <v>0.10911</v>
      </c>
      <c r="S140" s="138">
        <v>0.10911</v>
      </c>
      <c r="T140" s="138">
        <v>0.10911</v>
      </c>
      <c r="U140" s="138">
        <v>0.10911</v>
      </c>
      <c r="V140" s="138">
        <v>0.10911</v>
      </c>
      <c r="W140" s="138">
        <v>0.10911</v>
      </c>
      <c r="X140" s="138">
        <v>0.10911</v>
      </c>
      <c r="Y140" s="138">
        <f t="shared" si="123"/>
        <v>0.10911</v>
      </c>
      <c r="Z140" s="138">
        <f t="shared" si="124"/>
        <v>0.10911</v>
      </c>
      <c r="AA140" s="138">
        <f t="shared" si="125"/>
        <v>0.10911</v>
      </c>
      <c r="AB140" s="138">
        <f t="shared" si="126"/>
        <v>0.10911</v>
      </c>
      <c r="AC140" s="138">
        <f t="shared" si="127"/>
        <v>0.10911</v>
      </c>
      <c r="AD140" s="138">
        <f t="shared" si="128"/>
        <v>0.10911</v>
      </c>
      <c r="AE140" s="138">
        <f t="shared" si="129"/>
        <v>0.10911</v>
      </c>
      <c r="AF140" s="138">
        <f t="shared" si="130"/>
        <v>0.10911</v>
      </c>
      <c r="AG140" s="138">
        <f t="shared" si="131"/>
        <v>0.10911</v>
      </c>
      <c r="AH140" s="138">
        <f t="shared" si="132"/>
        <v>0.10911</v>
      </c>
      <c r="AI140" s="138">
        <f t="shared" si="133"/>
        <v>0.10911</v>
      </c>
      <c r="AJ140" s="138">
        <f t="shared" si="134"/>
        <v>0.10911</v>
      </c>
      <c r="AK140" s="138">
        <f t="shared" si="135"/>
        <v>0.10911</v>
      </c>
      <c r="AL140" s="138">
        <f t="shared" si="136"/>
        <v>0.10911000000000003</v>
      </c>
      <c r="AM140" s="138">
        <f t="shared" si="137"/>
        <v>0.10910999999999998</v>
      </c>
      <c r="AO140" s="77" t="str">
        <f t="shared" si="94"/>
        <v>GDS-5 (Seasonal)</v>
      </c>
      <c r="AP140" s="78" t="s">
        <v>676</v>
      </c>
      <c r="AQ140" s="77" t="str">
        <f t="shared" si="95"/>
        <v>Distribution Delivery Charges (Rider T)</v>
      </c>
      <c r="AR140" s="78" t="str">
        <f t="shared" si="96"/>
        <v>Billing Cycle</v>
      </c>
      <c r="AS140" s="79">
        <f t="shared" si="97"/>
        <v>6</v>
      </c>
      <c r="AT140" s="78">
        <f t="shared" si="98"/>
        <v>0</v>
      </c>
      <c r="AU140" s="78">
        <f t="shared" si="99"/>
        <v>0.10911</v>
      </c>
      <c r="AV140" s="78">
        <f t="shared" si="100"/>
        <v>0.10911</v>
      </c>
      <c r="AW140" s="78">
        <f t="shared" si="101"/>
        <v>0.10911</v>
      </c>
      <c r="AX140" s="78">
        <f t="shared" si="102"/>
        <v>0.10911</v>
      </c>
      <c r="AY140" s="78">
        <f t="shared" si="103"/>
        <v>0.10911</v>
      </c>
      <c r="AZ140" s="78">
        <f t="shared" si="104"/>
        <v>0.10911</v>
      </c>
      <c r="BA140" s="78">
        <f t="shared" si="105"/>
        <v>0.10911</v>
      </c>
      <c r="BB140" s="78">
        <f t="shared" si="106"/>
        <v>0.10911</v>
      </c>
      <c r="BC140" s="78">
        <f t="shared" si="107"/>
        <v>0.10911</v>
      </c>
      <c r="BD140" s="78">
        <f t="shared" si="108"/>
        <v>0.10911</v>
      </c>
      <c r="BE140" s="78">
        <f t="shared" si="109"/>
        <v>0.10911</v>
      </c>
      <c r="BF140" s="78">
        <f t="shared" si="110"/>
        <v>0.10911</v>
      </c>
      <c r="BG140" s="78">
        <f t="shared" si="111"/>
        <v>0.10911</v>
      </c>
      <c r="BH140" s="78">
        <f t="shared" si="112"/>
        <v>0.10911</v>
      </c>
      <c r="BI140" s="78">
        <f t="shared" si="113"/>
        <v>0.10911</v>
      </c>
      <c r="BJ140" s="78">
        <f t="shared" si="114"/>
        <v>0.10911</v>
      </c>
      <c r="BK140" s="78">
        <f t="shared" si="115"/>
        <v>0.10911</v>
      </c>
      <c r="BL140" s="78">
        <f t="shared" si="116"/>
        <v>0.10911</v>
      </c>
      <c r="BM140" s="78">
        <f t="shared" si="117"/>
        <v>0.10911</v>
      </c>
      <c r="BN140" s="78">
        <f t="shared" si="118"/>
        <v>0.10911</v>
      </c>
      <c r="BO140" s="78">
        <f t="shared" si="119"/>
        <v>0.10911</v>
      </c>
      <c r="BP140" s="78">
        <f t="shared" si="120"/>
        <v>0.10911</v>
      </c>
      <c r="BQ140" s="78">
        <f t="shared" si="121"/>
        <v>0.10911</v>
      </c>
      <c r="BR140" s="78">
        <f t="shared" si="122"/>
        <v>0.10911</v>
      </c>
      <c r="BS140" s="77"/>
      <c r="BT140" s="77"/>
    </row>
    <row r="141" spans="1:72" ht="14.1" customHeight="1" x14ac:dyDescent="0.2">
      <c r="A141" s="55" t="str">
        <f t="shared" si="93"/>
        <v>DS-3 (General Delivery Service)_Distribution Delivery Charges 100 kV</v>
      </c>
      <c r="B141" s="80" t="s">
        <v>666</v>
      </c>
      <c r="C141" s="83" t="s">
        <v>746</v>
      </c>
      <c r="D141" s="150"/>
      <c r="E141" s="81"/>
      <c r="F141" s="73" t="s">
        <v>649</v>
      </c>
      <c r="G141" s="73">
        <v>0</v>
      </c>
      <c r="H141" s="73">
        <v>6</v>
      </c>
      <c r="I141" s="74" t="s">
        <v>641</v>
      </c>
      <c r="J141" s="75" t="s">
        <v>634</v>
      </c>
      <c r="K141" s="74"/>
      <c r="L141" s="82">
        <v>0.33200000000000002</v>
      </c>
      <c r="M141" s="138">
        <v>0.24</v>
      </c>
      <c r="N141" s="138">
        <v>0.24</v>
      </c>
      <c r="O141" s="138">
        <v>0.24</v>
      </c>
      <c r="P141" s="138">
        <v>0.24</v>
      </c>
      <c r="Q141" s="138">
        <v>0.24</v>
      </c>
      <c r="R141" s="138">
        <v>0.24</v>
      </c>
      <c r="S141" s="138">
        <v>0.245</v>
      </c>
      <c r="T141" s="138">
        <v>0.245</v>
      </c>
      <c r="U141" s="138">
        <v>0.245</v>
      </c>
      <c r="V141" s="138">
        <v>0.245</v>
      </c>
      <c r="W141" s="138">
        <v>0.245</v>
      </c>
      <c r="X141" s="138">
        <v>0.245</v>
      </c>
      <c r="Y141" s="138">
        <f t="shared" si="123"/>
        <v>0.245</v>
      </c>
      <c r="Z141" s="138">
        <f t="shared" si="124"/>
        <v>0.245</v>
      </c>
      <c r="AA141" s="138">
        <f t="shared" si="125"/>
        <v>0.245</v>
      </c>
      <c r="AB141" s="138">
        <f t="shared" si="126"/>
        <v>0.245</v>
      </c>
      <c r="AC141" s="138">
        <f t="shared" si="127"/>
        <v>0.245</v>
      </c>
      <c r="AD141" s="138">
        <f t="shared" si="128"/>
        <v>0.245</v>
      </c>
      <c r="AE141" s="138">
        <f t="shared" si="129"/>
        <v>0.245</v>
      </c>
      <c r="AF141" s="138">
        <f t="shared" si="130"/>
        <v>0.245</v>
      </c>
      <c r="AG141" s="138">
        <f t="shared" si="131"/>
        <v>0.245</v>
      </c>
      <c r="AH141" s="138">
        <f t="shared" si="132"/>
        <v>0.245</v>
      </c>
      <c r="AI141" s="138">
        <f t="shared" si="133"/>
        <v>0.245</v>
      </c>
      <c r="AJ141" s="138">
        <f t="shared" si="134"/>
        <v>0.245</v>
      </c>
      <c r="AK141" s="138">
        <f t="shared" si="135"/>
        <v>0.245</v>
      </c>
      <c r="AL141" s="138">
        <f t="shared" si="136"/>
        <v>0.24500000000000008</v>
      </c>
      <c r="AM141" s="138">
        <f t="shared" si="137"/>
        <v>0.24395833333333339</v>
      </c>
      <c r="AO141" s="77" t="str">
        <f t="shared" si="94"/>
        <v>DS-3 (General Delivery Service)</v>
      </c>
      <c r="AP141" s="78" t="s">
        <v>667</v>
      </c>
      <c r="AQ141" s="77" t="str">
        <f t="shared" si="95"/>
        <v>Distribution Delivery Charges 100 kV</v>
      </c>
      <c r="AR141" s="78" t="str">
        <f t="shared" si="96"/>
        <v>Billing Cycle</v>
      </c>
      <c r="AS141" s="79">
        <f t="shared" si="97"/>
        <v>6</v>
      </c>
      <c r="AT141" s="78">
        <f t="shared" si="98"/>
        <v>0</v>
      </c>
      <c r="AU141" s="78">
        <f t="shared" si="99"/>
        <v>0.24</v>
      </c>
      <c r="AV141" s="78">
        <f t="shared" si="100"/>
        <v>0.24</v>
      </c>
      <c r="AW141" s="78">
        <f t="shared" si="101"/>
        <v>0.24</v>
      </c>
      <c r="AX141" s="78">
        <f t="shared" si="102"/>
        <v>0.24</v>
      </c>
      <c r="AY141" s="78">
        <f t="shared" si="103"/>
        <v>0.24</v>
      </c>
      <c r="AZ141" s="78">
        <f t="shared" si="104"/>
        <v>0.24</v>
      </c>
      <c r="BA141" s="78">
        <f t="shared" si="105"/>
        <v>0.245</v>
      </c>
      <c r="BB141" s="78">
        <f t="shared" si="106"/>
        <v>0.245</v>
      </c>
      <c r="BC141" s="78">
        <f t="shared" si="107"/>
        <v>0.245</v>
      </c>
      <c r="BD141" s="78">
        <f t="shared" si="108"/>
        <v>0.245</v>
      </c>
      <c r="BE141" s="78">
        <f t="shared" si="109"/>
        <v>0.245</v>
      </c>
      <c r="BF141" s="78">
        <f t="shared" si="110"/>
        <v>0.245</v>
      </c>
      <c r="BG141" s="78">
        <f t="shared" si="111"/>
        <v>0.245</v>
      </c>
      <c r="BH141" s="78">
        <f t="shared" si="112"/>
        <v>0.245</v>
      </c>
      <c r="BI141" s="78">
        <f t="shared" si="113"/>
        <v>0.245</v>
      </c>
      <c r="BJ141" s="78">
        <f t="shared" si="114"/>
        <v>0.245</v>
      </c>
      <c r="BK141" s="78">
        <f t="shared" si="115"/>
        <v>0.245</v>
      </c>
      <c r="BL141" s="78">
        <f t="shared" si="116"/>
        <v>0.245</v>
      </c>
      <c r="BM141" s="78">
        <f t="shared" si="117"/>
        <v>0.245</v>
      </c>
      <c r="BN141" s="78">
        <f t="shared" si="118"/>
        <v>0.245</v>
      </c>
      <c r="BO141" s="78">
        <f t="shared" si="119"/>
        <v>0.245</v>
      </c>
      <c r="BP141" s="78">
        <f t="shared" si="120"/>
        <v>0.245</v>
      </c>
      <c r="BQ141" s="78">
        <f t="shared" si="121"/>
        <v>0.245</v>
      </c>
      <c r="BR141" s="78">
        <f t="shared" si="122"/>
        <v>0.245</v>
      </c>
      <c r="BS141" s="77"/>
      <c r="BT141" s="77"/>
    </row>
    <row r="142" spans="1:72" ht="14.1" customHeight="1" x14ac:dyDescent="0.2">
      <c r="A142" s="55" t="str">
        <f t="shared" si="93"/>
        <v>DS-3 (General Delivery Service)_Distribution Delivery Charges High Voltage</v>
      </c>
      <c r="B142" s="80" t="s">
        <v>666</v>
      </c>
      <c r="C142" s="83" t="s">
        <v>747</v>
      </c>
      <c r="D142" s="150"/>
      <c r="E142" s="81"/>
      <c r="F142" s="73" t="s">
        <v>649</v>
      </c>
      <c r="G142" s="73">
        <v>0</v>
      </c>
      <c r="H142" s="73">
        <v>6</v>
      </c>
      <c r="I142" s="74" t="s">
        <v>641</v>
      </c>
      <c r="J142" s="75" t="s">
        <v>634</v>
      </c>
      <c r="K142" s="74"/>
      <c r="L142" s="82">
        <v>2.1259999999999999</v>
      </c>
      <c r="M142" s="138">
        <v>1.7509999999999999</v>
      </c>
      <c r="N142" s="138">
        <v>1.7509999999999999</v>
      </c>
      <c r="O142" s="138">
        <v>1.7509999999999999</v>
      </c>
      <c r="P142" s="138">
        <v>1.7509999999999999</v>
      </c>
      <c r="Q142" s="138">
        <v>1.7509999999999999</v>
      </c>
      <c r="R142" s="138">
        <v>1.7509999999999999</v>
      </c>
      <c r="S142" s="138">
        <v>1.8480000000000001</v>
      </c>
      <c r="T142" s="138">
        <v>1.8480000000000001</v>
      </c>
      <c r="U142" s="138">
        <v>1.8480000000000001</v>
      </c>
      <c r="V142" s="138">
        <v>1.8480000000000001</v>
      </c>
      <c r="W142" s="138">
        <v>1.8480000000000001</v>
      </c>
      <c r="X142" s="138">
        <v>1.8480000000000001</v>
      </c>
      <c r="Y142" s="138">
        <f t="shared" si="123"/>
        <v>1.8480000000000001</v>
      </c>
      <c r="Z142" s="138">
        <f t="shared" si="124"/>
        <v>1.8480000000000001</v>
      </c>
      <c r="AA142" s="138">
        <f t="shared" si="125"/>
        <v>1.8480000000000001</v>
      </c>
      <c r="AB142" s="138">
        <f t="shared" si="126"/>
        <v>1.8480000000000001</v>
      </c>
      <c r="AC142" s="138">
        <f t="shared" si="127"/>
        <v>1.8480000000000001</v>
      </c>
      <c r="AD142" s="138">
        <f t="shared" si="128"/>
        <v>1.8480000000000001</v>
      </c>
      <c r="AE142" s="138">
        <f t="shared" si="129"/>
        <v>1.8480000000000001</v>
      </c>
      <c r="AF142" s="138">
        <f t="shared" si="130"/>
        <v>1.8480000000000001</v>
      </c>
      <c r="AG142" s="138">
        <f t="shared" si="131"/>
        <v>1.8480000000000001</v>
      </c>
      <c r="AH142" s="138">
        <f t="shared" si="132"/>
        <v>1.8480000000000001</v>
      </c>
      <c r="AI142" s="138">
        <f t="shared" si="133"/>
        <v>1.8480000000000001</v>
      </c>
      <c r="AJ142" s="138">
        <f t="shared" si="134"/>
        <v>1.8480000000000001</v>
      </c>
      <c r="AK142" s="138">
        <f t="shared" si="135"/>
        <v>1.8480000000000001</v>
      </c>
      <c r="AL142" s="138">
        <f t="shared" si="136"/>
        <v>1.8479999999999999</v>
      </c>
      <c r="AM142" s="138">
        <f t="shared" si="137"/>
        <v>1.8277916666666663</v>
      </c>
      <c r="AO142" s="77" t="str">
        <f t="shared" si="94"/>
        <v>DS-3 (General Delivery Service)</v>
      </c>
      <c r="AP142" s="78" t="s">
        <v>667</v>
      </c>
      <c r="AQ142" s="77" t="str">
        <f t="shared" si="95"/>
        <v>Distribution Delivery Charges High Voltage</v>
      </c>
      <c r="AR142" s="78" t="str">
        <f t="shared" si="96"/>
        <v>Billing Cycle</v>
      </c>
      <c r="AS142" s="79">
        <f t="shared" si="97"/>
        <v>6</v>
      </c>
      <c r="AT142" s="78">
        <f t="shared" si="98"/>
        <v>2</v>
      </c>
      <c r="AU142" s="78">
        <f t="shared" si="99"/>
        <v>1.7509999999999999</v>
      </c>
      <c r="AV142" s="78">
        <f t="shared" si="100"/>
        <v>1.7509999999999999</v>
      </c>
      <c r="AW142" s="78">
        <f t="shared" si="101"/>
        <v>1.7509999999999999</v>
      </c>
      <c r="AX142" s="78">
        <f t="shared" si="102"/>
        <v>1.7509999999999999</v>
      </c>
      <c r="AY142" s="78">
        <f t="shared" si="103"/>
        <v>1.7509999999999999</v>
      </c>
      <c r="AZ142" s="78">
        <f t="shared" si="104"/>
        <v>1.7509999999999999</v>
      </c>
      <c r="BA142" s="78">
        <f t="shared" si="105"/>
        <v>1.8480000000000001</v>
      </c>
      <c r="BB142" s="78">
        <f t="shared" si="106"/>
        <v>1.8480000000000001</v>
      </c>
      <c r="BC142" s="78">
        <f t="shared" si="107"/>
        <v>1.8480000000000001</v>
      </c>
      <c r="BD142" s="78">
        <f t="shared" si="108"/>
        <v>1.8480000000000001</v>
      </c>
      <c r="BE142" s="78">
        <f t="shared" si="109"/>
        <v>1.8480000000000001</v>
      </c>
      <c r="BF142" s="78">
        <f t="shared" si="110"/>
        <v>1.8480000000000001</v>
      </c>
      <c r="BG142" s="78">
        <f t="shared" si="111"/>
        <v>1.8480000000000001</v>
      </c>
      <c r="BH142" s="78">
        <f t="shared" si="112"/>
        <v>1.8480000000000001</v>
      </c>
      <c r="BI142" s="78">
        <f t="shared" si="113"/>
        <v>1.8480000000000001</v>
      </c>
      <c r="BJ142" s="78">
        <f t="shared" si="114"/>
        <v>1.8480000000000001</v>
      </c>
      <c r="BK142" s="78">
        <f t="shared" si="115"/>
        <v>1.8480000000000001</v>
      </c>
      <c r="BL142" s="78">
        <f t="shared" si="116"/>
        <v>1.8480000000000001</v>
      </c>
      <c r="BM142" s="78">
        <f t="shared" si="117"/>
        <v>1.8480000000000001</v>
      </c>
      <c r="BN142" s="78">
        <f t="shared" si="118"/>
        <v>1.8480000000000001</v>
      </c>
      <c r="BO142" s="78">
        <f t="shared" si="119"/>
        <v>1.8480000000000001</v>
      </c>
      <c r="BP142" s="78">
        <f t="shared" si="120"/>
        <v>1.8480000000000001</v>
      </c>
      <c r="BQ142" s="78">
        <f t="shared" si="121"/>
        <v>1.8480000000000001</v>
      </c>
      <c r="BR142" s="78">
        <f t="shared" si="122"/>
        <v>1.8480000000000001</v>
      </c>
      <c r="BS142" s="77"/>
      <c r="BT142" s="77"/>
    </row>
    <row r="143" spans="1:72" ht="14.1" customHeight="1" x14ac:dyDescent="0.2">
      <c r="A143" s="55" t="str">
        <f t="shared" si="93"/>
        <v>DS-3 (General Delivery Service)_Distribution Delivery Charges Primary</v>
      </c>
      <c r="B143" s="80" t="s">
        <v>666</v>
      </c>
      <c r="C143" s="83" t="s">
        <v>748</v>
      </c>
      <c r="D143" s="150"/>
      <c r="E143" s="81"/>
      <c r="F143" s="73" t="s">
        <v>649</v>
      </c>
      <c r="G143" s="73">
        <v>0</v>
      </c>
      <c r="H143" s="73">
        <v>6</v>
      </c>
      <c r="I143" s="74" t="s">
        <v>641</v>
      </c>
      <c r="J143" s="75" t="s">
        <v>634</v>
      </c>
      <c r="K143" s="74"/>
      <c r="L143" s="82">
        <v>8.35</v>
      </c>
      <c r="M143" s="138">
        <v>7.5880000000000001</v>
      </c>
      <c r="N143" s="138">
        <v>7.5880000000000001</v>
      </c>
      <c r="O143" s="138">
        <v>7.5880000000000001</v>
      </c>
      <c r="P143" s="138">
        <v>7.5880000000000001</v>
      </c>
      <c r="Q143" s="138">
        <v>7.5880000000000001</v>
      </c>
      <c r="R143" s="138">
        <v>7.5880000000000001</v>
      </c>
      <c r="S143" s="138">
        <v>7.8890000000000002</v>
      </c>
      <c r="T143" s="138">
        <v>7.8890000000000002</v>
      </c>
      <c r="U143" s="138">
        <v>7.8890000000000002</v>
      </c>
      <c r="V143" s="138">
        <v>7.8890000000000002</v>
      </c>
      <c r="W143" s="138">
        <v>7.8890000000000002</v>
      </c>
      <c r="X143" s="138">
        <v>7.8890000000000002</v>
      </c>
      <c r="Y143" s="138">
        <f t="shared" si="123"/>
        <v>7.8890000000000002</v>
      </c>
      <c r="Z143" s="138">
        <f t="shared" si="124"/>
        <v>7.8890000000000002</v>
      </c>
      <c r="AA143" s="138">
        <f t="shared" si="125"/>
        <v>7.8890000000000002</v>
      </c>
      <c r="AB143" s="138">
        <f t="shared" si="126"/>
        <v>7.8890000000000002</v>
      </c>
      <c r="AC143" s="138">
        <f t="shared" si="127"/>
        <v>7.8890000000000002</v>
      </c>
      <c r="AD143" s="138">
        <f t="shared" si="128"/>
        <v>7.8890000000000002</v>
      </c>
      <c r="AE143" s="138">
        <f t="shared" si="129"/>
        <v>7.8890000000000002</v>
      </c>
      <c r="AF143" s="138">
        <f t="shared" si="130"/>
        <v>7.8890000000000002</v>
      </c>
      <c r="AG143" s="138">
        <f t="shared" si="131"/>
        <v>7.8890000000000002</v>
      </c>
      <c r="AH143" s="138">
        <f t="shared" si="132"/>
        <v>7.8890000000000002</v>
      </c>
      <c r="AI143" s="138">
        <f t="shared" si="133"/>
        <v>7.8890000000000002</v>
      </c>
      <c r="AJ143" s="138">
        <f t="shared" si="134"/>
        <v>7.8890000000000002</v>
      </c>
      <c r="AK143" s="138">
        <f t="shared" si="135"/>
        <v>7.8890000000000002</v>
      </c>
      <c r="AL143" s="138">
        <f t="shared" si="136"/>
        <v>7.8889999999999993</v>
      </c>
      <c r="AM143" s="138">
        <f t="shared" si="137"/>
        <v>7.8262916666666689</v>
      </c>
      <c r="AO143" s="77" t="str">
        <f t="shared" si="94"/>
        <v>DS-3 (General Delivery Service)</v>
      </c>
      <c r="AP143" s="78" t="s">
        <v>667</v>
      </c>
      <c r="AQ143" s="77" t="str">
        <f t="shared" si="95"/>
        <v>Distribution Delivery Charges Primary</v>
      </c>
      <c r="AR143" s="78" t="str">
        <f t="shared" si="96"/>
        <v>Billing Cycle</v>
      </c>
      <c r="AS143" s="79">
        <f t="shared" si="97"/>
        <v>6</v>
      </c>
      <c r="AT143" s="78">
        <f t="shared" si="98"/>
        <v>8</v>
      </c>
      <c r="AU143" s="78">
        <f t="shared" si="99"/>
        <v>7.5880000000000001</v>
      </c>
      <c r="AV143" s="78">
        <f t="shared" si="100"/>
        <v>7.5880000000000001</v>
      </c>
      <c r="AW143" s="78">
        <f t="shared" si="101"/>
        <v>7.5880000000000001</v>
      </c>
      <c r="AX143" s="78">
        <f t="shared" si="102"/>
        <v>7.5880000000000001</v>
      </c>
      <c r="AY143" s="78">
        <f t="shared" si="103"/>
        <v>7.5880000000000001</v>
      </c>
      <c r="AZ143" s="78">
        <f t="shared" si="104"/>
        <v>7.5880000000000001</v>
      </c>
      <c r="BA143" s="78">
        <f t="shared" si="105"/>
        <v>7.8890000000000002</v>
      </c>
      <c r="BB143" s="78">
        <f t="shared" si="106"/>
        <v>7.8890000000000002</v>
      </c>
      <c r="BC143" s="78">
        <f t="shared" si="107"/>
        <v>7.8890000000000002</v>
      </c>
      <c r="BD143" s="78">
        <f t="shared" si="108"/>
        <v>7.8890000000000002</v>
      </c>
      <c r="BE143" s="78">
        <f t="shared" si="109"/>
        <v>7.8890000000000002</v>
      </c>
      <c r="BF143" s="78">
        <f t="shared" si="110"/>
        <v>7.8890000000000002</v>
      </c>
      <c r="BG143" s="78">
        <f t="shared" si="111"/>
        <v>7.8890000000000002</v>
      </c>
      <c r="BH143" s="78">
        <f t="shared" si="112"/>
        <v>7.8890000000000002</v>
      </c>
      <c r="BI143" s="78">
        <f t="shared" si="113"/>
        <v>7.8890000000000002</v>
      </c>
      <c r="BJ143" s="78">
        <f t="shared" si="114"/>
        <v>7.8890000000000002</v>
      </c>
      <c r="BK143" s="78">
        <f t="shared" si="115"/>
        <v>7.8890000000000002</v>
      </c>
      <c r="BL143" s="78">
        <f t="shared" si="116"/>
        <v>7.8890000000000002</v>
      </c>
      <c r="BM143" s="78">
        <f t="shared" si="117"/>
        <v>7.8890000000000002</v>
      </c>
      <c r="BN143" s="78">
        <f t="shared" si="118"/>
        <v>7.8890000000000002</v>
      </c>
      <c r="BO143" s="78">
        <f t="shared" si="119"/>
        <v>7.8890000000000002</v>
      </c>
      <c r="BP143" s="78">
        <f t="shared" si="120"/>
        <v>7.8890000000000002</v>
      </c>
      <c r="BQ143" s="78">
        <f t="shared" si="121"/>
        <v>7.8890000000000002</v>
      </c>
      <c r="BR143" s="78">
        <f t="shared" si="122"/>
        <v>7.8890000000000002</v>
      </c>
      <c r="BS143" s="77"/>
      <c r="BT143" s="77"/>
    </row>
    <row r="144" spans="1:72" ht="14.1" customHeight="1" x14ac:dyDescent="0.2">
      <c r="A144" s="55" t="str">
        <f t="shared" si="93"/>
        <v>DS-4 (Large General Service)_Distribution Delivery Charges Rate Zone I &gt;100kV</v>
      </c>
      <c r="B144" s="80" t="s">
        <v>639</v>
      </c>
      <c r="C144" s="83" t="s">
        <v>749</v>
      </c>
      <c r="D144" s="150"/>
      <c r="E144" s="81"/>
      <c r="F144" s="73" t="s">
        <v>649</v>
      </c>
      <c r="G144" s="73">
        <v>0</v>
      </c>
      <c r="H144" s="73">
        <v>6</v>
      </c>
      <c r="I144" s="74" t="s">
        <v>641</v>
      </c>
      <c r="J144" s="75" t="s">
        <v>634</v>
      </c>
      <c r="K144" s="74"/>
      <c r="L144" s="82">
        <v>0.32700000000000001</v>
      </c>
      <c r="M144" s="138">
        <v>0.249</v>
      </c>
      <c r="N144" s="138">
        <v>0.249</v>
      </c>
      <c r="O144" s="138">
        <v>0.249</v>
      </c>
      <c r="P144" s="138">
        <v>0.249</v>
      </c>
      <c r="Q144" s="138">
        <v>0.249</v>
      </c>
      <c r="R144" s="138">
        <v>0.249</v>
      </c>
      <c r="S144" s="138">
        <v>0.26</v>
      </c>
      <c r="T144" s="138">
        <v>0.26</v>
      </c>
      <c r="U144" s="138">
        <v>0.26</v>
      </c>
      <c r="V144" s="138">
        <v>0.26</v>
      </c>
      <c r="W144" s="138">
        <v>0.26</v>
      </c>
      <c r="X144" s="138">
        <v>0.26</v>
      </c>
      <c r="Y144" s="138">
        <f t="shared" si="123"/>
        <v>0.26</v>
      </c>
      <c r="Z144" s="138">
        <f t="shared" si="124"/>
        <v>0.26</v>
      </c>
      <c r="AA144" s="138">
        <f t="shared" si="125"/>
        <v>0.26</v>
      </c>
      <c r="AB144" s="138">
        <f t="shared" si="126"/>
        <v>0.26</v>
      </c>
      <c r="AC144" s="138">
        <f t="shared" si="127"/>
        <v>0.26</v>
      </c>
      <c r="AD144" s="138">
        <f t="shared" si="128"/>
        <v>0.26</v>
      </c>
      <c r="AE144" s="138">
        <f t="shared" si="129"/>
        <v>0.26</v>
      </c>
      <c r="AF144" s="138">
        <f t="shared" si="130"/>
        <v>0.26</v>
      </c>
      <c r="AG144" s="138">
        <f t="shared" si="131"/>
        <v>0.26</v>
      </c>
      <c r="AH144" s="138">
        <f t="shared" si="132"/>
        <v>0.26</v>
      </c>
      <c r="AI144" s="138">
        <f t="shared" si="133"/>
        <v>0.26</v>
      </c>
      <c r="AJ144" s="138">
        <f t="shared" si="134"/>
        <v>0.26</v>
      </c>
      <c r="AK144" s="138">
        <f t="shared" si="135"/>
        <v>0.26</v>
      </c>
      <c r="AL144" s="138">
        <f t="shared" si="136"/>
        <v>0.25999999999999995</v>
      </c>
      <c r="AM144" s="138">
        <f t="shared" si="137"/>
        <v>0.25770833333333321</v>
      </c>
      <c r="AO144" s="77" t="str">
        <f t="shared" si="94"/>
        <v>DS-4 (Large General Service)</v>
      </c>
      <c r="AP144" s="78" t="s">
        <v>642</v>
      </c>
      <c r="AQ144" s="77" t="str">
        <f t="shared" si="95"/>
        <v>Distribution Delivery Charges Rate Zone I &gt;100kV</v>
      </c>
      <c r="AR144" s="78" t="str">
        <f t="shared" si="96"/>
        <v>Billing Cycle</v>
      </c>
      <c r="AS144" s="79">
        <f t="shared" si="97"/>
        <v>6</v>
      </c>
      <c r="AT144" s="78">
        <f t="shared" si="98"/>
        <v>0</v>
      </c>
      <c r="AU144" s="78">
        <f t="shared" si="99"/>
        <v>0.249</v>
      </c>
      <c r="AV144" s="78">
        <f t="shared" si="100"/>
        <v>0.249</v>
      </c>
      <c r="AW144" s="78">
        <f t="shared" si="101"/>
        <v>0.249</v>
      </c>
      <c r="AX144" s="78">
        <f t="shared" si="102"/>
        <v>0.249</v>
      </c>
      <c r="AY144" s="78">
        <f t="shared" si="103"/>
        <v>0.249</v>
      </c>
      <c r="AZ144" s="78">
        <f t="shared" si="104"/>
        <v>0.249</v>
      </c>
      <c r="BA144" s="78">
        <f t="shared" si="105"/>
        <v>0.26</v>
      </c>
      <c r="BB144" s="78">
        <f t="shared" si="106"/>
        <v>0.26</v>
      </c>
      <c r="BC144" s="78">
        <f t="shared" si="107"/>
        <v>0.26</v>
      </c>
      <c r="BD144" s="78">
        <f t="shared" si="108"/>
        <v>0.26</v>
      </c>
      <c r="BE144" s="78">
        <f t="shared" si="109"/>
        <v>0.26</v>
      </c>
      <c r="BF144" s="78">
        <f t="shared" si="110"/>
        <v>0.26</v>
      </c>
      <c r="BG144" s="78">
        <f t="shared" si="111"/>
        <v>0.26</v>
      </c>
      <c r="BH144" s="78">
        <f t="shared" si="112"/>
        <v>0.26</v>
      </c>
      <c r="BI144" s="78">
        <f t="shared" si="113"/>
        <v>0.26</v>
      </c>
      <c r="BJ144" s="78">
        <f t="shared" si="114"/>
        <v>0.26</v>
      </c>
      <c r="BK144" s="78">
        <f t="shared" si="115"/>
        <v>0.26</v>
      </c>
      <c r="BL144" s="78">
        <f t="shared" si="116"/>
        <v>0.26</v>
      </c>
      <c r="BM144" s="78">
        <f t="shared" si="117"/>
        <v>0.26</v>
      </c>
      <c r="BN144" s="78">
        <f t="shared" si="118"/>
        <v>0.26</v>
      </c>
      <c r="BO144" s="78">
        <f t="shared" si="119"/>
        <v>0.26</v>
      </c>
      <c r="BP144" s="78">
        <f t="shared" si="120"/>
        <v>0.26</v>
      </c>
      <c r="BQ144" s="78">
        <f t="shared" si="121"/>
        <v>0.26</v>
      </c>
      <c r="BR144" s="78">
        <f t="shared" si="122"/>
        <v>0.26</v>
      </c>
      <c r="BS144" s="77"/>
      <c r="BT144" s="77"/>
    </row>
    <row r="145" spans="1:72" ht="14.1" customHeight="1" x14ac:dyDescent="0.2">
      <c r="A145" s="55" t="str">
        <f t="shared" si="93"/>
        <v>DS-4 (Large General Service)_Distribution Delivery Charges Rate Zone I High Voltage</v>
      </c>
      <c r="B145" s="80" t="s">
        <v>639</v>
      </c>
      <c r="C145" s="83" t="s">
        <v>750</v>
      </c>
      <c r="D145" s="150"/>
      <c r="E145" s="81"/>
      <c r="F145" s="73" t="s">
        <v>649</v>
      </c>
      <c r="G145" s="73">
        <v>0</v>
      </c>
      <c r="H145" s="73">
        <v>6</v>
      </c>
      <c r="I145" s="74" t="s">
        <v>641</v>
      </c>
      <c r="J145" s="75" t="s">
        <v>634</v>
      </c>
      <c r="K145" s="74"/>
      <c r="L145" s="82">
        <v>2.4489999999999998</v>
      </c>
      <c r="M145" s="138">
        <v>2.46</v>
      </c>
      <c r="N145" s="138">
        <v>2.46</v>
      </c>
      <c r="O145" s="138">
        <v>2.46</v>
      </c>
      <c r="P145" s="138">
        <v>2.46</v>
      </c>
      <c r="Q145" s="138">
        <v>2.46</v>
      </c>
      <c r="R145" s="138">
        <v>2.46</v>
      </c>
      <c r="S145" s="138">
        <v>2.569</v>
      </c>
      <c r="T145" s="138">
        <v>2.569</v>
      </c>
      <c r="U145" s="138">
        <v>2.569</v>
      </c>
      <c r="V145" s="138">
        <v>2.569</v>
      </c>
      <c r="W145" s="138">
        <v>2.569</v>
      </c>
      <c r="X145" s="138">
        <v>2.569</v>
      </c>
      <c r="Y145" s="138">
        <f t="shared" si="123"/>
        <v>2.569</v>
      </c>
      <c r="Z145" s="138">
        <f t="shared" si="124"/>
        <v>2.569</v>
      </c>
      <c r="AA145" s="138">
        <f t="shared" si="125"/>
        <v>2.569</v>
      </c>
      <c r="AB145" s="138">
        <f t="shared" si="126"/>
        <v>2.569</v>
      </c>
      <c r="AC145" s="138">
        <f t="shared" si="127"/>
        <v>2.569</v>
      </c>
      <c r="AD145" s="138">
        <f t="shared" si="128"/>
        <v>2.569</v>
      </c>
      <c r="AE145" s="138">
        <f t="shared" si="129"/>
        <v>2.569</v>
      </c>
      <c r="AF145" s="138">
        <f t="shared" si="130"/>
        <v>2.569</v>
      </c>
      <c r="AG145" s="138">
        <f t="shared" si="131"/>
        <v>2.569</v>
      </c>
      <c r="AH145" s="138">
        <f t="shared" si="132"/>
        <v>2.569</v>
      </c>
      <c r="AI145" s="138">
        <f t="shared" si="133"/>
        <v>2.569</v>
      </c>
      <c r="AJ145" s="138">
        <f t="shared" si="134"/>
        <v>2.569</v>
      </c>
      <c r="AK145" s="138">
        <f t="shared" si="135"/>
        <v>2.569</v>
      </c>
      <c r="AL145" s="138">
        <f t="shared" si="136"/>
        <v>2.5689999999999995</v>
      </c>
      <c r="AM145" s="138">
        <f t="shared" si="137"/>
        <v>2.5462916666666677</v>
      </c>
      <c r="AO145" s="77" t="str">
        <f t="shared" si="94"/>
        <v>DS-4 (Large General Service)</v>
      </c>
      <c r="AP145" s="78" t="s">
        <v>642</v>
      </c>
      <c r="AQ145" s="77" t="str">
        <f t="shared" si="95"/>
        <v>Distribution Delivery Charges Rate Zone I High Voltage</v>
      </c>
      <c r="AR145" s="78" t="str">
        <f t="shared" si="96"/>
        <v>Billing Cycle</v>
      </c>
      <c r="AS145" s="79">
        <f t="shared" si="97"/>
        <v>6</v>
      </c>
      <c r="AT145" s="78">
        <f t="shared" si="98"/>
        <v>2</v>
      </c>
      <c r="AU145" s="78">
        <f t="shared" si="99"/>
        <v>2.46</v>
      </c>
      <c r="AV145" s="78">
        <f t="shared" si="100"/>
        <v>2.46</v>
      </c>
      <c r="AW145" s="78">
        <f t="shared" si="101"/>
        <v>2.46</v>
      </c>
      <c r="AX145" s="78">
        <f t="shared" si="102"/>
        <v>2.46</v>
      </c>
      <c r="AY145" s="78">
        <f t="shared" si="103"/>
        <v>2.46</v>
      </c>
      <c r="AZ145" s="78">
        <f t="shared" si="104"/>
        <v>2.46</v>
      </c>
      <c r="BA145" s="78">
        <f t="shared" si="105"/>
        <v>2.569</v>
      </c>
      <c r="BB145" s="78">
        <f t="shared" si="106"/>
        <v>2.569</v>
      </c>
      <c r="BC145" s="78">
        <f t="shared" si="107"/>
        <v>2.569</v>
      </c>
      <c r="BD145" s="78">
        <f t="shared" si="108"/>
        <v>2.569</v>
      </c>
      <c r="BE145" s="78">
        <f t="shared" si="109"/>
        <v>2.569</v>
      </c>
      <c r="BF145" s="78">
        <f t="shared" si="110"/>
        <v>2.569</v>
      </c>
      <c r="BG145" s="78">
        <f t="shared" si="111"/>
        <v>2.569</v>
      </c>
      <c r="BH145" s="78">
        <f t="shared" si="112"/>
        <v>2.569</v>
      </c>
      <c r="BI145" s="78">
        <f t="shared" si="113"/>
        <v>2.569</v>
      </c>
      <c r="BJ145" s="78">
        <f t="shared" si="114"/>
        <v>2.569</v>
      </c>
      <c r="BK145" s="78">
        <f t="shared" si="115"/>
        <v>2.569</v>
      </c>
      <c r="BL145" s="78">
        <f t="shared" si="116"/>
        <v>2.569</v>
      </c>
      <c r="BM145" s="78">
        <f t="shared" si="117"/>
        <v>2.569</v>
      </c>
      <c r="BN145" s="78">
        <f t="shared" si="118"/>
        <v>2.569</v>
      </c>
      <c r="BO145" s="78">
        <f t="shared" si="119"/>
        <v>2.569</v>
      </c>
      <c r="BP145" s="78">
        <f t="shared" si="120"/>
        <v>2.569</v>
      </c>
      <c r="BQ145" s="78">
        <f t="shared" si="121"/>
        <v>2.569</v>
      </c>
      <c r="BR145" s="78">
        <f t="shared" si="122"/>
        <v>2.569</v>
      </c>
      <c r="BS145" s="77"/>
      <c r="BT145" s="77"/>
    </row>
    <row r="146" spans="1:72" ht="14.1" customHeight="1" x14ac:dyDescent="0.2">
      <c r="A146" s="55" t="str">
        <f t="shared" si="93"/>
        <v>DS-4 (Large General Service)_Distribution Delivery Charges Rate Zone I Primary</v>
      </c>
      <c r="B146" s="80" t="s">
        <v>639</v>
      </c>
      <c r="C146" s="83" t="s">
        <v>751</v>
      </c>
      <c r="D146" s="150"/>
      <c r="E146" s="81"/>
      <c r="F146" s="73" t="s">
        <v>649</v>
      </c>
      <c r="G146" s="73">
        <v>0</v>
      </c>
      <c r="H146" s="73">
        <v>6</v>
      </c>
      <c r="I146" s="74" t="s">
        <v>641</v>
      </c>
      <c r="J146" s="75" t="s">
        <v>634</v>
      </c>
      <c r="K146" s="74"/>
      <c r="L146" s="82">
        <v>8.2949999999999999</v>
      </c>
      <c r="M146" s="138">
        <v>8.6620000000000008</v>
      </c>
      <c r="N146" s="138">
        <v>8.6620000000000008</v>
      </c>
      <c r="O146" s="138">
        <v>8.6620000000000008</v>
      </c>
      <c r="P146" s="138">
        <v>8.6620000000000008</v>
      </c>
      <c r="Q146" s="138">
        <v>8.6620000000000008</v>
      </c>
      <c r="R146" s="138">
        <v>8.6620000000000008</v>
      </c>
      <c r="S146" s="138">
        <v>8.9890000000000008</v>
      </c>
      <c r="T146" s="138">
        <v>8.9890000000000008</v>
      </c>
      <c r="U146" s="138">
        <v>8.9890000000000008</v>
      </c>
      <c r="V146" s="138">
        <v>8.9890000000000008</v>
      </c>
      <c r="W146" s="138">
        <v>8.9890000000000008</v>
      </c>
      <c r="X146" s="138">
        <v>8.9890000000000008</v>
      </c>
      <c r="Y146" s="138">
        <f t="shared" si="123"/>
        <v>8.9890000000000008</v>
      </c>
      <c r="Z146" s="138">
        <f t="shared" si="124"/>
        <v>8.9890000000000008</v>
      </c>
      <c r="AA146" s="138">
        <f t="shared" si="125"/>
        <v>8.9890000000000008</v>
      </c>
      <c r="AB146" s="138">
        <f t="shared" si="126"/>
        <v>8.9890000000000008</v>
      </c>
      <c r="AC146" s="138">
        <f t="shared" si="127"/>
        <v>8.9890000000000008</v>
      </c>
      <c r="AD146" s="138">
        <f t="shared" si="128"/>
        <v>8.9890000000000008</v>
      </c>
      <c r="AE146" s="138">
        <f t="shared" si="129"/>
        <v>8.9890000000000008</v>
      </c>
      <c r="AF146" s="138">
        <f t="shared" si="130"/>
        <v>8.9890000000000008</v>
      </c>
      <c r="AG146" s="138">
        <f t="shared" si="131"/>
        <v>8.9890000000000008</v>
      </c>
      <c r="AH146" s="138">
        <f t="shared" si="132"/>
        <v>8.9890000000000008</v>
      </c>
      <c r="AI146" s="138">
        <f t="shared" si="133"/>
        <v>8.9890000000000008</v>
      </c>
      <c r="AJ146" s="138">
        <f t="shared" si="134"/>
        <v>8.9890000000000008</v>
      </c>
      <c r="AK146" s="138">
        <f t="shared" si="135"/>
        <v>8.9890000000000008</v>
      </c>
      <c r="AL146" s="138">
        <f t="shared" si="136"/>
        <v>8.9890000000000025</v>
      </c>
      <c r="AM146" s="138">
        <f t="shared" si="137"/>
        <v>8.9208750000000041</v>
      </c>
      <c r="AO146" s="77" t="str">
        <f t="shared" si="94"/>
        <v>DS-4 (Large General Service)</v>
      </c>
      <c r="AP146" s="78" t="s">
        <v>642</v>
      </c>
      <c r="AQ146" s="77" t="str">
        <f t="shared" si="95"/>
        <v>Distribution Delivery Charges Rate Zone I Primary</v>
      </c>
      <c r="AR146" s="78" t="str">
        <f t="shared" si="96"/>
        <v>Billing Cycle</v>
      </c>
      <c r="AS146" s="79">
        <f t="shared" si="97"/>
        <v>6</v>
      </c>
      <c r="AT146" s="78">
        <f t="shared" si="98"/>
        <v>8</v>
      </c>
      <c r="AU146" s="78">
        <f t="shared" si="99"/>
        <v>8.6620000000000008</v>
      </c>
      <c r="AV146" s="78">
        <f t="shared" si="100"/>
        <v>8.6620000000000008</v>
      </c>
      <c r="AW146" s="78">
        <f t="shared" si="101"/>
        <v>8.6620000000000008</v>
      </c>
      <c r="AX146" s="78">
        <f t="shared" si="102"/>
        <v>8.6620000000000008</v>
      </c>
      <c r="AY146" s="78">
        <f t="shared" si="103"/>
        <v>8.6620000000000008</v>
      </c>
      <c r="AZ146" s="78">
        <f t="shared" si="104"/>
        <v>8.6620000000000008</v>
      </c>
      <c r="BA146" s="78">
        <f t="shared" si="105"/>
        <v>8.9890000000000008</v>
      </c>
      <c r="BB146" s="78">
        <f t="shared" si="106"/>
        <v>8.9890000000000008</v>
      </c>
      <c r="BC146" s="78">
        <f t="shared" si="107"/>
        <v>8.9890000000000008</v>
      </c>
      <c r="BD146" s="78">
        <f t="shared" si="108"/>
        <v>8.9890000000000008</v>
      </c>
      <c r="BE146" s="78">
        <f t="shared" si="109"/>
        <v>8.9890000000000008</v>
      </c>
      <c r="BF146" s="78">
        <f t="shared" si="110"/>
        <v>8.9890000000000008</v>
      </c>
      <c r="BG146" s="78">
        <f t="shared" si="111"/>
        <v>8.9890000000000008</v>
      </c>
      <c r="BH146" s="78">
        <f t="shared" si="112"/>
        <v>8.9890000000000008</v>
      </c>
      <c r="BI146" s="78">
        <f t="shared" si="113"/>
        <v>8.9890000000000008</v>
      </c>
      <c r="BJ146" s="78">
        <f t="shared" si="114"/>
        <v>8.9890000000000008</v>
      </c>
      <c r="BK146" s="78">
        <f t="shared" si="115"/>
        <v>8.9890000000000008</v>
      </c>
      <c r="BL146" s="78">
        <f t="shared" si="116"/>
        <v>8.9890000000000008</v>
      </c>
      <c r="BM146" s="78">
        <f t="shared" si="117"/>
        <v>8.9890000000000008</v>
      </c>
      <c r="BN146" s="78">
        <f t="shared" si="118"/>
        <v>8.9890000000000008</v>
      </c>
      <c r="BO146" s="78">
        <f t="shared" si="119"/>
        <v>8.9890000000000008</v>
      </c>
      <c r="BP146" s="78">
        <f t="shared" si="120"/>
        <v>8.9890000000000008</v>
      </c>
      <c r="BQ146" s="78">
        <f t="shared" si="121"/>
        <v>8.9890000000000008</v>
      </c>
      <c r="BR146" s="78">
        <f t="shared" si="122"/>
        <v>8.9890000000000008</v>
      </c>
      <c r="BS146" s="77"/>
      <c r="BT146" s="77"/>
    </row>
    <row r="147" spans="1:72" ht="14.1" customHeight="1" x14ac:dyDescent="0.2">
      <c r="A147" s="55" t="str">
        <f t="shared" si="93"/>
        <v>DS-4 (Large General Service)_Distribution Delivery Charges Rate Zone II &gt;100kV</v>
      </c>
      <c r="B147" s="80" t="s">
        <v>639</v>
      </c>
      <c r="C147" s="83" t="s">
        <v>752</v>
      </c>
      <c r="D147" s="150"/>
      <c r="E147" s="81"/>
      <c r="F147" s="73" t="s">
        <v>649</v>
      </c>
      <c r="G147" s="73">
        <v>0</v>
      </c>
      <c r="H147" s="73">
        <v>6</v>
      </c>
      <c r="I147" s="74" t="s">
        <v>641</v>
      </c>
      <c r="J147" s="75" t="s">
        <v>634</v>
      </c>
      <c r="K147" s="74"/>
      <c r="L147" s="82">
        <v>0.32700000000000001</v>
      </c>
      <c r="M147" s="138">
        <v>0.249</v>
      </c>
      <c r="N147" s="138">
        <v>0.249</v>
      </c>
      <c r="O147" s="138">
        <v>0.249</v>
      </c>
      <c r="P147" s="138">
        <v>0.249</v>
      </c>
      <c r="Q147" s="138">
        <v>0.249</v>
      </c>
      <c r="R147" s="138">
        <v>0.249</v>
      </c>
      <c r="S147" s="138">
        <v>0.26</v>
      </c>
      <c r="T147" s="138">
        <v>0.26</v>
      </c>
      <c r="U147" s="138">
        <v>0.26</v>
      </c>
      <c r="V147" s="138">
        <v>0.26</v>
      </c>
      <c r="W147" s="138">
        <v>0.26</v>
      </c>
      <c r="X147" s="138">
        <v>0.26</v>
      </c>
      <c r="Y147" s="138">
        <f t="shared" si="123"/>
        <v>0.26</v>
      </c>
      <c r="Z147" s="138">
        <f t="shared" si="124"/>
        <v>0.26</v>
      </c>
      <c r="AA147" s="138">
        <f t="shared" si="125"/>
        <v>0.26</v>
      </c>
      <c r="AB147" s="138">
        <f t="shared" si="126"/>
        <v>0.26</v>
      </c>
      <c r="AC147" s="138">
        <f t="shared" si="127"/>
        <v>0.26</v>
      </c>
      <c r="AD147" s="138">
        <f t="shared" si="128"/>
        <v>0.26</v>
      </c>
      <c r="AE147" s="138">
        <f t="shared" si="129"/>
        <v>0.26</v>
      </c>
      <c r="AF147" s="138">
        <f t="shared" si="130"/>
        <v>0.26</v>
      </c>
      <c r="AG147" s="138">
        <f t="shared" si="131"/>
        <v>0.26</v>
      </c>
      <c r="AH147" s="138">
        <f t="shared" si="132"/>
        <v>0.26</v>
      </c>
      <c r="AI147" s="138">
        <f t="shared" si="133"/>
        <v>0.26</v>
      </c>
      <c r="AJ147" s="138">
        <f t="shared" si="134"/>
        <v>0.26</v>
      </c>
      <c r="AK147" s="138">
        <f t="shared" si="135"/>
        <v>0.26</v>
      </c>
      <c r="AL147" s="138">
        <f t="shared" si="136"/>
        <v>0.25999999999999995</v>
      </c>
      <c r="AM147" s="138">
        <f t="shared" si="137"/>
        <v>0.25770833333333321</v>
      </c>
      <c r="AO147" s="77" t="str">
        <f t="shared" si="94"/>
        <v>DS-4 (Large General Service)</v>
      </c>
      <c r="AP147" s="78" t="s">
        <v>642</v>
      </c>
      <c r="AQ147" s="77" t="str">
        <f t="shared" si="95"/>
        <v>Distribution Delivery Charges Rate Zone II &gt;100kV</v>
      </c>
      <c r="AR147" s="78" t="str">
        <f t="shared" si="96"/>
        <v>Billing Cycle</v>
      </c>
      <c r="AS147" s="79">
        <f t="shared" si="97"/>
        <v>6</v>
      </c>
      <c r="AT147" s="78">
        <f t="shared" si="98"/>
        <v>0</v>
      </c>
      <c r="AU147" s="78">
        <f t="shared" si="99"/>
        <v>0.249</v>
      </c>
      <c r="AV147" s="78">
        <f t="shared" si="100"/>
        <v>0.249</v>
      </c>
      <c r="AW147" s="78">
        <f t="shared" si="101"/>
        <v>0.249</v>
      </c>
      <c r="AX147" s="78">
        <f t="shared" si="102"/>
        <v>0.249</v>
      </c>
      <c r="AY147" s="78">
        <f t="shared" si="103"/>
        <v>0.249</v>
      </c>
      <c r="AZ147" s="78">
        <f t="shared" si="104"/>
        <v>0.249</v>
      </c>
      <c r="BA147" s="78">
        <f t="shared" si="105"/>
        <v>0.26</v>
      </c>
      <c r="BB147" s="78">
        <f t="shared" si="106"/>
        <v>0.26</v>
      </c>
      <c r="BC147" s="78">
        <f t="shared" si="107"/>
        <v>0.26</v>
      </c>
      <c r="BD147" s="78">
        <f t="shared" si="108"/>
        <v>0.26</v>
      </c>
      <c r="BE147" s="78">
        <f t="shared" si="109"/>
        <v>0.26</v>
      </c>
      <c r="BF147" s="78">
        <f t="shared" si="110"/>
        <v>0.26</v>
      </c>
      <c r="BG147" s="78">
        <f t="shared" si="111"/>
        <v>0.26</v>
      </c>
      <c r="BH147" s="78">
        <f t="shared" si="112"/>
        <v>0.26</v>
      </c>
      <c r="BI147" s="78">
        <f t="shared" si="113"/>
        <v>0.26</v>
      </c>
      <c r="BJ147" s="78">
        <f t="shared" si="114"/>
        <v>0.26</v>
      </c>
      <c r="BK147" s="78">
        <f t="shared" si="115"/>
        <v>0.26</v>
      </c>
      <c r="BL147" s="78">
        <f t="shared" si="116"/>
        <v>0.26</v>
      </c>
      <c r="BM147" s="78">
        <f t="shared" si="117"/>
        <v>0.26</v>
      </c>
      <c r="BN147" s="78">
        <f t="shared" si="118"/>
        <v>0.26</v>
      </c>
      <c r="BO147" s="78">
        <f t="shared" si="119"/>
        <v>0.26</v>
      </c>
      <c r="BP147" s="78">
        <f t="shared" si="120"/>
        <v>0.26</v>
      </c>
      <c r="BQ147" s="78">
        <f t="shared" si="121"/>
        <v>0.26</v>
      </c>
      <c r="BR147" s="78">
        <f t="shared" si="122"/>
        <v>0.26</v>
      </c>
      <c r="BS147" s="77"/>
      <c r="BT147" s="77"/>
    </row>
    <row r="148" spans="1:72" ht="14.1" customHeight="1" x14ac:dyDescent="0.2">
      <c r="A148" s="55" t="str">
        <f t="shared" si="93"/>
        <v>DS-4 (Large General Service)_Distribution Delivery Charges Rate Zone II High Voltage</v>
      </c>
      <c r="B148" s="80" t="s">
        <v>639</v>
      </c>
      <c r="C148" s="83" t="s">
        <v>753</v>
      </c>
      <c r="D148" s="150"/>
      <c r="E148" s="81"/>
      <c r="F148" s="73" t="s">
        <v>649</v>
      </c>
      <c r="G148" s="73">
        <v>0</v>
      </c>
      <c r="H148" s="73">
        <v>6</v>
      </c>
      <c r="I148" s="74" t="s">
        <v>641</v>
      </c>
      <c r="J148" s="75" t="s">
        <v>634</v>
      </c>
      <c r="K148" s="74"/>
      <c r="L148" s="82">
        <v>2.4489999999999998</v>
      </c>
      <c r="M148" s="138">
        <v>2.46</v>
      </c>
      <c r="N148" s="138">
        <v>2.46</v>
      </c>
      <c r="O148" s="138">
        <v>2.46</v>
      </c>
      <c r="P148" s="138">
        <v>2.46</v>
      </c>
      <c r="Q148" s="138">
        <v>2.46</v>
      </c>
      <c r="R148" s="138">
        <v>2.46</v>
      </c>
      <c r="S148" s="138">
        <v>2.569</v>
      </c>
      <c r="T148" s="138">
        <v>2.569</v>
      </c>
      <c r="U148" s="138">
        <v>2.569</v>
      </c>
      <c r="V148" s="138">
        <v>2.569</v>
      </c>
      <c r="W148" s="138">
        <v>2.569</v>
      </c>
      <c r="X148" s="138">
        <v>2.569</v>
      </c>
      <c r="Y148" s="138">
        <f t="shared" si="123"/>
        <v>2.569</v>
      </c>
      <c r="Z148" s="138">
        <f t="shared" si="124"/>
        <v>2.569</v>
      </c>
      <c r="AA148" s="138">
        <f t="shared" si="125"/>
        <v>2.569</v>
      </c>
      <c r="AB148" s="138">
        <f t="shared" si="126"/>
        <v>2.569</v>
      </c>
      <c r="AC148" s="138">
        <f t="shared" si="127"/>
        <v>2.569</v>
      </c>
      <c r="AD148" s="138">
        <f t="shared" si="128"/>
        <v>2.569</v>
      </c>
      <c r="AE148" s="138">
        <f t="shared" si="129"/>
        <v>2.569</v>
      </c>
      <c r="AF148" s="138">
        <f t="shared" si="130"/>
        <v>2.569</v>
      </c>
      <c r="AG148" s="138">
        <f t="shared" si="131"/>
        <v>2.569</v>
      </c>
      <c r="AH148" s="138">
        <f t="shared" si="132"/>
        <v>2.569</v>
      </c>
      <c r="AI148" s="138">
        <f t="shared" si="133"/>
        <v>2.569</v>
      </c>
      <c r="AJ148" s="138">
        <f t="shared" si="134"/>
        <v>2.569</v>
      </c>
      <c r="AK148" s="138">
        <f t="shared" si="135"/>
        <v>2.569</v>
      </c>
      <c r="AL148" s="138">
        <f t="shared" si="136"/>
        <v>2.5689999999999995</v>
      </c>
      <c r="AM148" s="138">
        <f t="shared" si="137"/>
        <v>2.5462916666666677</v>
      </c>
      <c r="AO148" s="77" t="str">
        <f t="shared" si="94"/>
        <v>DS-4 (Large General Service)</v>
      </c>
      <c r="AP148" s="78" t="s">
        <v>642</v>
      </c>
      <c r="AQ148" s="77" t="str">
        <f t="shared" si="95"/>
        <v>Distribution Delivery Charges Rate Zone II High Voltage</v>
      </c>
      <c r="AR148" s="78" t="str">
        <f t="shared" si="96"/>
        <v>Billing Cycle</v>
      </c>
      <c r="AS148" s="79">
        <f t="shared" si="97"/>
        <v>6</v>
      </c>
      <c r="AT148" s="78">
        <f t="shared" si="98"/>
        <v>2</v>
      </c>
      <c r="AU148" s="78">
        <f t="shared" si="99"/>
        <v>2.46</v>
      </c>
      <c r="AV148" s="78">
        <f t="shared" si="100"/>
        <v>2.46</v>
      </c>
      <c r="AW148" s="78">
        <f t="shared" si="101"/>
        <v>2.46</v>
      </c>
      <c r="AX148" s="78">
        <f t="shared" si="102"/>
        <v>2.46</v>
      </c>
      <c r="AY148" s="78">
        <f t="shared" si="103"/>
        <v>2.46</v>
      </c>
      <c r="AZ148" s="78">
        <f t="shared" si="104"/>
        <v>2.46</v>
      </c>
      <c r="BA148" s="78">
        <f t="shared" si="105"/>
        <v>2.569</v>
      </c>
      <c r="BB148" s="78">
        <f t="shared" si="106"/>
        <v>2.569</v>
      </c>
      <c r="BC148" s="78">
        <f t="shared" si="107"/>
        <v>2.569</v>
      </c>
      <c r="BD148" s="78">
        <f t="shared" si="108"/>
        <v>2.569</v>
      </c>
      <c r="BE148" s="78">
        <f t="shared" si="109"/>
        <v>2.569</v>
      </c>
      <c r="BF148" s="78">
        <f t="shared" si="110"/>
        <v>2.569</v>
      </c>
      <c r="BG148" s="78">
        <f t="shared" si="111"/>
        <v>2.569</v>
      </c>
      <c r="BH148" s="78">
        <f t="shared" si="112"/>
        <v>2.569</v>
      </c>
      <c r="BI148" s="78">
        <f t="shared" si="113"/>
        <v>2.569</v>
      </c>
      <c r="BJ148" s="78">
        <f t="shared" si="114"/>
        <v>2.569</v>
      </c>
      <c r="BK148" s="78">
        <f t="shared" si="115"/>
        <v>2.569</v>
      </c>
      <c r="BL148" s="78">
        <f t="shared" si="116"/>
        <v>2.569</v>
      </c>
      <c r="BM148" s="78">
        <f t="shared" si="117"/>
        <v>2.569</v>
      </c>
      <c r="BN148" s="78">
        <f t="shared" si="118"/>
        <v>2.569</v>
      </c>
      <c r="BO148" s="78">
        <f t="shared" si="119"/>
        <v>2.569</v>
      </c>
      <c r="BP148" s="78">
        <f t="shared" si="120"/>
        <v>2.569</v>
      </c>
      <c r="BQ148" s="78">
        <f t="shared" si="121"/>
        <v>2.569</v>
      </c>
      <c r="BR148" s="78">
        <f t="shared" si="122"/>
        <v>2.569</v>
      </c>
      <c r="BS148" s="77"/>
      <c r="BT148" s="77"/>
    </row>
    <row r="149" spans="1:72" ht="14.1" customHeight="1" x14ac:dyDescent="0.2">
      <c r="A149" s="55" t="str">
        <f t="shared" si="93"/>
        <v>DS-4 (Large General Service)_Distribution Delivery Charges Rate Zone II Primary</v>
      </c>
      <c r="B149" s="80" t="s">
        <v>639</v>
      </c>
      <c r="C149" s="83" t="s">
        <v>754</v>
      </c>
      <c r="D149" s="150"/>
      <c r="E149" s="81"/>
      <c r="F149" s="73" t="s">
        <v>649</v>
      </c>
      <c r="G149" s="73">
        <v>0</v>
      </c>
      <c r="H149" s="73">
        <v>6</v>
      </c>
      <c r="I149" s="74" t="s">
        <v>641</v>
      </c>
      <c r="J149" s="75" t="s">
        <v>634</v>
      </c>
      <c r="K149" s="74"/>
      <c r="L149" s="82">
        <v>8.2949999999999999</v>
      </c>
      <c r="M149" s="138">
        <v>8.6620000000000008</v>
      </c>
      <c r="N149" s="138">
        <v>8.6620000000000008</v>
      </c>
      <c r="O149" s="138">
        <v>8.6620000000000008</v>
      </c>
      <c r="P149" s="138">
        <v>8.6620000000000008</v>
      </c>
      <c r="Q149" s="138">
        <v>8.6620000000000008</v>
      </c>
      <c r="R149" s="138">
        <v>8.6620000000000008</v>
      </c>
      <c r="S149" s="138">
        <v>8.9890000000000008</v>
      </c>
      <c r="T149" s="138">
        <v>8.9890000000000008</v>
      </c>
      <c r="U149" s="138">
        <v>8.9890000000000008</v>
      </c>
      <c r="V149" s="138">
        <v>8.9890000000000008</v>
      </c>
      <c r="W149" s="138">
        <v>8.9890000000000008</v>
      </c>
      <c r="X149" s="138">
        <v>8.9890000000000008</v>
      </c>
      <c r="Y149" s="138">
        <f t="shared" si="123"/>
        <v>8.9890000000000008</v>
      </c>
      <c r="Z149" s="138">
        <f t="shared" si="124"/>
        <v>8.9890000000000008</v>
      </c>
      <c r="AA149" s="138">
        <f t="shared" si="125"/>
        <v>8.9890000000000008</v>
      </c>
      <c r="AB149" s="138">
        <f t="shared" si="126"/>
        <v>8.9890000000000008</v>
      </c>
      <c r="AC149" s="138">
        <f t="shared" si="127"/>
        <v>8.9890000000000008</v>
      </c>
      <c r="AD149" s="138">
        <f t="shared" si="128"/>
        <v>8.9890000000000008</v>
      </c>
      <c r="AE149" s="138">
        <f t="shared" si="129"/>
        <v>8.9890000000000008</v>
      </c>
      <c r="AF149" s="138">
        <f t="shared" si="130"/>
        <v>8.9890000000000008</v>
      </c>
      <c r="AG149" s="138">
        <f t="shared" si="131"/>
        <v>8.9890000000000008</v>
      </c>
      <c r="AH149" s="138">
        <f t="shared" si="132"/>
        <v>8.9890000000000008</v>
      </c>
      <c r="AI149" s="138">
        <f t="shared" si="133"/>
        <v>8.9890000000000008</v>
      </c>
      <c r="AJ149" s="138">
        <f t="shared" si="134"/>
        <v>8.9890000000000008</v>
      </c>
      <c r="AK149" s="138">
        <f t="shared" si="135"/>
        <v>8.9890000000000008</v>
      </c>
      <c r="AL149" s="138">
        <f t="shared" si="136"/>
        <v>8.9890000000000025</v>
      </c>
      <c r="AM149" s="138">
        <f t="shared" si="137"/>
        <v>8.9208750000000041</v>
      </c>
      <c r="AO149" s="77" t="str">
        <f t="shared" si="94"/>
        <v>DS-4 (Large General Service)</v>
      </c>
      <c r="AP149" s="78" t="s">
        <v>642</v>
      </c>
      <c r="AQ149" s="77" t="str">
        <f t="shared" si="95"/>
        <v>Distribution Delivery Charges Rate Zone II Primary</v>
      </c>
      <c r="AR149" s="78" t="str">
        <f t="shared" si="96"/>
        <v>Billing Cycle</v>
      </c>
      <c r="AS149" s="79">
        <f t="shared" si="97"/>
        <v>6</v>
      </c>
      <c r="AT149" s="78">
        <f t="shared" si="98"/>
        <v>8</v>
      </c>
      <c r="AU149" s="78">
        <f t="shared" si="99"/>
        <v>8.6620000000000008</v>
      </c>
      <c r="AV149" s="78">
        <f t="shared" si="100"/>
        <v>8.6620000000000008</v>
      </c>
      <c r="AW149" s="78">
        <f t="shared" si="101"/>
        <v>8.6620000000000008</v>
      </c>
      <c r="AX149" s="78">
        <f t="shared" si="102"/>
        <v>8.6620000000000008</v>
      </c>
      <c r="AY149" s="78">
        <f t="shared" si="103"/>
        <v>8.6620000000000008</v>
      </c>
      <c r="AZ149" s="78">
        <f t="shared" si="104"/>
        <v>8.6620000000000008</v>
      </c>
      <c r="BA149" s="78">
        <f t="shared" si="105"/>
        <v>8.9890000000000008</v>
      </c>
      <c r="BB149" s="78">
        <f t="shared" si="106"/>
        <v>8.9890000000000008</v>
      </c>
      <c r="BC149" s="78">
        <f t="shared" si="107"/>
        <v>8.9890000000000008</v>
      </c>
      <c r="BD149" s="78">
        <f t="shared" si="108"/>
        <v>8.9890000000000008</v>
      </c>
      <c r="BE149" s="78">
        <f t="shared" si="109"/>
        <v>8.9890000000000008</v>
      </c>
      <c r="BF149" s="78">
        <f t="shared" si="110"/>
        <v>8.9890000000000008</v>
      </c>
      <c r="BG149" s="78">
        <f t="shared" si="111"/>
        <v>8.9890000000000008</v>
      </c>
      <c r="BH149" s="78">
        <f t="shared" si="112"/>
        <v>8.9890000000000008</v>
      </c>
      <c r="BI149" s="78">
        <f t="shared" si="113"/>
        <v>8.9890000000000008</v>
      </c>
      <c r="BJ149" s="78">
        <f t="shared" si="114"/>
        <v>8.9890000000000008</v>
      </c>
      <c r="BK149" s="78">
        <f t="shared" si="115"/>
        <v>8.9890000000000008</v>
      </c>
      <c r="BL149" s="78">
        <f t="shared" si="116"/>
        <v>8.9890000000000008</v>
      </c>
      <c r="BM149" s="78">
        <f t="shared" si="117"/>
        <v>8.9890000000000008</v>
      </c>
      <c r="BN149" s="78">
        <f t="shared" si="118"/>
        <v>8.9890000000000008</v>
      </c>
      <c r="BO149" s="78">
        <f t="shared" si="119"/>
        <v>8.9890000000000008</v>
      </c>
      <c r="BP149" s="78">
        <f t="shared" si="120"/>
        <v>8.9890000000000008</v>
      </c>
      <c r="BQ149" s="78">
        <f t="shared" si="121"/>
        <v>8.9890000000000008</v>
      </c>
      <c r="BR149" s="78">
        <f t="shared" si="122"/>
        <v>8.9890000000000008</v>
      </c>
      <c r="BS149" s="77"/>
      <c r="BT149" s="77"/>
    </row>
    <row r="150" spans="1:72" ht="14.1" customHeight="1" x14ac:dyDescent="0.2">
      <c r="A150" s="55" t="str">
        <f t="shared" si="93"/>
        <v>DS-4 (Large General Service)_Distribution Delivery Charges Rate Zone III &gt;100kV</v>
      </c>
      <c r="B150" s="80" t="s">
        <v>639</v>
      </c>
      <c r="C150" s="83" t="s">
        <v>755</v>
      </c>
      <c r="D150" s="150"/>
      <c r="E150" s="81"/>
      <c r="F150" s="73" t="s">
        <v>649</v>
      </c>
      <c r="G150" s="73">
        <v>0</v>
      </c>
      <c r="H150" s="73">
        <v>6</v>
      </c>
      <c r="I150" s="74" t="s">
        <v>641</v>
      </c>
      <c r="J150" s="75" t="s">
        <v>634</v>
      </c>
      <c r="K150" s="74"/>
      <c r="L150" s="82">
        <v>0.32700000000000001</v>
      </c>
      <c r="M150" s="138">
        <v>0.249</v>
      </c>
      <c r="N150" s="138">
        <v>0.249</v>
      </c>
      <c r="O150" s="138">
        <v>0.249</v>
      </c>
      <c r="P150" s="138">
        <v>0.249</v>
      </c>
      <c r="Q150" s="138">
        <v>0.249</v>
      </c>
      <c r="R150" s="138">
        <v>0.249</v>
      </c>
      <c r="S150" s="138">
        <v>0.26</v>
      </c>
      <c r="T150" s="138">
        <v>0.26</v>
      </c>
      <c r="U150" s="138">
        <v>0.26</v>
      </c>
      <c r="V150" s="138">
        <v>0.26</v>
      </c>
      <c r="W150" s="138">
        <v>0.26</v>
      </c>
      <c r="X150" s="138">
        <v>0.26</v>
      </c>
      <c r="Y150" s="138">
        <f t="shared" si="123"/>
        <v>0.26</v>
      </c>
      <c r="Z150" s="138">
        <f t="shared" si="124"/>
        <v>0.26</v>
      </c>
      <c r="AA150" s="138">
        <f t="shared" si="125"/>
        <v>0.26</v>
      </c>
      <c r="AB150" s="138">
        <f t="shared" si="126"/>
        <v>0.26</v>
      </c>
      <c r="AC150" s="138">
        <f t="shared" si="127"/>
        <v>0.26</v>
      </c>
      <c r="AD150" s="138">
        <f t="shared" si="128"/>
        <v>0.26</v>
      </c>
      <c r="AE150" s="138">
        <f t="shared" si="129"/>
        <v>0.26</v>
      </c>
      <c r="AF150" s="138">
        <f t="shared" si="130"/>
        <v>0.26</v>
      </c>
      <c r="AG150" s="138">
        <f t="shared" si="131"/>
        <v>0.26</v>
      </c>
      <c r="AH150" s="138">
        <f t="shared" si="132"/>
        <v>0.26</v>
      </c>
      <c r="AI150" s="138">
        <f t="shared" si="133"/>
        <v>0.26</v>
      </c>
      <c r="AJ150" s="138">
        <f t="shared" si="134"/>
        <v>0.26</v>
      </c>
      <c r="AK150" s="138">
        <f t="shared" si="135"/>
        <v>0.26</v>
      </c>
      <c r="AL150" s="138">
        <f t="shared" si="136"/>
        <v>0.25999999999999995</v>
      </c>
      <c r="AM150" s="138">
        <f t="shared" si="137"/>
        <v>0.25770833333333321</v>
      </c>
      <c r="AO150" s="77" t="str">
        <f t="shared" si="94"/>
        <v>DS-4 (Large General Service)</v>
      </c>
      <c r="AP150" s="78" t="s">
        <v>642</v>
      </c>
      <c r="AQ150" s="77" t="str">
        <f t="shared" si="95"/>
        <v>Distribution Delivery Charges Rate Zone III &gt;100kV</v>
      </c>
      <c r="AR150" s="78" t="str">
        <f t="shared" si="96"/>
        <v>Billing Cycle</v>
      </c>
      <c r="AS150" s="79">
        <f t="shared" si="97"/>
        <v>6</v>
      </c>
      <c r="AT150" s="78">
        <f t="shared" si="98"/>
        <v>0</v>
      </c>
      <c r="AU150" s="78">
        <f t="shared" si="99"/>
        <v>0.249</v>
      </c>
      <c r="AV150" s="78">
        <f t="shared" si="100"/>
        <v>0.249</v>
      </c>
      <c r="AW150" s="78">
        <f t="shared" si="101"/>
        <v>0.249</v>
      </c>
      <c r="AX150" s="78">
        <f t="shared" si="102"/>
        <v>0.249</v>
      </c>
      <c r="AY150" s="78">
        <f t="shared" si="103"/>
        <v>0.249</v>
      </c>
      <c r="AZ150" s="78">
        <f t="shared" si="104"/>
        <v>0.249</v>
      </c>
      <c r="BA150" s="78">
        <f t="shared" si="105"/>
        <v>0.26</v>
      </c>
      <c r="BB150" s="78">
        <f t="shared" si="106"/>
        <v>0.26</v>
      </c>
      <c r="BC150" s="78">
        <f t="shared" si="107"/>
        <v>0.26</v>
      </c>
      <c r="BD150" s="78">
        <f t="shared" si="108"/>
        <v>0.26</v>
      </c>
      <c r="BE150" s="78">
        <f t="shared" si="109"/>
        <v>0.26</v>
      </c>
      <c r="BF150" s="78">
        <f t="shared" si="110"/>
        <v>0.26</v>
      </c>
      <c r="BG150" s="78">
        <f t="shared" si="111"/>
        <v>0.26</v>
      </c>
      <c r="BH150" s="78">
        <f t="shared" si="112"/>
        <v>0.26</v>
      </c>
      <c r="BI150" s="78">
        <f t="shared" si="113"/>
        <v>0.26</v>
      </c>
      <c r="BJ150" s="78">
        <f t="shared" si="114"/>
        <v>0.26</v>
      </c>
      <c r="BK150" s="78">
        <f t="shared" si="115"/>
        <v>0.26</v>
      </c>
      <c r="BL150" s="78">
        <f t="shared" si="116"/>
        <v>0.26</v>
      </c>
      <c r="BM150" s="78">
        <f t="shared" si="117"/>
        <v>0.26</v>
      </c>
      <c r="BN150" s="78">
        <f t="shared" si="118"/>
        <v>0.26</v>
      </c>
      <c r="BO150" s="78">
        <f t="shared" si="119"/>
        <v>0.26</v>
      </c>
      <c r="BP150" s="78">
        <f t="shared" si="120"/>
        <v>0.26</v>
      </c>
      <c r="BQ150" s="78">
        <f t="shared" si="121"/>
        <v>0.26</v>
      </c>
      <c r="BR150" s="78">
        <f t="shared" si="122"/>
        <v>0.26</v>
      </c>
      <c r="BS150" s="77"/>
      <c r="BT150" s="77"/>
    </row>
    <row r="151" spans="1:72" ht="14.1" customHeight="1" x14ac:dyDescent="0.2">
      <c r="A151" s="55" t="str">
        <f t="shared" si="93"/>
        <v>DS-4 (Large General Service)_Distribution Delivery Charges Rate Zone III High Voltage</v>
      </c>
      <c r="B151" s="80" t="s">
        <v>639</v>
      </c>
      <c r="C151" s="83" t="s">
        <v>756</v>
      </c>
      <c r="D151" s="150"/>
      <c r="E151" s="81"/>
      <c r="F151" s="73" t="s">
        <v>649</v>
      </c>
      <c r="G151" s="73">
        <v>0</v>
      </c>
      <c r="H151" s="73">
        <v>6</v>
      </c>
      <c r="I151" s="74" t="s">
        <v>641</v>
      </c>
      <c r="J151" s="75" t="s">
        <v>634</v>
      </c>
      <c r="K151" s="74"/>
      <c r="L151" s="82">
        <v>2.4489999999999998</v>
      </c>
      <c r="M151" s="138">
        <v>2.46</v>
      </c>
      <c r="N151" s="138">
        <v>2.46</v>
      </c>
      <c r="O151" s="138">
        <v>2.46</v>
      </c>
      <c r="P151" s="138">
        <v>2.46</v>
      </c>
      <c r="Q151" s="138">
        <v>2.46</v>
      </c>
      <c r="R151" s="138">
        <v>2.46</v>
      </c>
      <c r="S151" s="138">
        <v>2.569</v>
      </c>
      <c r="T151" s="138">
        <v>2.569</v>
      </c>
      <c r="U151" s="138">
        <v>2.569</v>
      </c>
      <c r="V151" s="138">
        <v>2.569</v>
      </c>
      <c r="W151" s="138">
        <v>2.569</v>
      </c>
      <c r="X151" s="138">
        <v>2.569</v>
      </c>
      <c r="Y151" s="138">
        <f t="shared" si="123"/>
        <v>2.569</v>
      </c>
      <c r="Z151" s="138">
        <f t="shared" si="124"/>
        <v>2.569</v>
      </c>
      <c r="AA151" s="138">
        <f t="shared" si="125"/>
        <v>2.569</v>
      </c>
      <c r="AB151" s="138">
        <f t="shared" si="126"/>
        <v>2.569</v>
      </c>
      <c r="AC151" s="138">
        <f t="shared" si="127"/>
        <v>2.569</v>
      </c>
      <c r="AD151" s="138">
        <f t="shared" si="128"/>
        <v>2.569</v>
      </c>
      <c r="AE151" s="138">
        <f t="shared" si="129"/>
        <v>2.569</v>
      </c>
      <c r="AF151" s="138">
        <f t="shared" si="130"/>
        <v>2.569</v>
      </c>
      <c r="AG151" s="138">
        <f t="shared" si="131"/>
        <v>2.569</v>
      </c>
      <c r="AH151" s="138">
        <f t="shared" si="132"/>
        <v>2.569</v>
      </c>
      <c r="AI151" s="138">
        <f t="shared" si="133"/>
        <v>2.569</v>
      </c>
      <c r="AJ151" s="138">
        <f t="shared" si="134"/>
        <v>2.569</v>
      </c>
      <c r="AK151" s="138">
        <f t="shared" si="135"/>
        <v>2.569</v>
      </c>
      <c r="AL151" s="138">
        <f t="shared" si="136"/>
        <v>2.5689999999999995</v>
      </c>
      <c r="AM151" s="138">
        <f t="shared" si="137"/>
        <v>2.5462916666666677</v>
      </c>
      <c r="AO151" s="77" t="str">
        <f t="shared" si="94"/>
        <v>DS-4 (Large General Service)</v>
      </c>
      <c r="AP151" s="78" t="s">
        <v>642</v>
      </c>
      <c r="AQ151" s="77" t="str">
        <f t="shared" si="95"/>
        <v>Distribution Delivery Charges Rate Zone III High Voltage</v>
      </c>
      <c r="AR151" s="78" t="str">
        <f t="shared" si="96"/>
        <v>Billing Cycle</v>
      </c>
      <c r="AS151" s="79">
        <f t="shared" si="97"/>
        <v>6</v>
      </c>
      <c r="AT151" s="78">
        <f t="shared" si="98"/>
        <v>2</v>
      </c>
      <c r="AU151" s="78">
        <f t="shared" si="99"/>
        <v>2.46</v>
      </c>
      <c r="AV151" s="78">
        <f t="shared" si="100"/>
        <v>2.46</v>
      </c>
      <c r="AW151" s="78">
        <f t="shared" si="101"/>
        <v>2.46</v>
      </c>
      <c r="AX151" s="78">
        <f t="shared" si="102"/>
        <v>2.46</v>
      </c>
      <c r="AY151" s="78">
        <f t="shared" si="103"/>
        <v>2.46</v>
      </c>
      <c r="AZ151" s="78">
        <f t="shared" si="104"/>
        <v>2.46</v>
      </c>
      <c r="BA151" s="78">
        <f t="shared" si="105"/>
        <v>2.569</v>
      </c>
      <c r="BB151" s="78">
        <f t="shared" si="106"/>
        <v>2.569</v>
      </c>
      <c r="BC151" s="78">
        <f t="shared" si="107"/>
        <v>2.569</v>
      </c>
      <c r="BD151" s="78">
        <f t="shared" si="108"/>
        <v>2.569</v>
      </c>
      <c r="BE151" s="78">
        <f t="shared" si="109"/>
        <v>2.569</v>
      </c>
      <c r="BF151" s="78">
        <f t="shared" si="110"/>
        <v>2.569</v>
      </c>
      <c r="BG151" s="78">
        <f t="shared" si="111"/>
        <v>2.569</v>
      </c>
      <c r="BH151" s="78">
        <f t="shared" si="112"/>
        <v>2.569</v>
      </c>
      <c r="BI151" s="78">
        <f t="shared" si="113"/>
        <v>2.569</v>
      </c>
      <c r="BJ151" s="78">
        <f t="shared" si="114"/>
        <v>2.569</v>
      </c>
      <c r="BK151" s="78">
        <f t="shared" si="115"/>
        <v>2.569</v>
      </c>
      <c r="BL151" s="78">
        <f t="shared" si="116"/>
        <v>2.569</v>
      </c>
      <c r="BM151" s="78">
        <f t="shared" si="117"/>
        <v>2.569</v>
      </c>
      <c r="BN151" s="78">
        <f t="shared" si="118"/>
        <v>2.569</v>
      </c>
      <c r="BO151" s="78">
        <f t="shared" si="119"/>
        <v>2.569</v>
      </c>
      <c r="BP151" s="78">
        <f t="shared" si="120"/>
        <v>2.569</v>
      </c>
      <c r="BQ151" s="78">
        <f t="shared" si="121"/>
        <v>2.569</v>
      </c>
      <c r="BR151" s="78">
        <f t="shared" si="122"/>
        <v>2.569</v>
      </c>
      <c r="BS151" s="77"/>
      <c r="BT151" s="77"/>
    </row>
    <row r="152" spans="1:72" ht="14.1" customHeight="1" x14ac:dyDescent="0.2">
      <c r="A152" s="55" t="str">
        <f t="shared" si="93"/>
        <v>DS-4 (Large General Service)_Distribution Delivery Charges Rate Zone III Primary</v>
      </c>
      <c r="B152" s="80" t="s">
        <v>639</v>
      </c>
      <c r="C152" s="83" t="s">
        <v>757</v>
      </c>
      <c r="D152" s="150"/>
      <c r="E152" s="81"/>
      <c r="F152" s="73" t="s">
        <v>649</v>
      </c>
      <c r="G152" s="73">
        <v>0</v>
      </c>
      <c r="H152" s="73">
        <v>6</v>
      </c>
      <c r="I152" s="74" t="s">
        <v>641</v>
      </c>
      <c r="J152" s="75" t="s">
        <v>634</v>
      </c>
      <c r="K152" s="74"/>
      <c r="L152" s="82">
        <v>8.2949999999999999</v>
      </c>
      <c r="M152" s="138">
        <v>8.6620000000000008</v>
      </c>
      <c r="N152" s="138">
        <v>8.6620000000000008</v>
      </c>
      <c r="O152" s="138">
        <v>8.6620000000000008</v>
      </c>
      <c r="P152" s="138">
        <v>8.6620000000000008</v>
      </c>
      <c r="Q152" s="138">
        <v>8.6620000000000008</v>
      </c>
      <c r="R152" s="138">
        <v>8.6620000000000008</v>
      </c>
      <c r="S152" s="138">
        <v>8.9890000000000008</v>
      </c>
      <c r="T152" s="138">
        <v>8.9890000000000008</v>
      </c>
      <c r="U152" s="138">
        <v>8.9890000000000008</v>
      </c>
      <c r="V152" s="138">
        <v>8.9890000000000008</v>
      </c>
      <c r="W152" s="138">
        <v>8.9890000000000008</v>
      </c>
      <c r="X152" s="138">
        <v>8.9890000000000008</v>
      </c>
      <c r="Y152" s="138">
        <f t="shared" si="123"/>
        <v>8.9890000000000008</v>
      </c>
      <c r="Z152" s="138">
        <f t="shared" si="124"/>
        <v>8.9890000000000008</v>
      </c>
      <c r="AA152" s="138">
        <f t="shared" si="125"/>
        <v>8.9890000000000008</v>
      </c>
      <c r="AB152" s="138">
        <f t="shared" si="126"/>
        <v>8.9890000000000008</v>
      </c>
      <c r="AC152" s="138">
        <f t="shared" si="127"/>
        <v>8.9890000000000008</v>
      </c>
      <c r="AD152" s="138">
        <f t="shared" si="128"/>
        <v>8.9890000000000008</v>
      </c>
      <c r="AE152" s="138">
        <f t="shared" si="129"/>
        <v>8.9890000000000008</v>
      </c>
      <c r="AF152" s="138">
        <f t="shared" si="130"/>
        <v>8.9890000000000008</v>
      </c>
      <c r="AG152" s="138">
        <f t="shared" si="131"/>
        <v>8.9890000000000008</v>
      </c>
      <c r="AH152" s="138">
        <f t="shared" si="132"/>
        <v>8.9890000000000008</v>
      </c>
      <c r="AI152" s="138">
        <f t="shared" si="133"/>
        <v>8.9890000000000008</v>
      </c>
      <c r="AJ152" s="138">
        <f t="shared" si="134"/>
        <v>8.9890000000000008</v>
      </c>
      <c r="AK152" s="138">
        <f t="shared" si="135"/>
        <v>8.9890000000000008</v>
      </c>
      <c r="AL152" s="138">
        <f t="shared" si="136"/>
        <v>8.9890000000000025</v>
      </c>
      <c r="AM152" s="138">
        <f t="shared" si="137"/>
        <v>8.9208750000000041</v>
      </c>
      <c r="AO152" s="77" t="str">
        <f t="shared" si="94"/>
        <v>DS-4 (Large General Service)</v>
      </c>
      <c r="AP152" s="78" t="s">
        <v>642</v>
      </c>
      <c r="AQ152" s="77" t="str">
        <f t="shared" si="95"/>
        <v>Distribution Delivery Charges Rate Zone III Primary</v>
      </c>
      <c r="AR152" s="78" t="str">
        <f t="shared" si="96"/>
        <v>Billing Cycle</v>
      </c>
      <c r="AS152" s="79">
        <f t="shared" si="97"/>
        <v>6</v>
      </c>
      <c r="AT152" s="78">
        <f t="shared" si="98"/>
        <v>8</v>
      </c>
      <c r="AU152" s="78">
        <f t="shared" si="99"/>
        <v>8.6620000000000008</v>
      </c>
      <c r="AV152" s="78">
        <f t="shared" si="100"/>
        <v>8.6620000000000008</v>
      </c>
      <c r="AW152" s="78">
        <f t="shared" si="101"/>
        <v>8.6620000000000008</v>
      </c>
      <c r="AX152" s="78">
        <f t="shared" si="102"/>
        <v>8.6620000000000008</v>
      </c>
      <c r="AY152" s="78">
        <f t="shared" si="103"/>
        <v>8.6620000000000008</v>
      </c>
      <c r="AZ152" s="78">
        <f t="shared" si="104"/>
        <v>8.6620000000000008</v>
      </c>
      <c r="BA152" s="78">
        <f t="shared" si="105"/>
        <v>8.9890000000000008</v>
      </c>
      <c r="BB152" s="78">
        <f t="shared" si="106"/>
        <v>8.9890000000000008</v>
      </c>
      <c r="BC152" s="78">
        <f t="shared" si="107"/>
        <v>8.9890000000000008</v>
      </c>
      <c r="BD152" s="78">
        <f t="shared" si="108"/>
        <v>8.9890000000000008</v>
      </c>
      <c r="BE152" s="78">
        <f t="shared" si="109"/>
        <v>8.9890000000000008</v>
      </c>
      <c r="BF152" s="78">
        <f t="shared" si="110"/>
        <v>8.9890000000000008</v>
      </c>
      <c r="BG152" s="78">
        <f t="shared" si="111"/>
        <v>8.9890000000000008</v>
      </c>
      <c r="BH152" s="78">
        <f t="shared" si="112"/>
        <v>8.9890000000000008</v>
      </c>
      <c r="BI152" s="78">
        <f t="shared" si="113"/>
        <v>8.9890000000000008</v>
      </c>
      <c r="BJ152" s="78">
        <f t="shared" si="114"/>
        <v>8.9890000000000008</v>
      </c>
      <c r="BK152" s="78">
        <f t="shared" si="115"/>
        <v>8.9890000000000008</v>
      </c>
      <c r="BL152" s="78">
        <f t="shared" si="116"/>
        <v>8.9890000000000008</v>
      </c>
      <c r="BM152" s="78">
        <f t="shared" si="117"/>
        <v>8.9890000000000008</v>
      </c>
      <c r="BN152" s="78">
        <f t="shared" si="118"/>
        <v>8.9890000000000008</v>
      </c>
      <c r="BO152" s="78">
        <f t="shared" si="119"/>
        <v>8.9890000000000008</v>
      </c>
      <c r="BP152" s="78">
        <f t="shared" si="120"/>
        <v>8.9890000000000008</v>
      </c>
      <c r="BQ152" s="78">
        <f t="shared" si="121"/>
        <v>8.9890000000000008</v>
      </c>
      <c r="BR152" s="78">
        <f t="shared" si="122"/>
        <v>8.9890000000000008</v>
      </c>
      <c r="BS152" s="77"/>
      <c r="BT152" s="77"/>
    </row>
    <row r="153" spans="1:72" ht="14.1" customHeight="1" x14ac:dyDescent="0.2">
      <c r="A153" s="55" t="str">
        <f t="shared" si="93"/>
        <v>DS-2 (Small General Service)_Distribution Delivery Non-Summer Charge &gt; 2000</v>
      </c>
      <c r="B153" s="80" t="s">
        <v>665</v>
      </c>
      <c r="C153" s="71" t="s">
        <v>758</v>
      </c>
      <c r="D153" s="150"/>
      <c r="E153" s="81"/>
      <c r="F153" s="73" t="s">
        <v>649</v>
      </c>
      <c r="G153" s="73">
        <v>0</v>
      </c>
      <c r="H153" s="73">
        <v>6</v>
      </c>
      <c r="I153" s="74" t="s">
        <v>641</v>
      </c>
      <c r="J153" s="75" t="s">
        <v>634</v>
      </c>
      <c r="K153" s="74"/>
      <c r="L153" s="82">
        <v>1.4930000000000001E-2</v>
      </c>
      <c r="M153" s="138">
        <v>1.516E-2</v>
      </c>
      <c r="N153" s="138">
        <v>1.516E-2</v>
      </c>
      <c r="O153" s="138">
        <v>1.516E-2</v>
      </c>
      <c r="P153" s="138">
        <v>1.516E-2</v>
      </c>
      <c r="Q153" s="138">
        <v>1.516E-2</v>
      </c>
      <c r="R153" s="138">
        <v>1.516E-2</v>
      </c>
      <c r="S153" s="138">
        <v>1.5689999999999999E-2</v>
      </c>
      <c r="T153" s="138">
        <v>1.5689999999999999E-2</v>
      </c>
      <c r="U153" s="138">
        <v>1.5689999999999999E-2</v>
      </c>
      <c r="V153" s="138">
        <v>1.5689999999999999E-2</v>
      </c>
      <c r="W153" s="138">
        <v>1.5689999999999999E-2</v>
      </c>
      <c r="X153" s="138">
        <v>1.5689999999999999E-2</v>
      </c>
      <c r="Y153" s="138">
        <f t="shared" si="123"/>
        <v>1.5689999999999999E-2</v>
      </c>
      <c r="Z153" s="138">
        <f t="shared" si="124"/>
        <v>1.5689999999999999E-2</v>
      </c>
      <c r="AA153" s="138">
        <f t="shared" si="125"/>
        <v>1.5689999999999999E-2</v>
      </c>
      <c r="AB153" s="138">
        <f t="shared" si="126"/>
        <v>1.5689999999999999E-2</v>
      </c>
      <c r="AC153" s="138">
        <f t="shared" si="127"/>
        <v>1.5689999999999999E-2</v>
      </c>
      <c r="AD153" s="138">
        <f t="shared" si="128"/>
        <v>1.5689999999999999E-2</v>
      </c>
      <c r="AE153" s="138">
        <f t="shared" si="129"/>
        <v>1.5689999999999999E-2</v>
      </c>
      <c r="AF153" s="138">
        <f t="shared" si="130"/>
        <v>1.5689999999999999E-2</v>
      </c>
      <c r="AG153" s="138">
        <f t="shared" si="131"/>
        <v>1.5689999999999999E-2</v>
      </c>
      <c r="AH153" s="138">
        <f t="shared" si="132"/>
        <v>1.5689999999999999E-2</v>
      </c>
      <c r="AI153" s="138">
        <f t="shared" si="133"/>
        <v>1.5689999999999999E-2</v>
      </c>
      <c r="AJ153" s="138">
        <f t="shared" si="134"/>
        <v>1.5689999999999999E-2</v>
      </c>
      <c r="AK153" s="138">
        <f t="shared" si="135"/>
        <v>1.5689999999999999E-2</v>
      </c>
      <c r="AL153" s="138">
        <f t="shared" si="136"/>
        <v>1.5690000000000003E-2</v>
      </c>
      <c r="AM153" s="138">
        <f t="shared" si="137"/>
        <v>1.5579583333333329E-2</v>
      </c>
      <c r="AO153" s="77" t="str">
        <f t="shared" si="94"/>
        <v>DS-2 (Small General Service)</v>
      </c>
      <c r="AP153" s="78" t="s">
        <v>664</v>
      </c>
      <c r="AQ153" s="77" t="str">
        <f t="shared" si="95"/>
        <v>Distribution Delivery Non-Summer Charge &gt; 2000</v>
      </c>
      <c r="AR153" s="78" t="str">
        <f t="shared" si="96"/>
        <v>Billing Cycle</v>
      </c>
      <c r="AS153" s="79">
        <f t="shared" si="97"/>
        <v>6</v>
      </c>
      <c r="AT153" s="78">
        <f t="shared" si="98"/>
        <v>0</v>
      </c>
      <c r="AU153" s="78">
        <f t="shared" si="99"/>
        <v>1.516E-2</v>
      </c>
      <c r="AV153" s="78">
        <f t="shared" si="100"/>
        <v>1.516E-2</v>
      </c>
      <c r="AW153" s="78">
        <f t="shared" si="101"/>
        <v>1.516E-2</v>
      </c>
      <c r="AX153" s="78">
        <f t="shared" si="102"/>
        <v>1.516E-2</v>
      </c>
      <c r="AY153" s="78">
        <f t="shared" si="103"/>
        <v>1.516E-2</v>
      </c>
      <c r="AZ153" s="78">
        <f t="shared" si="104"/>
        <v>1.516E-2</v>
      </c>
      <c r="BA153" s="78">
        <f t="shared" si="105"/>
        <v>1.5689999999999999E-2</v>
      </c>
      <c r="BB153" s="78">
        <f t="shared" si="106"/>
        <v>1.5689999999999999E-2</v>
      </c>
      <c r="BC153" s="78">
        <f t="shared" si="107"/>
        <v>1.5689999999999999E-2</v>
      </c>
      <c r="BD153" s="78">
        <f t="shared" si="108"/>
        <v>1.5689999999999999E-2</v>
      </c>
      <c r="BE153" s="78">
        <f t="shared" si="109"/>
        <v>1.5689999999999999E-2</v>
      </c>
      <c r="BF153" s="78">
        <f t="shared" si="110"/>
        <v>1.5689999999999999E-2</v>
      </c>
      <c r="BG153" s="78">
        <f t="shared" si="111"/>
        <v>1.5689999999999999E-2</v>
      </c>
      <c r="BH153" s="78">
        <f t="shared" si="112"/>
        <v>1.5689999999999999E-2</v>
      </c>
      <c r="BI153" s="78">
        <f t="shared" si="113"/>
        <v>1.5689999999999999E-2</v>
      </c>
      <c r="BJ153" s="78">
        <f t="shared" si="114"/>
        <v>1.5689999999999999E-2</v>
      </c>
      <c r="BK153" s="78">
        <f t="shared" si="115"/>
        <v>1.5689999999999999E-2</v>
      </c>
      <c r="BL153" s="78">
        <f t="shared" si="116"/>
        <v>1.5689999999999999E-2</v>
      </c>
      <c r="BM153" s="78">
        <f t="shared" si="117"/>
        <v>1.5689999999999999E-2</v>
      </c>
      <c r="BN153" s="78">
        <f t="shared" si="118"/>
        <v>1.5689999999999999E-2</v>
      </c>
      <c r="BO153" s="78">
        <f t="shared" si="119"/>
        <v>1.5689999999999999E-2</v>
      </c>
      <c r="BP153" s="78">
        <f t="shared" si="120"/>
        <v>1.5689999999999999E-2</v>
      </c>
      <c r="BQ153" s="78">
        <f t="shared" si="121"/>
        <v>1.5689999999999999E-2</v>
      </c>
      <c r="BR153" s="78">
        <f t="shared" si="122"/>
        <v>1.5689999999999999E-2</v>
      </c>
      <c r="BS153" s="77"/>
      <c r="BT153" s="77"/>
    </row>
    <row r="154" spans="1:72" ht="14.1" customHeight="1" x14ac:dyDescent="0.2">
      <c r="A154" s="55" t="str">
        <f t="shared" si="93"/>
        <v>DS-2 (Small General Service)_Distribution Delivery Non-Summer Charge 0-2000</v>
      </c>
      <c r="B154" s="80" t="s">
        <v>665</v>
      </c>
      <c r="C154" s="71" t="s">
        <v>759</v>
      </c>
      <c r="D154" s="150"/>
      <c r="E154" s="81"/>
      <c r="F154" s="73" t="s">
        <v>649</v>
      </c>
      <c r="G154" s="73">
        <v>0</v>
      </c>
      <c r="H154" s="73">
        <v>6</v>
      </c>
      <c r="I154" s="74" t="s">
        <v>641</v>
      </c>
      <c r="J154" s="75" t="s">
        <v>634</v>
      </c>
      <c r="K154" s="74"/>
      <c r="L154" s="82">
        <v>2.9149999999999999E-2</v>
      </c>
      <c r="M154" s="138">
        <v>2.9590000000000002E-2</v>
      </c>
      <c r="N154" s="138">
        <v>2.9590000000000002E-2</v>
      </c>
      <c r="O154" s="138">
        <v>2.9590000000000002E-2</v>
      </c>
      <c r="P154" s="138">
        <v>2.9590000000000002E-2</v>
      </c>
      <c r="Q154" s="138">
        <v>2.9590000000000002E-2</v>
      </c>
      <c r="R154" s="138">
        <v>2.9590000000000002E-2</v>
      </c>
      <c r="S154" s="138">
        <v>3.0630000000000001E-2</v>
      </c>
      <c r="T154" s="138">
        <v>3.0630000000000001E-2</v>
      </c>
      <c r="U154" s="138">
        <v>3.0630000000000001E-2</v>
      </c>
      <c r="V154" s="138">
        <v>3.0630000000000001E-2</v>
      </c>
      <c r="W154" s="138">
        <v>3.0630000000000001E-2</v>
      </c>
      <c r="X154" s="138">
        <v>3.0630000000000001E-2</v>
      </c>
      <c r="Y154" s="138">
        <f t="shared" si="123"/>
        <v>3.0630000000000001E-2</v>
      </c>
      <c r="Z154" s="138">
        <f t="shared" si="124"/>
        <v>3.0630000000000001E-2</v>
      </c>
      <c r="AA154" s="138">
        <f t="shared" si="125"/>
        <v>3.0630000000000001E-2</v>
      </c>
      <c r="AB154" s="138">
        <f t="shared" si="126"/>
        <v>3.0630000000000001E-2</v>
      </c>
      <c r="AC154" s="138">
        <f t="shared" si="127"/>
        <v>3.0630000000000001E-2</v>
      </c>
      <c r="AD154" s="138">
        <f t="shared" si="128"/>
        <v>3.0630000000000001E-2</v>
      </c>
      <c r="AE154" s="138">
        <f t="shared" si="129"/>
        <v>3.0630000000000001E-2</v>
      </c>
      <c r="AF154" s="138">
        <f t="shared" si="130"/>
        <v>3.0630000000000001E-2</v>
      </c>
      <c r="AG154" s="138">
        <f t="shared" si="131"/>
        <v>3.0630000000000001E-2</v>
      </c>
      <c r="AH154" s="138">
        <f t="shared" si="132"/>
        <v>3.0630000000000001E-2</v>
      </c>
      <c r="AI154" s="138">
        <f t="shared" si="133"/>
        <v>3.0630000000000001E-2</v>
      </c>
      <c r="AJ154" s="138">
        <f t="shared" si="134"/>
        <v>3.0630000000000001E-2</v>
      </c>
      <c r="AK154" s="138">
        <f t="shared" si="135"/>
        <v>3.0630000000000001E-2</v>
      </c>
      <c r="AL154" s="138">
        <f t="shared" si="136"/>
        <v>3.0629999999999994E-2</v>
      </c>
      <c r="AM154" s="138">
        <f t="shared" si="137"/>
        <v>3.0413333333333344E-2</v>
      </c>
      <c r="AO154" s="77" t="str">
        <f t="shared" si="94"/>
        <v>DS-2 (Small General Service)</v>
      </c>
      <c r="AP154" s="78" t="s">
        <v>664</v>
      </c>
      <c r="AQ154" s="77" t="str">
        <f t="shared" si="95"/>
        <v>Distribution Delivery Non-Summer Charge 0-2000</v>
      </c>
      <c r="AR154" s="78" t="str">
        <f t="shared" si="96"/>
        <v>Billing Cycle</v>
      </c>
      <c r="AS154" s="79">
        <f t="shared" si="97"/>
        <v>6</v>
      </c>
      <c r="AT154" s="78">
        <f t="shared" si="98"/>
        <v>0</v>
      </c>
      <c r="AU154" s="78">
        <f t="shared" si="99"/>
        <v>2.9590000000000002E-2</v>
      </c>
      <c r="AV154" s="78">
        <f t="shared" si="100"/>
        <v>2.9590000000000002E-2</v>
      </c>
      <c r="AW154" s="78">
        <f t="shared" si="101"/>
        <v>2.9590000000000002E-2</v>
      </c>
      <c r="AX154" s="78">
        <f t="shared" si="102"/>
        <v>2.9590000000000002E-2</v>
      </c>
      <c r="AY154" s="78">
        <f t="shared" si="103"/>
        <v>2.9590000000000002E-2</v>
      </c>
      <c r="AZ154" s="78">
        <f t="shared" si="104"/>
        <v>2.9590000000000002E-2</v>
      </c>
      <c r="BA154" s="78">
        <f t="shared" si="105"/>
        <v>3.0630000000000001E-2</v>
      </c>
      <c r="BB154" s="78">
        <f t="shared" si="106"/>
        <v>3.0630000000000001E-2</v>
      </c>
      <c r="BC154" s="78">
        <f t="shared" si="107"/>
        <v>3.0630000000000001E-2</v>
      </c>
      <c r="BD154" s="78">
        <f t="shared" si="108"/>
        <v>3.0630000000000001E-2</v>
      </c>
      <c r="BE154" s="78">
        <f t="shared" si="109"/>
        <v>3.0630000000000001E-2</v>
      </c>
      <c r="BF154" s="78">
        <f t="shared" si="110"/>
        <v>3.0630000000000001E-2</v>
      </c>
      <c r="BG154" s="78">
        <f t="shared" si="111"/>
        <v>3.0630000000000001E-2</v>
      </c>
      <c r="BH154" s="78">
        <f t="shared" si="112"/>
        <v>3.0630000000000001E-2</v>
      </c>
      <c r="BI154" s="78">
        <f t="shared" si="113"/>
        <v>3.0630000000000001E-2</v>
      </c>
      <c r="BJ154" s="78">
        <f t="shared" si="114"/>
        <v>3.0630000000000001E-2</v>
      </c>
      <c r="BK154" s="78">
        <f t="shared" si="115"/>
        <v>3.0630000000000001E-2</v>
      </c>
      <c r="BL154" s="78">
        <f t="shared" si="116"/>
        <v>3.0630000000000001E-2</v>
      </c>
      <c r="BM154" s="78">
        <f t="shared" si="117"/>
        <v>3.0630000000000001E-2</v>
      </c>
      <c r="BN154" s="78">
        <f t="shared" si="118"/>
        <v>3.0630000000000001E-2</v>
      </c>
      <c r="BO154" s="78">
        <f t="shared" si="119"/>
        <v>3.0630000000000001E-2</v>
      </c>
      <c r="BP154" s="78">
        <f t="shared" si="120"/>
        <v>3.0630000000000001E-2</v>
      </c>
      <c r="BQ154" s="78">
        <f t="shared" si="121"/>
        <v>3.0630000000000001E-2</v>
      </c>
      <c r="BR154" s="78">
        <f t="shared" si="122"/>
        <v>3.0630000000000001E-2</v>
      </c>
      <c r="BS154" s="77"/>
      <c r="BT154" s="77"/>
    </row>
    <row r="155" spans="1:72" ht="14.1" customHeight="1" x14ac:dyDescent="0.2">
      <c r="A155" s="55" t="str">
        <f t="shared" si="93"/>
        <v>DS-1 (Residential)_EDT Cost Recovery Rate Zone I</v>
      </c>
      <c r="B155" s="80" t="s">
        <v>90</v>
      </c>
      <c r="C155" s="71" t="s">
        <v>760</v>
      </c>
      <c r="D155" s="150" t="s">
        <v>567</v>
      </c>
      <c r="E155" s="81"/>
      <c r="F155" s="73" t="s">
        <v>649</v>
      </c>
      <c r="G155" s="73">
        <v>0</v>
      </c>
      <c r="H155" s="73">
        <v>8</v>
      </c>
      <c r="I155" s="74" t="s">
        <v>641</v>
      </c>
      <c r="J155" s="75" t="s">
        <v>634</v>
      </c>
      <c r="K155" s="74"/>
      <c r="L155" s="82">
        <v>1.3374999999999999E-3</v>
      </c>
      <c r="M155" s="138">
        <v>1.2531E-3</v>
      </c>
      <c r="N155" s="138">
        <v>1.2531E-3</v>
      </c>
      <c r="O155" s="138">
        <v>1.2531E-3</v>
      </c>
      <c r="P155" s="138">
        <v>1.2531E-3</v>
      </c>
      <c r="Q155" s="138">
        <v>1.2531E-3</v>
      </c>
      <c r="R155" s="138">
        <v>1.2531E-3</v>
      </c>
      <c r="S155" s="138">
        <v>1.2531E-3</v>
      </c>
      <c r="T155" s="138">
        <v>1.2531E-3</v>
      </c>
      <c r="U155" s="138">
        <v>1.2531E-3</v>
      </c>
      <c r="V155" s="138">
        <v>1.2531E-3</v>
      </c>
      <c r="W155" s="138">
        <v>1.2531E-3</v>
      </c>
      <c r="X155" s="138">
        <v>1.2531E-3</v>
      </c>
      <c r="Y155" s="138">
        <f t="shared" si="123"/>
        <v>1.2531E-3</v>
      </c>
      <c r="Z155" s="138">
        <f t="shared" si="124"/>
        <v>1.2531E-3</v>
      </c>
      <c r="AA155" s="138">
        <f t="shared" si="125"/>
        <v>1.2531E-3</v>
      </c>
      <c r="AB155" s="138">
        <f t="shared" si="126"/>
        <v>1.2531E-3</v>
      </c>
      <c r="AC155" s="138">
        <f t="shared" si="127"/>
        <v>1.2531E-3</v>
      </c>
      <c r="AD155" s="138">
        <f t="shared" si="128"/>
        <v>1.2531E-3</v>
      </c>
      <c r="AE155" s="138">
        <f t="shared" si="129"/>
        <v>1.2531E-3</v>
      </c>
      <c r="AF155" s="138">
        <f t="shared" si="130"/>
        <v>1.2531E-3</v>
      </c>
      <c r="AG155" s="138">
        <f t="shared" si="131"/>
        <v>1.2531E-3</v>
      </c>
      <c r="AH155" s="138">
        <f t="shared" si="132"/>
        <v>1.2531E-3</v>
      </c>
      <c r="AI155" s="138">
        <f t="shared" si="133"/>
        <v>1.2531E-3</v>
      </c>
      <c r="AJ155" s="138">
        <f t="shared" si="134"/>
        <v>1.2531E-3</v>
      </c>
      <c r="AK155" s="138">
        <f t="shared" si="135"/>
        <v>1.2531E-3</v>
      </c>
      <c r="AL155" s="138">
        <f t="shared" si="136"/>
        <v>1.2531E-3</v>
      </c>
      <c r="AM155" s="138">
        <f t="shared" si="137"/>
        <v>1.2531E-3</v>
      </c>
      <c r="AO155" s="77" t="str">
        <f t="shared" si="94"/>
        <v>DS-1 (Residential)</v>
      </c>
      <c r="AP155" s="78" t="s">
        <v>662</v>
      </c>
      <c r="AQ155" s="77" t="str">
        <f t="shared" si="95"/>
        <v>EDT Cost Recovery Rate Zone I</v>
      </c>
      <c r="AR155" s="78" t="str">
        <f t="shared" si="96"/>
        <v>Billing Cycle</v>
      </c>
      <c r="AS155" s="79">
        <f t="shared" si="97"/>
        <v>8</v>
      </c>
      <c r="AT155" s="78">
        <f t="shared" si="98"/>
        <v>0</v>
      </c>
      <c r="AU155" s="78">
        <f t="shared" si="99"/>
        <v>1.2531E-3</v>
      </c>
      <c r="AV155" s="78">
        <f t="shared" si="100"/>
        <v>1.2531E-3</v>
      </c>
      <c r="AW155" s="78">
        <f t="shared" si="101"/>
        <v>1.2531E-3</v>
      </c>
      <c r="AX155" s="78">
        <f t="shared" si="102"/>
        <v>1.2531E-3</v>
      </c>
      <c r="AY155" s="78">
        <f t="shared" si="103"/>
        <v>1.2531E-3</v>
      </c>
      <c r="AZ155" s="78">
        <f t="shared" si="104"/>
        <v>1.2531E-3</v>
      </c>
      <c r="BA155" s="78">
        <f t="shared" si="105"/>
        <v>1.2531E-3</v>
      </c>
      <c r="BB155" s="78">
        <f t="shared" si="106"/>
        <v>1.2531E-3</v>
      </c>
      <c r="BC155" s="78">
        <f t="shared" si="107"/>
        <v>1.2531E-3</v>
      </c>
      <c r="BD155" s="78">
        <f t="shared" si="108"/>
        <v>1.2531E-3</v>
      </c>
      <c r="BE155" s="78">
        <f t="shared" si="109"/>
        <v>1.2531E-3</v>
      </c>
      <c r="BF155" s="78">
        <f t="shared" si="110"/>
        <v>1.2531E-3</v>
      </c>
      <c r="BG155" s="78">
        <f t="shared" si="111"/>
        <v>1.2531E-3</v>
      </c>
      <c r="BH155" s="78">
        <f t="shared" si="112"/>
        <v>1.2531E-3</v>
      </c>
      <c r="BI155" s="78">
        <f t="shared" si="113"/>
        <v>1.2531E-3</v>
      </c>
      <c r="BJ155" s="78">
        <f t="shared" si="114"/>
        <v>1.2531E-3</v>
      </c>
      <c r="BK155" s="78">
        <f t="shared" si="115"/>
        <v>1.2531E-3</v>
      </c>
      <c r="BL155" s="78">
        <f t="shared" si="116"/>
        <v>1.2531E-3</v>
      </c>
      <c r="BM155" s="78">
        <f t="shared" si="117"/>
        <v>1.2531E-3</v>
      </c>
      <c r="BN155" s="78">
        <f t="shared" si="118"/>
        <v>1.2531E-3</v>
      </c>
      <c r="BO155" s="78">
        <f t="shared" si="119"/>
        <v>1.2531E-3</v>
      </c>
      <c r="BP155" s="78">
        <f t="shared" si="120"/>
        <v>1.2531E-3</v>
      </c>
      <c r="BQ155" s="78">
        <f t="shared" si="121"/>
        <v>1.2531E-3</v>
      </c>
      <c r="BR155" s="78">
        <f t="shared" si="122"/>
        <v>1.2531E-3</v>
      </c>
      <c r="BS155" s="77"/>
      <c r="BT155" s="77"/>
    </row>
    <row r="156" spans="1:72" ht="14.1" customHeight="1" x14ac:dyDescent="0.2">
      <c r="A156" s="55" t="str">
        <f t="shared" si="93"/>
        <v>DS-2 (Small General Service)_EDT Cost Recovery Rate Zone I</v>
      </c>
      <c r="B156" s="80" t="s">
        <v>665</v>
      </c>
      <c r="C156" s="71" t="s">
        <v>760</v>
      </c>
      <c r="D156" s="150"/>
      <c r="E156" s="81"/>
      <c r="F156" s="73" t="s">
        <v>649</v>
      </c>
      <c r="G156" s="73">
        <v>0</v>
      </c>
      <c r="H156" s="73">
        <v>8</v>
      </c>
      <c r="I156" s="74" t="s">
        <v>641</v>
      </c>
      <c r="J156" s="75" t="s">
        <v>634</v>
      </c>
      <c r="K156" s="74"/>
      <c r="L156" s="82">
        <v>1.3374999999999999E-3</v>
      </c>
      <c r="M156" s="138">
        <v>1.2531E-3</v>
      </c>
      <c r="N156" s="138">
        <v>1.2531E-3</v>
      </c>
      <c r="O156" s="138">
        <v>1.2531E-3</v>
      </c>
      <c r="P156" s="138">
        <v>1.2531E-3</v>
      </c>
      <c r="Q156" s="138">
        <v>1.2531E-3</v>
      </c>
      <c r="R156" s="138">
        <v>1.2531E-3</v>
      </c>
      <c r="S156" s="138">
        <v>1.2531E-3</v>
      </c>
      <c r="T156" s="138">
        <v>1.2531E-3</v>
      </c>
      <c r="U156" s="138">
        <v>1.2531E-3</v>
      </c>
      <c r="V156" s="138">
        <v>1.2531E-3</v>
      </c>
      <c r="W156" s="138">
        <v>1.2531E-3</v>
      </c>
      <c r="X156" s="138">
        <v>1.2531E-3</v>
      </c>
      <c r="Y156" s="138">
        <f t="shared" si="123"/>
        <v>1.2531E-3</v>
      </c>
      <c r="Z156" s="138">
        <f t="shared" si="124"/>
        <v>1.2531E-3</v>
      </c>
      <c r="AA156" s="138">
        <f t="shared" si="125"/>
        <v>1.2531E-3</v>
      </c>
      <c r="AB156" s="138">
        <f t="shared" si="126"/>
        <v>1.2531E-3</v>
      </c>
      <c r="AC156" s="138">
        <f t="shared" si="127"/>
        <v>1.2531E-3</v>
      </c>
      <c r="AD156" s="138">
        <f t="shared" si="128"/>
        <v>1.2531E-3</v>
      </c>
      <c r="AE156" s="138">
        <f t="shared" si="129"/>
        <v>1.2531E-3</v>
      </c>
      <c r="AF156" s="138">
        <f t="shared" si="130"/>
        <v>1.2531E-3</v>
      </c>
      <c r="AG156" s="138">
        <f t="shared" si="131"/>
        <v>1.2531E-3</v>
      </c>
      <c r="AH156" s="138">
        <f t="shared" si="132"/>
        <v>1.2531E-3</v>
      </c>
      <c r="AI156" s="138">
        <f t="shared" si="133"/>
        <v>1.2531E-3</v>
      </c>
      <c r="AJ156" s="138">
        <f t="shared" si="134"/>
        <v>1.2531E-3</v>
      </c>
      <c r="AK156" s="138">
        <f t="shared" si="135"/>
        <v>1.2531E-3</v>
      </c>
      <c r="AL156" s="138">
        <f t="shared" si="136"/>
        <v>1.2531E-3</v>
      </c>
      <c r="AM156" s="138">
        <f t="shared" si="137"/>
        <v>1.2531E-3</v>
      </c>
      <c r="AO156" s="77" t="str">
        <f t="shared" si="94"/>
        <v>DS-2 (Small General Service)</v>
      </c>
      <c r="AP156" s="78" t="s">
        <v>664</v>
      </c>
      <c r="AQ156" s="77" t="str">
        <f t="shared" si="95"/>
        <v>EDT Cost Recovery Rate Zone I</v>
      </c>
      <c r="AR156" s="78" t="str">
        <f t="shared" si="96"/>
        <v>Billing Cycle</v>
      </c>
      <c r="AS156" s="79">
        <f t="shared" si="97"/>
        <v>8</v>
      </c>
      <c r="AT156" s="78">
        <f t="shared" si="98"/>
        <v>0</v>
      </c>
      <c r="AU156" s="78">
        <f t="shared" si="99"/>
        <v>1.2531E-3</v>
      </c>
      <c r="AV156" s="78">
        <f t="shared" si="100"/>
        <v>1.2531E-3</v>
      </c>
      <c r="AW156" s="78">
        <f t="shared" si="101"/>
        <v>1.2531E-3</v>
      </c>
      <c r="AX156" s="78">
        <f t="shared" si="102"/>
        <v>1.2531E-3</v>
      </c>
      <c r="AY156" s="78">
        <f t="shared" si="103"/>
        <v>1.2531E-3</v>
      </c>
      <c r="AZ156" s="78">
        <f t="shared" si="104"/>
        <v>1.2531E-3</v>
      </c>
      <c r="BA156" s="78">
        <f t="shared" si="105"/>
        <v>1.2531E-3</v>
      </c>
      <c r="BB156" s="78">
        <f t="shared" si="106"/>
        <v>1.2531E-3</v>
      </c>
      <c r="BC156" s="78">
        <f t="shared" si="107"/>
        <v>1.2531E-3</v>
      </c>
      <c r="BD156" s="78">
        <f t="shared" si="108"/>
        <v>1.2531E-3</v>
      </c>
      <c r="BE156" s="78">
        <f t="shared" si="109"/>
        <v>1.2531E-3</v>
      </c>
      <c r="BF156" s="78">
        <f t="shared" si="110"/>
        <v>1.2531E-3</v>
      </c>
      <c r="BG156" s="78">
        <f t="shared" si="111"/>
        <v>1.2531E-3</v>
      </c>
      <c r="BH156" s="78">
        <f t="shared" si="112"/>
        <v>1.2531E-3</v>
      </c>
      <c r="BI156" s="78">
        <f t="shared" si="113"/>
        <v>1.2531E-3</v>
      </c>
      <c r="BJ156" s="78">
        <f t="shared" si="114"/>
        <v>1.2531E-3</v>
      </c>
      <c r="BK156" s="78">
        <f t="shared" si="115"/>
        <v>1.2531E-3</v>
      </c>
      <c r="BL156" s="78">
        <f t="shared" si="116"/>
        <v>1.2531E-3</v>
      </c>
      <c r="BM156" s="78">
        <f t="shared" si="117"/>
        <v>1.2531E-3</v>
      </c>
      <c r="BN156" s="78">
        <f t="shared" si="118"/>
        <v>1.2531E-3</v>
      </c>
      <c r="BO156" s="78">
        <f t="shared" si="119"/>
        <v>1.2531E-3</v>
      </c>
      <c r="BP156" s="78">
        <f t="shared" si="120"/>
        <v>1.2531E-3</v>
      </c>
      <c r="BQ156" s="78">
        <f t="shared" si="121"/>
        <v>1.2531E-3</v>
      </c>
      <c r="BR156" s="78">
        <f t="shared" si="122"/>
        <v>1.2531E-3</v>
      </c>
      <c r="BS156" s="77"/>
      <c r="BT156" s="77"/>
    </row>
    <row r="157" spans="1:72" ht="14.1" customHeight="1" x14ac:dyDescent="0.2">
      <c r="A157" s="55" t="str">
        <f t="shared" si="93"/>
        <v>DS-3 (General Delivery Service)_EDT Cost Recovery Rate Zone I</v>
      </c>
      <c r="B157" s="80" t="s">
        <v>666</v>
      </c>
      <c r="C157" s="71" t="s">
        <v>760</v>
      </c>
      <c r="D157" s="150"/>
      <c r="E157" s="81"/>
      <c r="F157" s="73" t="s">
        <v>649</v>
      </c>
      <c r="G157" s="73">
        <v>0</v>
      </c>
      <c r="H157" s="73">
        <v>8</v>
      </c>
      <c r="I157" s="74" t="s">
        <v>641</v>
      </c>
      <c r="J157" s="75" t="s">
        <v>634</v>
      </c>
      <c r="K157" s="74"/>
      <c r="L157" s="82">
        <v>1.3374999999999999E-3</v>
      </c>
      <c r="M157" s="138">
        <v>1.2531E-3</v>
      </c>
      <c r="N157" s="138">
        <v>1.2531E-3</v>
      </c>
      <c r="O157" s="138">
        <v>1.2531E-3</v>
      </c>
      <c r="P157" s="138">
        <v>1.2531E-3</v>
      </c>
      <c r="Q157" s="138">
        <v>1.2531E-3</v>
      </c>
      <c r="R157" s="138">
        <v>1.2531E-3</v>
      </c>
      <c r="S157" s="138">
        <v>1.2531E-3</v>
      </c>
      <c r="T157" s="138">
        <v>1.2531E-3</v>
      </c>
      <c r="U157" s="138">
        <v>1.2531E-3</v>
      </c>
      <c r="V157" s="138">
        <v>1.2531E-3</v>
      </c>
      <c r="W157" s="138">
        <v>1.2531E-3</v>
      </c>
      <c r="X157" s="138">
        <v>1.2531E-3</v>
      </c>
      <c r="Y157" s="138">
        <f t="shared" si="123"/>
        <v>1.2531E-3</v>
      </c>
      <c r="Z157" s="138">
        <f t="shared" si="124"/>
        <v>1.2531E-3</v>
      </c>
      <c r="AA157" s="138">
        <f t="shared" si="125"/>
        <v>1.2531E-3</v>
      </c>
      <c r="AB157" s="138">
        <f t="shared" si="126"/>
        <v>1.2531E-3</v>
      </c>
      <c r="AC157" s="138">
        <f t="shared" si="127"/>
        <v>1.2531E-3</v>
      </c>
      <c r="AD157" s="138">
        <f t="shared" si="128"/>
        <v>1.2531E-3</v>
      </c>
      <c r="AE157" s="138">
        <f t="shared" si="129"/>
        <v>1.2531E-3</v>
      </c>
      <c r="AF157" s="138">
        <f t="shared" si="130"/>
        <v>1.2531E-3</v>
      </c>
      <c r="AG157" s="138">
        <f t="shared" si="131"/>
        <v>1.2531E-3</v>
      </c>
      <c r="AH157" s="138">
        <f t="shared" si="132"/>
        <v>1.2531E-3</v>
      </c>
      <c r="AI157" s="138">
        <f t="shared" si="133"/>
        <v>1.2531E-3</v>
      </c>
      <c r="AJ157" s="138">
        <f t="shared" si="134"/>
        <v>1.2531E-3</v>
      </c>
      <c r="AK157" s="138">
        <f t="shared" si="135"/>
        <v>1.2531E-3</v>
      </c>
      <c r="AL157" s="138">
        <f t="shared" si="136"/>
        <v>1.2531E-3</v>
      </c>
      <c r="AM157" s="138">
        <f t="shared" si="137"/>
        <v>1.2531E-3</v>
      </c>
      <c r="AO157" s="77" t="str">
        <f t="shared" si="94"/>
        <v>DS-3 (General Delivery Service)</v>
      </c>
      <c r="AP157" s="78" t="s">
        <v>667</v>
      </c>
      <c r="AQ157" s="77" t="str">
        <f t="shared" si="95"/>
        <v>EDT Cost Recovery Rate Zone I</v>
      </c>
      <c r="AR157" s="78" t="str">
        <f t="shared" si="96"/>
        <v>Billing Cycle</v>
      </c>
      <c r="AS157" s="79">
        <f t="shared" si="97"/>
        <v>8</v>
      </c>
      <c r="AT157" s="78">
        <f t="shared" si="98"/>
        <v>0</v>
      </c>
      <c r="AU157" s="78">
        <f t="shared" si="99"/>
        <v>1.2531E-3</v>
      </c>
      <c r="AV157" s="78">
        <f t="shared" si="100"/>
        <v>1.2531E-3</v>
      </c>
      <c r="AW157" s="78">
        <f t="shared" si="101"/>
        <v>1.2531E-3</v>
      </c>
      <c r="AX157" s="78">
        <f t="shared" si="102"/>
        <v>1.2531E-3</v>
      </c>
      <c r="AY157" s="78">
        <f t="shared" si="103"/>
        <v>1.2531E-3</v>
      </c>
      <c r="AZ157" s="78">
        <f t="shared" si="104"/>
        <v>1.2531E-3</v>
      </c>
      <c r="BA157" s="78">
        <f t="shared" si="105"/>
        <v>1.2531E-3</v>
      </c>
      <c r="BB157" s="78">
        <f t="shared" si="106"/>
        <v>1.2531E-3</v>
      </c>
      <c r="BC157" s="78">
        <f t="shared" si="107"/>
        <v>1.2531E-3</v>
      </c>
      <c r="BD157" s="78">
        <f t="shared" si="108"/>
        <v>1.2531E-3</v>
      </c>
      <c r="BE157" s="78">
        <f t="shared" si="109"/>
        <v>1.2531E-3</v>
      </c>
      <c r="BF157" s="78">
        <f t="shared" si="110"/>
        <v>1.2531E-3</v>
      </c>
      <c r="BG157" s="78">
        <f t="shared" si="111"/>
        <v>1.2531E-3</v>
      </c>
      <c r="BH157" s="78">
        <f t="shared" si="112"/>
        <v>1.2531E-3</v>
      </c>
      <c r="BI157" s="78">
        <f t="shared" si="113"/>
        <v>1.2531E-3</v>
      </c>
      <c r="BJ157" s="78">
        <f t="shared" si="114"/>
        <v>1.2531E-3</v>
      </c>
      <c r="BK157" s="78">
        <f t="shared" si="115"/>
        <v>1.2531E-3</v>
      </c>
      <c r="BL157" s="78">
        <f t="shared" si="116"/>
        <v>1.2531E-3</v>
      </c>
      <c r="BM157" s="78">
        <f t="shared" si="117"/>
        <v>1.2531E-3</v>
      </c>
      <c r="BN157" s="78">
        <f t="shared" si="118"/>
        <v>1.2531E-3</v>
      </c>
      <c r="BO157" s="78">
        <f t="shared" si="119"/>
        <v>1.2531E-3</v>
      </c>
      <c r="BP157" s="78">
        <f t="shared" si="120"/>
        <v>1.2531E-3</v>
      </c>
      <c r="BQ157" s="78">
        <f t="shared" si="121"/>
        <v>1.2531E-3</v>
      </c>
      <c r="BR157" s="78">
        <f t="shared" si="122"/>
        <v>1.2531E-3</v>
      </c>
      <c r="BS157" s="77"/>
      <c r="BT157" s="77"/>
    </row>
    <row r="158" spans="1:72" ht="14.1" customHeight="1" x14ac:dyDescent="0.2">
      <c r="A158" s="55" t="str">
        <f t="shared" si="93"/>
        <v>DS-5 (Lighting Service)_EDT Cost Recovery Rate Zone I</v>
      </c>
      <c r="B158" s="80" t="s">
        <v>647</v>
      </c>
      <c r="C158" s="71" t="s">
        <v>760</v>
      </c>
      <c r="D158" s="150"/>
      <c r="E158" s="81"/>
      <c r="F158" s="73" t="s">
        <v>649</v>
      </c>
      <c r="G158" s="73">
        <v>0</v>
      </c>
      <c r="H158" s="73">
        <v>8</v>
      </c>
      <c r="I158" s="74" t="s">
        <v>641</v>
      </c>
      <c r="J158" s="75" t="s">
        <v>634</v>
      </c>
      <c r="K158" s="74"/>
      <c r="L158" s="82">
        <v>1.3374999999999999E-3</v>
      </c>
      <c r="M158" s="138">
        <v>1.2531E-3</v>
      </c>
      <c r="N158" s="138">
        <v>1.2531E-3</v>
      </c>
      <c r="O158" s="138">
        <v>1.2531E-3</v>
      </c>
      <c r="P158" s="138">
        <v>1.2531E-3</v>
      </c>
      <c r="Q158" s="138">
        <v>1.2531E-3</v>
      </c>
      <c r="R158" s="138">
        <v>1.2531E-3</v>
      </c>
      <c r="S158" s="138">
        <v>1.2531E-3</v>
      </c>
      <c r="T158" s="138">
        <v>1.2531E-3</v>
      </c>
      <c r="U158" s="138">
        <v>1.2531E-3</v>
      </c>
      <c r="V158" s="138">
        <v>1.2531E-3</v>
      </c>
      <c r="W158" s="138">
        <v>1.2531E-3</v>
      </c>
      <c r="X158" s="138">
        <v>1.2531E-3</v>
      </c>
      <c r="Y158" s="138">
        <f t="shared" si="123"/>
        <v>1.2531E-3</v>
      </c>
      <c r="Z158" s="138">
        <f t="shared" si="124"/>
        <v>1.2531E-3</v>
      </c>
      <c r="AA158" s="138">
        <f t="shared" si="125"/>
        <v>1.2531E-3</v>
      </c>
      <c r="AB158" s="138">
        <f t="shared" si="126"/>
        <v>1.2531E-3</v>
      </c>
      <c r="AC158" s="138">
        <f t="shared" si="127"/>
        <v>1.2531E-3</v>
      </c>
      <c r="AD158" s="138">
        <f t="shared" si="128"/>
        <v>1.2531E-3</v>
      </c>
      <c r="AE158" s="138">
        <f t="shared" si="129"/>
        <v>1.2531E-3</v>
      </c>
      <c r="AF158" s="138">
        <f t="shared" si="130"/>
        <v>1.2531E-3</v>
      </c>
      <c r="AG158" s="138">
        <f t="shared" si="131"/>
        <v>1.2531E-3</v>
      </c>
      <c r="AH158" s="138">
        <f t="shared" si="132"/>
        <v>1.2531E-3</v>
      </c>
      <c r="AI158" s="138">
        <f t="shared" si="133"/>
        <v>1.2531E-3</v>
      </c>
      <c r="AJ158" s="138">
        <f t="shared" si="134"/>
        <v>1.2531E-3</v>
      </c>
      <c r="AK158" s="138">
        <f t="shared" si="135"/>
        <v>1.2531E-3</v>
      </c>
      <c r="AL158" s="138">
        <f t="shared" si="136"/>
        <v>1.2531E-3</v>
      </c>
      <c r="AM158" s="138">
        <f t="shared" si="137"/>
        <v>1.2531E-3</v>
      </c>
      <c r="AO158" s="77" t="str">
        <f t="shared" si="94"/>
        <v>DS-5 (Lighting Service)</v>
      </c>
      <c r="AP158" s="78" t="s">
        <v>650</v>
      </c>
      <c r="AQ158" s="77" t="str">
        <f t="shared" si="95"/>
        <v>EDT Cost Recovery Rate Zone I</v>
      </c>
      <c r="AR158" s="78" t="str">
        <f t="shared" si="96"/>
        <v>Billing Cycle</v>
      </c>
      <c r="AS158" s="79">
        <f t="shared" si="97"/>
        <v>8</v>
      </c>
      <c r="AT158" s="78">
        <f t="shared" si="98"/>
        <v>0</v>
      </c>
      <c r="AU158" s="78">
        <f t="shared" si="99"/>
        <v>1.2531E-3</v>
      </c>
      <c r="AV158" s="78">
        <f t="shared" si="100"/>
        <v>1.2531E-3</v>
      </c>
      <c r="AW158" s="78">
        <f t="shared" si="101"/>
        <v>1.2531E-3</v>
      </c>
      <c r="AX158" s="78">
        <f t="shared" si="102"/>
        <v>1.2531E-3</v>
      </c>
      <c r="AY158" s="78">
        <f t="shared" si="103"/>
        <v>1.2531E-3</v>
      </c>
      <c r="AZ158" s="78">
        <f t="shared" si="104"/>
        <v>1.2531E-3</v>
      </c>
      <c r="BA158" s="78">
        <f t="shared" si="105"/>
        <v>1.2531E-3</v>
      </c>
      <c r="BB158" s="78">
        <f t="shared" si="106"/>
        <v>1.2531E-3</v>
      </c>
      <c r="BC158" s="78">
        <f t="shared" si="107"/>
        <v>1.2531E-3</v>
      </c>
      <c r="BD158" s="78">
        <f t="shared" si="108"/>
        <v>1.2531E-3</v>
      </c>
      <c r="BE158" s="78">
        <f t="shared" si="109"/>
        <v>1.2531E-3</v>
      </c>
      <c r="BF158" s="78">
        <f t="shared" si="110"/>
        <v>1.2531E-3</v>
      </c>
      <c r="BG158" s="78">
        <f t="shared" si="111"/>
        <v>1.2531E-3</v>
      </c>
      <c r="BH158" s="78">
        <f t="shared" si="112"/>
        <v>1.2531E-3</v>
      </c>
      <c r="BI158" s="78">
        <f t="shared" si="113"/>
        <v>1.2531E-3</v>
      </c>
      <c r="BJ158" s="78">
        <f t="shared" si="114"/>
        <v>1.2531E-3</v>
      </c>
      <c r="BK158" s="78">
        <f t="shared" si="115"/>
        <v>1.2531E-3</v>
      </c>
      <c r="BL158" s="78">
        <f t="shared" si="116"/>
        <v>1.2531E-3</v>
      </c>
      <c r="BM158" s="78">
        <f t="shared" si="117"/>
        <v>1.2531E-3</v>
      </c>
      <c r="BN158" s="78">
        <f t="shared" si="118"/>
        <v>1.2531E-3</v>
      </c>
      <c r="BO158" s="78">
        <f t="shared" si="119"/>
        <v>1.2531E-3</v>
      </c>
      <c r="BP158" s="78">
        <f t="shared" si="120"/>
        <v>1.2531E-3</v>
      </c>
      <c r="BQ158" s="78">
        <f t="shared" si="121"/>
        <v>1.2531E-3</v>
      </c>
      <c r="BR158" s="78">
        <f t="shared" si="122"/>
        <v>1.2531E-3</v>
      </c>
      <c r="BS158" s="77"/>
      <c r="BT158" s="77"/>
    </row>
    <row r="159" spans="1:72" ht="14.1" customHeight="1" x14ac:dyDescent="0.2">
      <c r="A159" s="55" t="str">
        <f t="shared" si="93"/>
        <v>DS-6 (DS-3) Temp. Sensitive DS_EDT Cost Recovery Rate Zone I</v>
      </c>
      <c r="B159" s="80" t="s">
        <v>643</v>
      </c>
      <c r="C159" s="71" t="s">
        <v>760</v>
      </c>
      <c r="D159" s="150"/>
      <c r="E159" s="81"/>
      <c r="F159" s="73" t="s">
        <v>649</v>
      </c>
      <c r="G159" s="73">
        <v>0</v>
      </c>
      <c r="H159" s="73">
        <v>8</v>
      </c>
      <c r="I159" s="74" t="s">
        <v>641</v>
      </c>
      <c r="J159" s="75" t="s">
        <v>634</v>
      </c>
      <c r="K159" s="74"/>
      <c r="L159" s="82">
        <v>1.3374999999999999E-3</v>
      </c>
      <c r="M159" s="138">
        <v>1.2531E-3</v>
      </c>
      <c r="N159" s="138">
        <v>1.2531E-3</v>
      </c>
      <c r="O159" s="138">
        <v>1.2531E-3</v>
      </c>
      <c r="P159" s="138">
        <v>1.2531E-3</v>
      </c>
      <c r="Q159" s="138">
        <v>1.2531E-3</v>
      </c>
      <c r="R159" s="138">
        <v>1.2531E-3</v>
      </c>
      <c r="S159" s="138">
        <v>1.2531E-3</v>
      </c>
      <c r="T159" s="138">
        <v>1.2531E-3</v>
      </c>
      <c r="U159" s="138">
        <v>1.2531E-3</v>
      </c>
      <c r="V159" s="138">
        <v>1.2531E-3</v>
      </c>
      <c r="W159" s="138">
        <v>1.2531E-3</v>
      </c>
      <c r="X159" s="138">
        <v>1.2531E-3</v>
      </c>
      <c r="Y159" s="138">
        <f t="shared" si="123"/>
        <v>1.2531E-3</v>
      </c>
      <c r="Z159" s="138">
        <f t="shared" si="124"/>
        <v>1.2531E-3</v>
      </c>
      <c r="AA159" s="138">
        <f t="shared" si="125"/>
        <v>1.2531E-3</v>
      </c>
      <c r="AB159" s="138">
        <f t="shared" si="126"/>
        <v>1.2531E-3</v>
      </c>
      <c r="AC159" s="138">
        <f t="shared" si="127"/>
        <v>1.2531E-3</v>
      </c>
      <c r="AD159" s="138">
        <f t="shared" si="128"/>
        <v>1.2531E-3</v>
      </c>
      <c r="AE159" s="138">
        <f t="shared" si="129"/>
        <v>1.2531E-3</v>
      </c>
      <c r="AF159" s="138">
        <f t="shared" si="130"/>
        <v>1.2531E-3</v>
      </c>
      <c r="AG159" s="138">
        <f t="shared" si="131"/>
        <v>1.2531E-3</v>
      </c>
      <c r="AH159" s="138">
        <f t="shared" si="132"/>
        <v>1.2531E-3</v>
      </c>
      <c r="AI159" s="138">
        <f t="shared" si="133"/>
        <v>1.2531E-3</v>
      </c>
      <c r="AJ159" s="138">
        <f t="shared" si="134"/>
        <v>1.2531E-3</v>
      </c>
      <c r="AK159" s="138">
        <f t="shared" si="135"/>
        <v>1.2531E-3</v>
      </c>
      <c r="AL159" s="138">
        <f t="shared" si="136"/>
        <v>1.2531E-3</v>
      </c>
      <c r="AM159" s="138">
        <f t="shared" si="137"/>
        <v>1.2531E-3</v>
      </c>
      <c r="AO159" s="77" t="str">
        <f t="shared" si="94"/>
        <v>DS-6 (DS-3) Temp. Sensitive DS</v>
      </c>
      <c r="AP159" s="78" t="s">
        <v>644</v>
      </c>
      <c r="AQ159" s="77" t="str">
        <f t="shared" si="95"/>
        <v>EDT Cost Recovery Rate Zone I</v>
      </c>
      <c r="AR159" s="78" t="str">
        <f t="shared" si="96"/>
        <v>Billing Cycle</v>
      </c>
      <c r="AS159" s="79">
        <f t="shared" si="97"/>
        <v>8</v>
      </c>
      <c r="AT159" s="78">
        <f t="shared" si="98"/>
        <v>0</v>
      </c>
      <c r="AU159" s="78">
        <f t="shared" si="99"/>
        <v>1.2531E-3</v>
      </c>
      <c r="AV159" s="78">
        <f t="shared" si="100"/>
        <v>1.2531E-3</v>
      </c>
      <c r="AW159" s="78">
        <f t="shared" si="101"/>
        <v>1.2531E-3</v>
      </c>
      <c r="AX159" s="78">
        <f t="shared" si="102"/>
        <v>1.2531E-3</v>
      </c>
      <c r="AY159" s="78">
        <f t="shared" si="103"/>
        <v>1.2531E-3</v>
      </c>
      <c r="AZ159" s="78">
        <f t="shared" si="104"/>
        <v>1.2531E-3</v>
      </c>
      <c r="BA159" s="78">
        <f t="shared" si="105"/>
        <v>1.2531E-3</v>
      </c>
      <c r="BB159" s="78">
        <f t="shared" si="106"/>
        <v>1.2531E-3</v>
      </c>
      <c r="BC159" s="78">
        <f t="shared" si="107"/>
        <v>1.2531E-3</v>
      </c>
      <c r="BD159" s="78">
        <f t="shared" si="108"/>
        <v>1.2531E-3</v>
      </c>
      <c r="BE159" s="78">
        <f t="shared" si="109"/>
        <v>1.2531E-3</v>
      </c>
      <c r="BF159" s="78">
        <f t="shared" si="110"/>
        <v>1.2531E-3</v>
      </c>
      <c r="BG159" s="78">
        <f t="shared" si="111"/>
        <v>1.2531E-3</v>
      </c>
      <c r="BH159" s="78">
        <f t="shared" si="112"/>
        <v>1.2531E-3</v>
      </c>
      <c r="BI159" s="78">
        <f t="shared" si="113"/>
        <v>1.2531E-3</v>
      </c>
      <c r="BJ159" s="78">
        <f t="shared" si="114"/>
        <v>1.2531E-3</v>
      </c>
      <c r="BK159" s="78">
        <f t="shared" si="115"/>
        <v>1.2531E-3</v>
      </c>
      <c r="BL159" s="78">
        <f t="shared" si="116"/>
        <v>1.2531E-3</v>
      </c>
      <c r="BM159" s="78">
        <f t="shared" si="117"/>
        <v>1.2531E-3</v>
      </c>
      <c r="BN159" s="78">
        <f t="shared" si="118"/>
        <v>1.2531E-3</v>
      </c>
      <c r="BO159" s="78">
        <f t="shared" si="119"/>
        <v>1.2531E-3</v>
      </c>
      <c r="BP159" s="78">
        <f t="shared" si="120"/>
        <v>1.2531E-3</v>
      </c>
      <c r="BQ159" s="78">
        <f t="shared" si="121"/>
        <v>1.2531E-3</v>
      </c>
      <c r="BR159" s="78">
        <f t="shared" si="122"/>
        <v>1.2531E-3</v>
      </c>
      <c r="BS159" s="77"/>
      <c r="BT159" s="77"/>
    </row>
    <row r="160" spans="1:72" ht="14.1" customHeight="1" x14ac:dyDescent="0.2">
      <c r="A160" s="55" t="str">
        <f t="shared" si="93"/>
        <v>DS-2 Optional (Small General Service)_EDT Cost Recovery Rate Zone I</v>
      </c>
      <c r="B160" s="80" t="s">
        <v>663</v>
      </c>
      <c r="C160" s="83" t="s">
        <v>760</v>
      </c>
      <c r="D160" s="150"/>
      <c r="E160" s="81"/>
      <c r="F160" s="73"/>
      <c r="G160" s="73"/>
      <c r="H160" s="73"/>
      <c r="I160" s="74"/>
      <c r="J160" s="75"/>
      <c r="K160" s="74"/>
      <c r="L160" s="82">
        <v>1.3374999999999999E-3</v>
      </c>
      <c r="M160" s="138">
        <v>1.2531E-3</v>
      </c>
      <c r="N160" s="138">
        <v>1.2531E-3</v>
      </c>
      <c r="O160" s="138">
        <v>1.2531E-3</v>
      </c>
      <c r="P160" s="138">
        <v>1.2531E-3</v>
      </c>
      <c r="Q160" s="138">
        <v>1.2531E-3</v>
      </c>
      <c r="R160" s="138">
        <v>1.2531E-3</v>
      </c>
      <c r="S160" s="138">
        <v>1.2531E-3</v>
      </c>
      <c r="T160" s="138">
        <v>1.2531E-3</v>
      </c>
      <c r="U160" s="138">
        <v>1.2531E-3</v>
      </c>
      <c r="V160" s="138">
        <v>1.2531E-3</v>
      </c>
      <c r="W160" s="138">
        <v>1.2531E-3</v>
      </c>
      <c r="X160" s="138">
        <v>1.2531E-3</v>
      </c>
      <c r="Y160" s="138">
        <f t="shared" si="123"/>
        <v>1.2531E-3</v>
      </c>
      <c r="Z160" s="138">
        <f t="shared" si="124"/>
        <v>1.2531E-3</v>
      </c>
      <c r="AA160" s="138">
        <f t="shared" si="125"/>
        <v>1.2531E-3</v>
      </c>
      <c r="AB160" s="138">
        <f t="shared" si="126"/>
        <v>1.2531E-3</v>
      </c>
      <c r="AC160" s="138">
        <f t="shared" si="127"/>
        <v>1.2531E-3</v>
      </c>
      <c r="AD160" s="138">
        <f t="shared" si="128"/>
        <v>1.2531E-3</v>
      </c>
      <c r="AE160" s="138">
        <f t="shared" si="129"/>
        <v>1.2531E-3</v>
      </c>
      <c r="AF160" s="138">
        <f t="shared" si="130"/>
        <v>1.2531E-3</v>
      </c>
      <c r="AG160" s="138">
        <f t="shared" si="131"/>
        <v>1.2531E-3</v>
      </c>
      <c r="AH160" s="138">
        <f t="shared" si="132"/>
        <v>1.2531E-3</v>
      </c>
      <c r="AI160" s="138">
        <f t="shared" si="133"/>
        <v>1.2531E-3</v>
      </c>
      <c r="AJ160" s="138">
        <f t="shared" si="134"/>
        <v>1.2531E-3</v>
      </c>
      <c r="AK160" s="138">
        <f t="shared" si="135"/>
        <v>1.2531E-3</v>
      </c>
      <c r="AL160" s="138">
        <f t="shared" si="136"/>
        <v>1.2531E-3</v>
      </c>
      <c r="AM160" s="138">
        <f t="shared" si="137"/>
        <v>1.2531E-3</v>
      </c>
      <c r="AO160" s="77" t="str">
        <f t="shared" si="94"/>
        <v>DS-2 Optional (Small General Service)</v>
      </c>
      <c r="AP160" s="78" t="s">
        <v>664</v>
      </c>
      <c r="AQ160" s="77" t="str">
        <f t="shared" si="95"/>
        <v>EDT Cost Recovery Rate Zone I</v>
      </c>
      <c r="AR160" s="78">
        <f t="shared" si="96"/>
        <v>0</v>
      </c>
      <c r="AS160" s="79">
        <f t="shared" si="97"/>
        <v>0</v>
      </c>
      <c r="AT160" s="78">
        <f t="shared" si="98"/>
        <v>0</v>
      </c>
      <c r="AU160" s="78">
        <f t="shared" si="99"/>
        <v>0</v>
      </c>
      <c r="AV160" s="78">
        <f t="shared" si="100"/>
        <v>0</v>
      </c>
      <c r="AW160" s="78">
        <f t="shared" si="101"/>
        <v>0</v>
      </c>
      <c r="AX160" s="78">
        <f t="shared" si="102"/>
        <v>0</v>
      </c>
      <c r="AY160" s="78">
        <f t="shared" si="103"/>
        <v>0</v>
      </c>
      <c r="AZ160" s="78">
        <f t="shared" si="104"/>
        <v>0</v>
      </c>
      <c r="BA160" s="78">
        <f t="shared" si="105"/>
        <v>0</v>
      </c>
      <c r="BB160" s="78">
        <f t="shared" si="106"/>
        <v>0</v>
      </c>
      <c r="BC160" s="78">
        <f t="shared" si="107"/>
        <v>0</v>
      </c>
      <c r="BD160" s="78">
        <f t="shared" si="108"/>
        <v>0</v>
      </c>
      <c r="BE160" s="78">
        <f t="shared" si="109"/>
        <v>0</v>
      </c>
      <c r="BF160" s="78">
        <f t="shared" si="110"/>
        <v>0</v>
      </c>
      <c r="BG160" s="78">
        <f t="shared" si="111"/>
        <v>0</v>
      </c>
      <c r="BH160" s="78">
        <f t="shared" si="112"/>
        <v>0</v>
      </c>
      <c r="BI160" s="78">
        <f t="shared" si="113"/>
        <v>0</v>
      </c>
      <c r="BJ160" s="78">
        <f t="shared" si="114"/>
        <v>0</v>
      </c>
      <c r="BK160" s="78">
        <f t="shared" si="115"/>
        <v>0</v>
      </c>
      <c r="BL160" s="78">
        <f t="shared" si="116"/>
        <v>0</v>
      </c>
      <c r="BM160" s="78">
        <f t="shared" si="117"/>
        <v>0</v>
      </c>
      <c r="BN160" s="78">
        <f t="shared" si="118"/>
        <v>0</v>
      </c>
      <c r="BO160" s="78">
        <f t="shared" si="119"/>
        <v>0</v>
      </c>
      <c r="BP160" s="78">
        <f t="shared" si="120"/>
        <v>0</v>
      </c>
      <c r="BQ160" s="78">
        <f t="shared" si="121"/>
        <v>0</v>
      </c>
      <c r="BR160" s="78">
        <f t="shared" si="122"/>
        <v>0</v>
      </c>
      <c r="BS160" s="77"/>
      <c r="BT160" s="77"/>
    </row>
    <row r="161" spans="1:72" ht="14.1" customHeight="1" x14ac:dyDescent="0.2">
      <c r="A161" s="55" t="str">
        <f t="shared" si="93"/>
        <v>DS-4 (Large General Service)_EDT Cost Recovery Rate Zone I &gt;100kV</v>
      </c>
      <c r="B161" s="80" t="s">
        <v>639</v>
      </c>
      <c r="C161" s="83" t="s">
        <v>761</v>
      </c>
      <c r="D161" s="150"/>
      <c r="E161" s="81"/>
      <c r="F161" s="73" t="s">
        <v>649</v>
      </c>
      <c r="G161" s="73">
        <v>0</v>
      </c>
      <c r="H161" s="73">
        <v>8</v>
      </c>
      <c r="I161" s="74" t="s">
        <v>641</v>
      </c>
      <c r="J161" s="75" t="s">
        <v>634</v>
      </c>
      <c r="K161" s="74"/>
      <c r="L161" s="82">
        <v>1.3374999999999999E-3</v>
      </c>
      <c r="M161" s="138">
        <v>1.2531E-3</v>
      </c>
      <c r="N161" s="138">
        <v>1.2531E-3</v>
      </c>
      <c r="O161" s="138">
        <v>1.2531E-3</v>
      </c>
      <c r="P161" s="138">
        <v>1.2531E-3</v>
      </c>
      <c r="Q161" s="138">
        <v>1.2531E-3</v>
      </c>
      <c r="R161" s="138">
        <v>1.2531E-3</v>
      </c>
      <c r="S161" s="138">
        <v>1.2531E-3</v>
      </c>
      <c r="T161" s="138">
        <v>1.2531E-3</v>
      </c>
      <c r="U161" s="138">
        <v>1.2531E-3</v>
      </c>
      <c r="V161" s="138">
        <v>1.2531E-3</v>
      </c>
      <c r="W161" s="138">
        <v>1.2531E-3</v>
      </c>
      <c r="X161" s="138">
        <v>1.2531E-3</v>
      </c>
      <c r="Y161" s="138">
        <f t="shared" si="123"/>
        <v>1.2531E-3</v>
      </c>
      <c r="Z161" s="138">
        <f t="shared" si="124"/>
        <v>1.2531E-3</v>
      </c>
      <c r="AA161" s="138">
        <f t="shared" si="125"/>
        <v>1.2531E-3</v>
      </c>
      <c r="AB161" s="138">
        <f t="shared" si="126"/>
        <v>1.2531E-3</v>
      </c>
      <c r="AC161" s="138">
        <f t="shared" si="127"/>
        <v>1.2531E-3</v>
      </c>
      <c r="AD161" s="138">
        <f t="shared" si="128"/>
        <v>1.2531E-3</v>
      </c>
      <c r="AE161" s="138">
        <f t="shared" si="129"/>
        <v>1.2531E-3</v>
      </c>
      <c r="AF161" s="138">
        <f t="shared" si="130"/>
        <v>1.2531E-3</v>
      </c>
      <c r="AG161" s="138">
        <f t="shared" si="131"/>
        <v>1.2531E-3</v>
      </c>
      <c r="AH161" s="138">
        <f t="shared" si="132"/>
        <v>1.2531E-3</v>
      </c>
      <c r="AI161" s="138">
        <f t="shared" si="133"/>
        <v>1.2531E-3</v>
      </c>
      <c r="AJ161" s="138">
        <f t="shared" si="134"/>
        <v>1.2531E-3</v>
      </c>
      <c r="AK161" s="138">
        <f t="shared" si="135"/>
        <v>1.2531E-3</v>
      </c>
      <c r="AL161" s="138">
        <f t="shared" si="136"/>
        <v>1.2531E-3</v>
      </c>
      <c r="AM161" s="138">
        <f t="shared" si="137"/>
        <v>1.2531E-3</v>
      </c>
      <c r="AO161" s="77" t="str">
        <f t="shared" si="94"/>
        <v>DS-4 (Large General Service)</v>
      </c>
      <c r="AP161" s="78" t="s">
        <v>642</v>
      </c>
      <c r="AQ161" s="77" t="str">
        <f t="shared" si="95"/>
        <v>EDT Cost Recovery Rate Zone I &gt;100kV</v>
      </c>
      <c r="AR161" s="78" t="str">
        <f t="shared" si="96"/>
        <v>Billing Cycle</v>
      </c>
      <c r="AS161" s="79">
        <f t="shared" si="97"/>
        <v>8</v>
      </c>
      <c r="AT161" s="78">
        <f t="shared" si="98"/>
        <v>0</v>
      </c>
      <c r="AU161" s="78">
        <f t="shared" si="99"/>
        <v>1.2531E-3</v>
      </c>
      <c r="AV161" s="78">
        <f t="shared" si="100"/>
        <v>1.2531E-3</v>
      </c>
      <c r="AW161" s="78">
        <f t="shared" si="101"/>
        <v>1.2531E-3</v>
      </c>
      <c r="AX161" s="78">
        <f t="shared" si="102"/>
        <v>1.2531E-3</v>
      </c>
      <c r="AY161" s="78">
        <f t="shared" si="103"/>
        <v>1.2531E-3</v>
      </c>
      <c r="AZ161" s="78">
        <f t="shared" si="104"/>
        <v>1.2531E-3</v>
      </c>
      <c r="BA161" s="78">
        <f t="shared" si="105"/>
        <v>1.2531E-3</v>
      </c>
      <c r="BB161" s="78">
        <f t="shared" si="106"/>
        <v>1.2531E-3</v>
      </c>
      <c r="BC161" s="78">
        <f t="shared" si="107"/>
        <v>1.2531E-3</v>
      </c>
      <c r="BD161" s="78">
        <f t="shared" si="108"/>
        <v>1.2531E-3</v>
      </c>
      <c r="BE161" s="78">
        <f t="shared" si="109"/>
        <v>1.2531E-3</v>
      </c>
      <c r="BF161" s="78">
        <f t="shared" si="110"/>
        <v>1.2531E-3</v>
      </c>
      <c r="BG161" s="78">
        <f t="shared" si="111"/>
        <v>1.2531E-3</v>
      </c>
      <c r="BH161" s="78">
        <f t="shared" si="112"/>
        <v>1.2531E-3</v>
      </c>
      <c r="BI161" s="78">
        <f t="shared" si="113"/>
        <v>1.2531E-3</v>
      </c>
      <c r="BJ161" s="78">
        <f t="shared" si="114"/>
        <v>1.2531E-3</v>
      </c>
      <c r="BK161" s="78">
        <f t="shared" si="115"/>
        <v>1.2531E-3</v>
      </c>
      <c r="BL161" s="78">
        <f t="shared" si="116"/>
        <v>1.2531E-3</v>
      </c>
      <c r="BM161" s="78">
        <f t="shared" si="117"/>
        <v>1.2531E-3</v>
      </c>
      <c r="BN161" s="78">
        <f t="shared" si="118"/>
        <v>1.2531E-3</v>
      </c>
      <c r="BO161" s="78">
        <f t="shared" si="119"/>
        <v>1.2531E-3</v>
      </c>
      <c r="BP161" s="78">
        <f t="shared" si="120"/>
        <v>1.2531E-3</v>
      </c>
      <c r="BQ161" s="78">
        <f t="shared" si="121"/>
        <v>1.2531E-3</v>
      </c>
      <c r="BR161" s="78">
        <f t="shared" si="122"/>
        <v>1.2531E-3</v>
      </c>
      <c r="BS161" s="77"/>
      <c r="BT161" s="77"/>
    </row>
    <row r="162" spans="1:72" ht="14.1" customHeight="1" x14ac:dyDescent="0.2">
      <c r="A162" s="55" t="str">
        <f t="shared" si="93"/>
        <v>DS-6 (DS-4) Temp. Sensitive DS_EDT Cost Recovery Rate Zone I &gt;100kV</v>
      </c>
      <c r="B162" s="80" t="s">
        <v>645</v>
      </c>
      <c r="C162" s="83" t="s">
        <v>761</v>
      </c>
      <c r="D162" s="150"/>
      <c r="E162" s="81"/>
      <c r="F162" s="73" t="s">
        <v>649</v>
      </c>
      <c r="G162" s="73">
        <v>0</v>
      </c>
      <c r="H162" s="73">
        <v>8</v>
      </c>
      <c r="I162" s="74" t="s">
        <v>641</v>
      </c>
      <c r="J162" s="75" t="s">
        <v>634</v>
      </c>
      <c r="K162" s="74"/>
      <c r="L162" s="82">
        <v>1.3374999999999999E-3</v>
      </c>
      <c r="M162" s="138">
        <v>1.2531E-3</v>
      </c>
      <c r="N162" s="138">
        <v>1.2531E-3</v>
      </c>
      <c r="O162" s="138">
        <v>1.2531E-3</v>
      </c>
      <c r="P162" s="138">
        <v>1.2531E-3</v>
      </c>
      <c r="Q162" s="138">
        <v>1.2531E-3</v>
      </c>
      <c r="R162" s="138">
        <v>1.2531E-3</v>
      </c>
      <c r="S162" s="138">
        <v>1.2531E-3</v>
      </c>
      <c r="T162" s="138">
        <v>1.2531E-3</v>
      </c>
      <c r="U162" s="138">
        <v>1.2531E-3</v>
      </c>
      <c r="V162" s="138">
        <v>1.2531E-3</v>
      </c>
      <c r="W162" s="138">
        <v>1.2531E-3</v>
      </c>
      <c r="X162" s="138">
        <v>1.2531E-3</v>
      </c>
      <c r="Y162" s="138">
        <f t="shared" si="123"/>
        <v>1.2531E-3</v>
      </c>
      <c r="Z162" s="138">
        <f t="shared" si="124"/>
        <v>1.2531E-3</v>
      </c>
      <c r="AA162" s="138">
        <f t="shared" si="125"/>
        <v>1.2531E-3</v>
      </c>
      <c r="AB162" s="138">
        <f t="shared" si="126"/>
        <v>1.2531E-3</v>
      </c>
      <c r="AC162" s="138">
        <f t="shared" si="127"/>
        <v>1.2531E-3</v>
      </c>
      <c r="AD162" s="138">
        <f t="shared" si="128"/>
        <v>1.2531E-3</v>
      </c>
      <c r="AE162" s="138">
        <f t="shared" si="129"/>
        <v>1.2531E-3</v>
      </c>
      <c r="AF162" s="138">
        <f t="shared" si="130"/>
        <v>1.2531E-3</v>
      </c>
      <c r="AG162" s="138">
        <f t="shared" si="131"/>
        <v>1.2531E-3</v>
      </c>
      <c r="AH162" s="138">
        <f t="shared" si="132"/>
        <v>1.2531E-3</v>
      </c>
      <c r="AI162" s="138">
        <f t="shared" si="133"/>
        <v>1.2531E-3</v>
      </c>
      <c r="AJ162" s="138">
        <f t="shared" si="134"/>
        <v>1.2531E-3</v>
      </c>
      <c r="AK162" s="138">
        <f t="shared" si="135"/>
        <v>1.2531E-3</v>
      </c>
      <c r="AL162" s="138">
        <f t="shared" si="136"/>
        <v>1.2531E-3</v>
      </c>
      <c r="AM162" s="138">
        <f t="shared" si="137"/>
        <v>1.2531E-3</v>
      </c>
      <c r="AO162" s="77" t="str">
        <f t="shared" si="94"/>
        <v>DS-6 (DS-4) Temp. Sensitive DS</v>
      </c>
      <c r="AP162" s="78" t="s">
        <v>646</v>
      </c>
      <c r="AQ162" s="77" t="str">
        <f t="shared" si="95"/>
        <v>EDT Cost Recovery Rate Zone I &gt;100kV</v>
      </c>
      <c r="AR162" s="78" t="str">
        <f t="shared" si="96"/>
        <v>Billing Cycle</v>
      </c>
      <c r="AS162" s="79">
        <f t="shared" si="97"/>
        <v>8</v>
      </c>
      <c r="AT162" s="78">
        <f t="shared" si="98"/>
        <v>0</v>
      </c>
      <c r="AU162" s="78">
        <f t="shared" si="99"/>
        <v>1.2531E-3</v>
      </c>
      <c r="AV162" s="78">
        <f t="shared" si="100"/>
        <v>1.2531E-3</v>
      </c>
      <c r="AW162" s="78">
        <f t="shared" si="101"/>
        <v>1.2531E-3</v>
      </c>
      <c r="AX162" s="78">
        <f t="shared" si="102"/>
        <v>1.2531E-3</v>
      </c>
      <c r="AY162" s="78">
        <f t="shared" si="103"/>
        <v>1.2531E-3</v>
      </c>
      <c r="AZ162" s="78">
        <f t="shared" si="104"/>
        <v>1.2531E-3</v>
      </c>
      <c r="BA162" s="78">
        <f t="shared" si="105"/>
        <v>1.2531E-3</v>
      </c>
      <c r="BB162" s="78">
        <f t="shared" si="106"/>
        <v>1.2531E-3</v>
      </c>
      <c r="BC162" s="78">
        <f t="shared" si="107"/>
        <v>1.2531E-3</v>
      </c>
      <c r="BD162" s="78">
        <f t="shared" si="108"/>
        <v>1.2531E-3</v>
      </c>
      <c r="BE162" s="78">
        <f t="shared" si="109"/>
        <v>1.2531E-3</v>
      </c>
      <c r="BF162" s="78">
        <f t="shared" si="110"/>
        <v>1.2531E-3</v>
      </c>
      <c r="BG162" s="78">
        <f t="shared" si="111"/>
        <v>1.2531E-3</v>
      </c>
      <c r="BH162" s="78">
        <f t="shared" si="112"/>
        <v>1.2531E-3</v>
      </c>
      <c r="BI162" s="78">
        <f t="shared" si="113"/>
        <v>1.2531E-3</v>
      </c>
      <c r="BJ162" s="78">
        <f t="shared" si="114"/>
        <v>1.2531E-3</v>
      </c>
      <c r="BK162" s="78">
        <f t="shared" si="115"/>
        <v>1.2531E-3</v>
      </c>
      <c r="BL162" s="78">
        <f t="shared" si="116"/>
        <v>1.2531E-3</v>
      </c>
      <c r="BM162" s="78">
        <f t="shared" si="117"/>
        <v>1.2531E-3</v>
      </c>
      <c r="BN162" s="78">
        <f t="shared" si="118"/>
        <v>1.2531E-3</v>
      </c>
      <c r="BO162" s="78">
        <f t="shared" si="119"/>
        <v>1.2531E-3</v>
      </c>
      <c r="BP162" s="78">
        <f t="shared" si="120"/>
        <v>1.2531E-3</v>
      </c>
      <c r="BQ162" s="78">
        <f t="shared" si="121"/>
        <v>1.2531E-3</v>
      </c>
      <c r="BR162" s="78">
        <f t="shared" si="122"/>
        <v>1.2531E-3</v>
      </c>
      <c r="BS162" s="77"/>
      <c r="BT162" s="77"/>
    </row>
    <row r="163" spans="1:72" ht="14.1" customHeight="1" x14ac:dyDescent="0.2">
      <c r="A163" s="55" t="str">
        <f t="shared" si="93"/>
        <v>DS-4 (Large General Service)_EDT Cost Recovery Rate Zone I High Voltage</v>
      </c>
      <c r="B163" s="80" t="s">
        <v>639</v>
      </c>
      <c r="C163" s="83" t="s">
        <v>762</v>
      </c>
      <c r="D163" s="150"/>
      <c r="E163" s="81"/>
      <c r="F163" s="73" t="s">
        <v>649</v>
      </c>
      <c r="G163" s="73">
        <v>0</v>
      </c>
      <c r="H163" s="73">
        <v>8</v>
      </c>
      <c r="I163" s="74" t="s">
        <v>641</v>
      </c>
      <c r="J163" s="75" t="s">
        <v>634</v>
      </c>
      <c r="K163" s="74"/>
      <c r="L163" s="82">
        <v>1.3374999999999999E-3</v>
      </c>
      <c r="M163" s="138">
        <v>1.2531E-3</v>
      </c>
      <c r="N163" s="138">
        <v>1.2531E-3</v>
      </c>
      <c r="O163" s="138">
        <v>1.2531E-3</v>
      </c>
      <c r="P163" s="138">
        <v>1.2531E-3</v>
      </c>
      <c r="Q163" s="138">
        <v>1.2531E-3</v>
      </c>
      <c r="R163" s="138">
        <v>1.2531E-3</v>
      </c>
      <c r="S163" s="138">
        <v>1.2531E-3</v>
      </c>
      <c r="T163" s="138">
        <v>1.2531E-3</v>
      </c>
      <c r="U163" s="138">
        <v>1.2531E-3</v>
      </c>
      <c r="V163" s="138">
        <v>1.2531E-3</v>
      </c>
      <c r="W163" s="138">
        <v>1.2531E-3</v>
      </c>
      <c r="X163" s="138">
        <v>1.2531E-3</v>
      </c>
      <c r="Y163" s="138">
        <f t="shared" si="123"/>
        <v>1.2531E-3</v>
      </c>
      <c r="Z163" s="138">
        <f t="shared" si="124"/>
        <v>1.2531E-3</v>
      </c>
      <c r="AA163" s="138">
        <f t="shared" si="125"/>
        <v>1.2531E-3</v>
      </c>
      <c r="AB163" s="138">
        <f t="shared" si="126"/>
        <v>1.2531E-3</v>
      </c>
      <c r="AC163" s="138">
        <f t="shared" si="127"/>
        <v>1.2531E-3</v>
      </c>
      <c r="AD163" s="138">
        <f t="shared" si="128"/>
        <v>1.2531E-3</v>
      </c>
      <c r="AE163" s="138">
        <f t="shared" si="129"/>
        <v>1.2531E-3</v>
      </c>
      <c r="AF163" s="138">
        <f t="shared" si="130"/>
        <v>1.2531E-3</v>
      </c>
      <c r="AG163" s="138">
        <f t="shared" si="131"/>
        <v>1.2531E-3</v>
      </c>
      <c r="AH163" s="138">
        <f t="shared" si="132"/>
        <v>1.2531E-3</v>
      </c>
      <c r="AI163" s="138">
        <f t="shared" si="133"/>
        <v>1.2531E-3</v>
      </c>
      <c r="AJ163" s="138">
        <f t="shared" si="134"/>
        <v>1.2531E-3</v>
      </c>
      <c r="AK163" s="138">
        <f t="shared" si="135"/>
        <v>1.2531E-3</v>
      </c>
      <c r="AL163" s="138">
        <f t="shared" si="136"/>
        <v>1.2531E-3</v>
      </c>
      <c r="AM163" s="138">
        <f t="shared" si="137"/>
        <v>1.2531E-3</v>
      </c>
      <c r="AO163" s="77" t="str">
        <f t="shared" si="94"/>
        <v>DS-4 (Large General Service)</v>
      </c>
      <c r="AP163" s="78" t="s">
        <v>642</v>
      </c>
      <c r="AQ163" s="77" t="str">
        <f t="shared" si="95"/>
        <v>EDT Cost Recovery Rate Zone I High Voltage</v>
      </c>
      <c r="AR163" s="78" t="str">
        <f t="shared" si="96"/>
        <v>Billing Cycle</v>
      </c>
      <c r="AS163" s="79">
        <f t="shared" si="97"/>
        <v>8</v>
      </c>
      <c r="AT163" s="78">
        <f t="shared" si="98"/>
        <v>0</v>
      </c>
      <c r="AU163" s="78">
        <f t="shared" si="99"/>
        <v>1.2531E-3</v>
      </c>
      <c r="AV163" s="78">
        <f t="shared" si="100"/>
        <v>1.2531E-3</v>
      </c>
      <c r="AW163" s="78">
        <f t="shared" si="101"/>
        <v>1.2531E-3</v>
      </c>
      <c r="AX163" s="78">
        <f t="shared" si="102"/>
        <v>1.2531E-3</v>
      </c>
      <c r="AY163" s="78">
        <f t="shared" si="103"/>
        <v>1.2531E-3</v>
      </c>
      <c r="AZ163" s="78">
        <f t="shared" si="104"/>
        <v>1.2531E-3</v>
      </c>
      <c r="BA163" s="78">
        <f t="shared" si="105"/>
        <v>1.2531E-3</v>
      </c>
      <c r="BB163" s="78">
        <f t="shared" si="106"/>
        <v>1.2531E-3</v>
      </c>
      <c r="BC163" s="78">
        <f t="shared" si="107"/>
        <v>1.2531E-3</v>
      </c>
      <c r="BD163" s="78">
        <f t="shared" si="108"/>
        <v>1.2531E-3</v>
      </c>
      <c r="BE163" s="78">
        <f t="shared" si="109"/>
        <v>1.2531E-3</v>
      </c>
      <c r="BF163" s="78">
        <f t="shared" si="110"/>
        <v>1.2531E-3</v>
      </c>
      <c r="BG163" s="78">
        <f t="shared" si="111"/>
        <v>1.2531E-3</v>
      </c>
      <c r="BH163" s="78">
        <f t="shared" si="112"/>
        <v>1.2531E-3</v>
      </c>
      <c r="BI163" s="78">
        <f t="shared" si="113"/>
        <v>1.2531E-3</v>
      </c>
      <c r="BJ163" s="78">
        <f t="shared" si="114"/>
        <v>1.2531E-3</v>
      </c>
      <c r="BK163" s="78">
        <f t="shared" si="115"/>
        <v>1.2531E-3</v>
      </c>
      <c r="BL163" s="78">
        <f t="shared" si="116"/>
        <v>1.2531E-3</v>
      </c>
      <c r="BM163" s="78">
        <f t="shared" si="117"/>
        <v>1.2531E-3</v>
      </c>
      <c r="BN163" s="78">
        <f t="shared" si="118"/>
        <v>1.2531E-3</v>
      </c>
      <c r="BO163" s="78">
        <f t="shared" si="119"/>
        <v>1.2531E-3</v>
      </c>
      <c r="BP163" s="78">
        <f t="shared" si="120"/>
        <v>1.2531E-3</v>
      </c>
      <c r="BQ163" s="78">
        <f t="shared" si="121"/>
        <v>1.2531E-3</v>
      </c>
      <c r="BR163" s="78">
        <f t="shared" si="122"/>
        <v>1.2531E-3</v>
      </c>
      <c r="BS163" s="77"/>
      <c r="BT163" s="77"/>
    </row>
    <row r="164" spans="1:72" ht="14.1" customHeight="1" x14ac:dyDescent="0.2">
      <c r="A164" s="55" t="str">
        <f t="shared" si="93"/>
        <v>DS-6 (DS-4) Temp. Sensitive DS_EDT Cost Recovery Rate Zone I High Voltage</v>
      </c>
      <c r="B164" s="80" t="s">
        <v>645</v>
      </c>
      <c r="C164" s="83" t="s">
        <v>762</v>
      </c>
      <c r="D164" s="150"/>
      <c r="E164" s="81"/>
      <c r="F164" s="73" t="s">
        <v>649</v>
      </c>
      <c r="G164" s="73">
        <v>0</v>
      </c>
      <c r="H164" s="73">
        <v>8</v>
      </c>
      <c r="I164" s="74" t="s">
        <v>641</v>
      </c>
      <c r="J164" s="75" t="s">
        <v>634</v>
      </c>
      <c r="K164" s="74"/>
      <c r="L164" s="82">
        <v>1.3374999999999999E-3</v>
      </c>
      <c r="M164" s="138">
        <v>1.2531E-3</v>
      </c>
      <c r="N164" s="138">
        <v>1.2531E-3</v>
      </c>
      <c r="O164" s="138">
        <v>1.2531E-3</v>
      </c>
      <c r="P164" s="138">
        <v>1.2531E-3</v>
      </c>
      <c r="Q164" s="138">
        <v>1.2531E-3</v>
      </c>
      <c r="R164" s="138">
        <v>1.2531E-3</v>
      </c>
      <c r="S164" s="138">
        <v>1.2531E-3</v>
      </c>
      <c r="T164" s="138">
        <v>1.2531E-3</v>
      </c>
      <c r="U164" s="138">
        <v>1.2531E-3</v>
      </c>
      <c r="V164" s="138">
        <v>1.2531E-3</v>
      </c>
      <c r="W164" s="138">
        <v>1.2531E-3</v>
      </c>
      <c r="X164" s="138">
        <v>1.2531E-3</v>
      </c>
      <c r="Y164" s="138">
        <f t="shared" si="123"/>
        <v>1.2531E-3</v>
      </c>
      <c r="Z164" s="138">
        <f t="shared" si="124"/>
        <v>1.2531E-3</v>
      </c>
      <c r="AA164" s="138">
        <f t="shared" si="125"/>
        <v>1.2531E-3</v>
      </c>
      <c r="AB164" s="138">
        <f t="shared" si="126"/>
        <v>1.2531E-3</v>
      </c>
      <c r="AC164" s="138">
        <f t="shared" si="127"/>
        <v>1.2531E-3</v>
      </c>
      <c r="AD164" s="138">
        <f t="shared" si="128"/>
        <v>1.2531E-3</v>
      </c>
      <c r="AE164" s="138">
        <f t="shared" si="129"/>
        <v>1.2531E-3</v>
      </c>
      <c r="AF164" s="138">
        <f t="shared" si="130"/>
        <v>1.2531E-3</v>
      </c>
      <c r="AG164" s="138">
        <f t="shared" si="131"/>
        <v>1.2531E-3</v>
      </c>
      <c r="AH164" s="138">
        <f t="shared" si="132"/>
        <v>1.2531E-3</v>
      </c>
      <c r="AI164" s="138">
        <f t="shared" si="133"/>
        <v>1.2531E-3</v>
      </c>
      <c r="AJ164" s="138">
        <f t="shared" si="134"/>
        <v>1.2531E-3</v>
      </c>
      <c r="AK164" s="138">
        <f t="shared" si="135"/>
        <v>1.2531E-3</v>
      </c>
      <c r="AL164" s="138">
        <f t="shared" si="136"/>
        <v>1.2531E-3</v>
      </c>
      <c r="AM164" s="138">
        <f t="shared" si="137"/>
        <v>1.2531E-3</v>
      </c>
      <c r="AO164" s="77" t="str">
        <f t="shared" si="94"/>
        <v>DS-6 (DS-4) Temp. Sensitive DS</v>
      </c>
      <c r="AP164" s="78" t="s">
        <v>646</v>
      </c>
      <c r="AQ164" s="77" t="str">
        <f t="shared" si="95"/>
        <v>EDT Cost Recovery Rate Zone I High Voltage</v>
      </c>
      <c r="AR164" s="78" t="str">
        <f t="shared" si="96"/>
        <v>Billing Cycle</v>
      </c>
      <c r="AS164" s="79">
        <f t="shared" si="97"/>
        <v>8</v>
      </c>
      <c r="AT164" s="78">
        <f t="shared" si="98"/>
        <v>0</v>
      </c>
      <c r="AU164" s="78">
        <f t="shared" si="99"/>
        <v>1.2531E-3</v>
      </c>
      <c r="AV164" s="78">
        <f t="shared" si="100"/>
        <v>1.2531E-3</v>
      </c>
      <c r="AW164" s="78">
        <f t="shared" si="101"/>
        <v>1.2531E-3</v>
      </c>
      <c r="AX164" s="78">
        <f t="shared" si="102"/>
        <v>1.2531E-3</v>
      </c>
      <c r="AY164" s="78">
        <f t="shared" si="103"/>
        <v>1.2531E-3</v>
      </c>
      <c r="AZ164" s="78">
        <f t="shared" si="104"/>
        <v>1.2531E-3</v>
      </c>
      <c r="BA164" s="78">
        <f t="shared" si="105"/>
        <v>1.2531E-3</v>
      </c>
      <c r="BB164" s="78">
        <f t="shared" si="106"/>
        <v>1.2531E-3</v>
      </c>
      <c r="BC164" s="78">
        <f t="shared" si="107"/>
        <v>1.2531E-3</v>
      </c>
      <c r="BD164" s="78">
        <f t="shared" si="108"/>
        <v>1.2531E-3</v>
      </c>
      <c r="BE164" s="78">
        <f t="shared" si="109"/>
        <v>1.2531E-3</v>
      </c>
      <c r="BF164" s="78">
        <f t="shared" si="110"/>
        <v>1.2531E-3</v>
      </c>
      <c r="BG164" s="78">
        <f t="shared" si="111"/>
        <v>1.2531E-3</v>
      </c>
      <c r="BH164" s="78">
        <f t="shared" si="112"/>
        <v>1.2531E-3</v>
      </c>
      <c r="BI164" s="78">
        <f t="shared" si="113"/>
        <v>1.2531E-3</v>
      </c>
      <c r="BJ164" s="78">
        <f t="shared" si="114"/>
        <v>1.2531E-3</v>
      </c>
      <c r="BK164" s="78">
        <f t="shared" si="115"/>
        <v>1.2531E-3</v>
      </c>
      <c r="BL164" s="78">
        <f t="shared" si="116"/>
        <v>1.2531E-3</v>
      </c>
      <c r="BM164" s="78">
        <f t="shared" si="117"/>
        <v>1.2531E-3</v>
      </c>
      <c r="BN164" s="78">
        <f t="shared" si="118"/>
        <v>1.2531E-3</v>
      </c>
      <c r="BO164" s="78">
        <f t="shared" si="119"/>
        <v>1.2531E-3</v>
      </c>
      <c r="BP164" s="78">
        <f t="shared" si="120"/>
        <v>1.2531E-3</v>
      </c>
      <c r="BQ164" s="78">
        <f t="shared" si="121"/>
        <v>1.2531E-3</v>
      </c>
      <c r="BR164" s="78">
        <f t="shared" si="122"/>
        <v>1.2531E-3</v>
      </c>
      <c r="BS164" s="77"/>
      <c r="BT164" s="77"/>
    </row>
    <row r="165" spans="1:72" ht="14.1" customHeight="1" x14ac:dyDescent="0.2">
      <c r="A165" s="55" t="str">
        <f t="shared" si="93"/>
        <v>DS-4 (Large General Service)_EDT Cost Recovery Rate Zone I Primary</v>
      </c>
      <c r="B165" s="80" t="s">
        <v>639</v>
      </c>
      <c r="C165" s="83" t="s">
        <v>763</v>
      </c>
      <c r="D165" s="150"/>
      <c r="E165" s="81"/>
      <c r="F165" s="73" t="s">
        <v>649</v>
      </c>
      <c r="G165" s="73">
        <v>0</v>
      </c>
      <c r="H165" s="73">
        <v>8</v>
      </c>
      <c r="I165" s="74" t="s">
        <v>641</v>
      </c>
      <c r="J165" s="75" t="s">
        <v>634</v>
      </c>
      <c r="K165" s="74"/>
      <c r="L165" s="82">
        <v>1.3374999999999999E-3</v>
      </c>
      <c r="M165" s="138">
        <v>1.2531E-3</v>
      </c>
      <c r="N165" s="138">
        <v>1.2531E-3</v>
      </c>
      <c r="O165" s="138">
        <v>1.2531E-3</v>
      </c>
      <c r="P165" s="138">
        <v>1.2531E-3</v>
      </c>
      <c r="Q165" s="138">
        <v>1.2531E-3</v>
      </c>
      <c r="R165" s="138">
        <v>1.2531E-3</v>
      </c>
      <c r="S165" s="138">
        <v>1.2531E-3</v>
      </c>
      <c r="T165" s="138">
        <v>1.2531E-3</v>
      </c>
      <c r="U165" s="138">
        <v>1.2531E-3</v>
      </c>
      <c r="V165" s="138">
        <v>1.2531E-3</v>
      </c>
      <c r="W165" s="138">
        <v>1.2531E-3</v>
      </c>
      <c r="X165" s="138">
        <v>1.2531E-3</v>
      </c>
      <c r="Y165" s="138">
        <f t="shared" si="123"/>
        <v>1.2531E-3</v>
      </c>
      <c r="Z165" s="138">
        <f t="shared" si="124"/>
        <v>1.2531E-3</v>
      </c>
      <c r="AA165" s="138">
        <f t="shared" si="125"/>
        <v>1.2531E-3</v>
      </c>
      <c r="AB165" s="138">
        <f t="shared" si="126"/>
        <v>1.2531E-3</v>
      </c>
      <c r="AC165" s="138">
        <f t="shared" si="127"/>
        <v>1.2531E-3</v>
      </c>
      <c r="AD165" s="138">
        <f t="shared" si="128"/>
        <v>1.2531E-3</v>
      </c>
      <c r="AE165" s="138">
        <f t="shared" si="129"/>
        <v>1.2531E-3</v>
      </c>
      <c r="AF165" s="138">
        <f t="shared" si="130"/>
        <v>1.2531E-3</v>
      </c>
      <c r="AG165" s="138">
        <f t="shared" si="131"/>
        <v>1.2531E-3</v>
      </c>
      <c r="AH165" s="138">
        <f t="shared" si="132"/>
        <v>1.2531E-3</v>
      </c>
      <c r="AI165" s="138">
        <f t="shared" si="133"/>
        <v>1.2531E-3</v>
      </c>
      <c r="AJ165" s="138">
        <f t="shared" si="134"/>
        <v>1.2531E-3</v>
      </c>
      <c r="AK165" s="138">
        <f t="shared" si="135"/>
        <v>1.2531E-3</v>
      </c>
      <c r="AL165" s="138">
        <f t="shared" si="136"/>
        <v>1.2531E-3</v>
      </c>
      <c r="AM165" s="138">
        <f t="shared" si="137"/>
        <v>1.2531E-3</v>
      </c>
      <c r="AO165" s="77" t="str">
        <f t="shared" si="94"/>
        <v>DS-4 (Large General Service)</v>
      </c>
      <c r="AP165" s="78" t="s">
        <v>642</v>
      </c>
      <c r="AQ165" s="77" t="str">
        <f t="shared" si="95"/>
        <v>EDT Cost Recovery Rate Zone I Primary</v>
      </c>
      <c r="AR165" s="78" t="str">
        <f t="shared" si="96"/>
        <v>Billing Cycle</v>
      </c>
      <c r="AS165" s="79">
        <f t="shared" si="97"/>
        <v>8</v>
      </c>
      <c r="AT165" s="78">
        <f t="shared" si="98"/>
        <v>0</v>
      </c>
      <c r="AU165" s="78">
        <f t="shared" si="99"/>
        <v>1.2531E-3</v>
      </c>
      <c r="AV165" s="78">
        <f t="shared" si="100"/>
        <v>1.2531E-3</v>
      </c>
      <c r="AW165" s="78">
        <f t="shared" si="101"/>
        <v>1.2531E-3</v>
      </c>
      <c r="AX165" s="78">
        <f t="shared" si="102"/>
        <v>1.2531E-3</v>
      </c>
      <c r="AY165" s="78">
        <f t="shared" si="103"/>
        <v>1.2531E-3</v>
      </c>
      <c r="AZ165" s="78">
        <f t="shared" si="104"/>
        <v>1.2531E-3</v>
      </c>
      <c r="BA165" s="78">
        <f t="shared" si="105"/>
        <v>1.2531E-3</v>
      </c>
      <c r="BB165" s="78">
        <f t="shared" si="106"/>
        <v>1.2531E-3</v>
      </c>
      <c r="BC165" s="78">
        <f t="shared" si="107"/>
        <v>1.2531E-3</v>
      </c>
      <c r="BD165" s="78">
        <f t="shared" si="108"/>
        <v>1.2531E-3</v>
      </c>
      <c r="BE165" s="78">
        <f t="shared" si="109"/>
        <v>1.2531E-3</v>
      </c>
      <c r="BF165" s="78">
        <f t="shared" si="110"/>
        <v>1.2531E-3</v>
      </c>
      <c r="BG165" s="78">
        <f t="shared" si="111"/>
        <v>1.2531E-3</v>
      </c>
      <c r="BH165" s="78">
        <f t="shared" si="112"/>
        <v>1.2531E-3</v>
      </c>
      <c r="BI165" s="78">
        <f t="shared" si="113"/>
        <v>1.2531E-3</v>
      </c>
      <c r="BJ165" s="78">
        <f t="shared" si="114"/>
        <v>1.2531E-3</v>
      </c>
      <c r="BK165" s="78">
        <f t="shared" si="115"/>
        <v>1.2531E-3</v>
      </c>
      <c r="BL165" s="78">
        <f t="shared" si="116"/>
        <v>1.2531E-3</v>
      </c>
      <c r="BM165" s="78">
        <f t="shared" si="117"/>
        <v>1.2531E-3</v>
      </c>
      <c r="BN165" s="78">
        <f t="shared" si="118"/>
        <v>1.2531E-3</v>
      </c>
      <c r="BO165" s="78">
        <f t="shared" si="119"/>
        <v>1.2531E-3</v>
      </c>
      <c r="BP165" s="78">
        <f t="shared" si="120"/>
        <v>1.2531E-3</v>
      </c>
      <c r="BQ165" s="78">
        <f t="shared" si="121"/>
        <v>1.2531E-3</v>
      </c>
      <c r="BR165" s="78">
        <f t="shared" si="122"/>
        <v>1.2531E-3</v>
      </c>
      <c r="BS165" s="77"/>
      <c r="BT165" s="77"/>
    </row>
    <row r="166" spans="1:72" ht="14.1" customHeight="1" x14ac:dyDescent="0.2">
      <c r="A166" s="55" t="str">
        <f t="shared" si="93"/>
        <v>DS-6 (DS-4) Temp. Sensitive DS_EDT Cost Recovery Rate Zone I Primary</v>
      </c>
      <c r="B166" s="80" t="s">
        <v>645</v>
      </c>
      <c r="C166" s="83" t="s">
        <v>763</v>
      </c>
      <c r="D166" s="150"/>
      <c r="E166" s="81"/>
      <c r="F166" s="73" t="s">
        <v>649</v>
      </c>
      <c r="G166" s="73">
        <v>0</v>
      </c>
      <c r="H166" s="73">
        <v>8</v>
      </c>
      <c r="I166" s="74" t="s">
        <v>641</v>
      </c>
      <c r="J166" s="75" t="s">
        <v>634</v>
      </c>
      <c r="K166" s="74"/>
      <c r="L166" s="82">
        <v>1.3374999999999999E-3</v>
      </c>
      <c r="M166" s="138">
        <v>1.2531E-3</v>
      </c>
      <c r="N166" s="138">
        <v>1.2531E-3</v>
      </c>
      <c r="O166" s="138">
        <v>1.2531E-3</v>
      </c>
      <c r="P166" s="138">
        <v>1.2531E-3</v>
      </c>
      <c r="Q166" s="138">
        <v>1.2531E-3</v>
      </c>
      <c r="R166" s="138">
        <v>1.2531E-3</v>
      </c>
      <c r="S166" s="138">
        <v>1.2531E-3</v>
      </c>
      <c r="T166" s="138">
        <v>1.2531E-3</v>
      </c>
      <c r="U166" s="138">
        <v>1.2531E-3</v>
      </c>
      <c r="V166" s="138">
        <v>1.2531E-3</v>
      </c>
      <c r="W166" s="138">
        <v>1.2531E-3</v>
      </c>
      <c r="X166" s="138">
        <v>1.2531E-3</v>
      </c>
      <c r="Y166" s="138">
        <f t="shared" si="123"/>
        <v>1.2531E-3</v>
      </c>
      <c r="Z166" s="138">
        <f t="shared" si="124"/>
        <v>1.2531E-3</v>
      </c>
      <c r="AA166" s="138">
        <f t="shared" si="125"/>
        <v>1.2531E-3</v>
      </c>
      <c r="AB166" s="138">
        <f t="shared" si="126"/>
        <v>1.2531E-3</v>
      </c>
      <c r="AC166" s="138">
        <f t="shared" si="127"/>
        <v>1.2531E-3</v>
      </c>
      <c r="AD166" s="138">
        <f t="shared" si="128"/>
        <v>1.2531E-3</v>
      </c>
      <c r="AE166" s="138">
        <f t="shared" si="129"/>
        <v>1.2531E-3</v>
      </c>
      <c r="AF166" s="138">
        <f t="shared" si="130"/>
        <v>1.2531E-3</v>
      </c>
      <c r="AG166" s="138">
        <f t="shared" si="131"/>
        <v>1.2531E-3</v>
      </c>
      <c r="AH166" s="138">
        <f t="shared" si="132"/>
        <v>1.2531E-3</v>
      </c>
      <c r="AI166" s="138">
        <f t="shared" si="133"/>
        <v>1.2531E-3</v>
      </c>
      <c r="AJ166" s="138">
        <f t="shared" si="134"/>
        <v>1.2531E-3</v>
      </c>
      <c r="AK166" s="138">
        <f t="shared" si="135"/>
        <v>1.2531E-3</v>
      </c>
      <c r="AL166" s="138">
        <f t="shared" si="136"/>
        <v>1.2531E-3</v>
      </c>
      <c r="AM166" s="138">
        <f t="shared" si="137"/>
        <v>1.2531E-3</v>
      </c>
      <c r="AO166" s="77" t="str">
        <f t="shared" si="94"/>
        <v>DS-6 (DS-4) Temp. Sensitive DS</v>
      </c>
      <c r="AP166" s="78" t="s">
        <v>646</v>
      </c>
      <c r="AQ166" s="77" t="str">
        <f t="shared" si="95"/>
        <v>EDT Cost Recovery Rate Zone I Primary</v>
      </c>
      <c r="AR166" s="78" t="str">
        <f t="shared" si="96"/>
        <v>Billing Cycle</v>
      </c>
      <c r="AS166" s="79">
        <f t="shared" si="97"/>
        <v>8</v>
      </c>
      <c r="AT166" s="78">
        <f t="shared" si="98"/>
        <v>0</v>
      </c>
      <c r="AU166" s="78">
        <f t="shared" si="99"/>
        <v>1.2531E-3</v>
      </c>
      <c r="AV166" s="78">
        <f t="shared" si="100"/>
        <v>1.2531E-3</v>
      </c>
      <c r="AW166" s="78">
        <f t="shared" si="101"/>
        <v>1.2531E-3</v>
      </c>
      <c r="AX166" s="78">
        <f t="shared" si="102"/>
        <v>1.2531E-3</v>
      </c>
      <c r="AY166" s="78">
        <f t="shared" si="103"/>
        <v>1.2531E-3</v>
      </c>
      <c r="AZ166" s="78">
        <f t="shared" si="104"/>
        <v>1.2531E-3</v>
      </c>
      <c r="BA166" s="78">
        <f t="shared" si="105"/>
        <v>1.2531E-3</v>
      </c>
      <c r="BB166" s="78">
        <f t="shared" si="106"/>
        <v>1.2531E-3</v>
      </c>
      <c r="BC166" s="78">
        <f t="shared" si="107"/>
        <v>1.2531E-3</v>
      </c>
      <c r="BD166" s="78">
        <f t="shared" si="108"/>
        <v>1.2531E-3</v>
      </c>
      <c r="BE166" s="78">
        <f t="shared" si="109"/>
        <v>1.2531E-3</v>
      </c>
      <c r="BF166" s="78">
        <f t="shared" si="110"/>
        <v>1.2531E-3</v>
      </c>
      <c r="BG166" s="78">
        <f t="shared" si="111"/>
        <v>1.2531E-3</v>
      </c>
      <c r="BH166" s="78">
        <f t="shared" si="112"/>
        <v>1.2531E-3</v>
      </c>
      <c r="BI166" s="78">
        <f t="shared" si="113"/>
        <v>1.2531E-3</v>
      </c>
      <c r="BJ166" s="78">
        <f t="shared" si="114"/>
        <v>1.2531E-3</v>
      </c>
      <c r="BK166" s="78">
        <f t="shared" si="115"/>
        <v>1.2531E-3</v>
      </c>
      <c r="BL166" s="78">
        <f t="shared" si="116"/>
        <v>1.2531E-3</v>
      </c>
      <c r="BM166" s="78">
        <f t="shared" si="117"/>
        <v>1.2531E-3</v>
      </c>
      <c r="BN166" s="78">
        <f t="shared" si="118"/>
        <v>1.2531E-3</v>
      </c>
      <c r="BO166" s="78">
        <f t="shared" si="119"/>
        <v>1.2531E-3</v>
      </c>
      <c r="BP166" s="78">
        <f t="shared" si="120"/>
        <v>1.2531E-3</v>
      </c>
      <c r="BQ166" s="78">
        <f t="shared" si="121"/>
        <v>1.2531E-3</v>
      </c>
      <c r="BR166" s="78">
        <f t="shared" si="122"/>
        <v>1.2531E-3</v>
      </c>
      <c r="BS166" s="77"/>
      <c r="BT166" s="77"/>
    </row>
    <row r="167" spans="1:72" ht="14.1" customHeight="1" x14ac:dyDescent="0.2">
      <c r="A167" s="55" t="str">
        <f t="shared" si="93"/>
        <v>DS-1 (Residential)_EDT Cost Recovery Rate Zone II</v>
      </c>
      <c r="B167" s="80" t="s">
        <v>90</v>
      </c>
      <c r="C167" s="71" t="s">
        <v>764</v>
      </c>
      <c r="D167" s="150"/>
      <c r="E167" s="81"/>
      <c r="F167" s="73" t="s">
        <v>649</v>
      </c>
      <c r="G167" s="73">
        <v>0</v>
      </c>
      <c r="H167" s="73">
        <v>8</v>
      </c>
      <c r="I167" s="74" t="s">
        <v>641</v>
      </c>
      <c r="J167" s="75" t="s">
        <v>634</v>
      </c>
      <c r="K167" s="74"/>
      <c r="L167" s="82">
        <v>1.3374999999999999E-3</v>
      </c>
      <c r="M167" s="138">
        <v>1.2531E-3</v>
      </c>
      <c r="N167" s="138">
        <v>1.2531E-3</v>
      </c>
      <c r="O167" s="138">
        <v>1.2531E-3</v>
      </c>
      <c r="P167" s="138">
        <v>1.2531E-3</v>
      </c>
      <c r="Q167" s="138">
        <v>1.2531E-3</v>
      </c>
      <c r="R167" s="138">
        <v>1.2531E-3</v>
      </c>
      <c r="S167" s="138">
        <v>1.2531E-3</v>
      </c>
      <c r="T167" s="138">
        <v>1.2531E-3</v>
      </c>
      <c r="U167" s="138">
        <v>1.2531E-3</v>
      </c>
      <c r="V167" s="138">
        <v>1.2531E-3</v>
      </c>
      <c r="W167" s="138">
        <v>1.2531E-3</v>
      </c>
      <c r="X167" s="138">
        <v>1.2531E-3</v>
      </c>
      <c r="Y167" s="138">
        <f t="shared" si="123"/>
        <v>1.2531E-3</v>
      </c>
      <c r="Z167" s="138">
        <f t="shared" si="124"/>
        <v>1.2531E-3</v>
      </c>
      <c r="AA167" s="138">
        <f t="shared" si="125"/>
        <v>1.2531E-3</v>
      </c>
      <c r="AB167" s="138">
        <f t="shared" si="126"/>
        <v>1.2531E-3</v>
      </c>
      <c r="AC167" s="138">
        <f t="shared" si="127"/>
        <v>1.2531E-3</v>
      </c>
      <c r="AD167" s="138">
        <f t="shared" si="128"/>
        <v>1.2531E-3</v>
      </c>
      <c r="AE167" s="138">
        <f t="shared" si="129"/>
        <v>1.2531E-3</v>
      </c>
      <c r="AF167" s="138">
        <f t="shared" si="130"/>
        <v>1.2531E-3</v>
      </c>
      <c r="AG167" s="138">
        <f t="shared" si="131"/>
        <v>1.2531E-3</v>
      </c>
      <c r="AH167" s="138">
        <f t="shared" si="132"/>
        <v>1.2531E-3</v>
      </c>
      <c r="AI167" s="138">
        <f t="shared" si="133"/>
        <v>1.2531E-3</v>
      </c>
      <c r="AJ167" s="138">
        <f t="shared" si="134"/>
        <v>1.2531E-3</v>
      </c>
      <c r="AK167" s="138">
        <f t="shared" si="135"/>
        <v>1.2531E-3</v>
      </c>
      <c r="AL167" s="138">
        <f t="shared" si="136"/>
        <v>1.2531E-3</v>
      </c>
      <c r="AM167" s="138">
        <f t="shared" si="137"/>
        <v>1.2531E-3</v>
      </c>
      <c r="AO167" s="77" t="str">
        <f t="shared" si="94"/>
        <v>DS-1 (Residential)</v>
      </c>
      <c r="AP167" s="78" t="s">
        <v>662</v>
      </c>
      <c r="AQ167" s="77" t="str">
        <f t="shared" si="95"/>
        <v>EDT Cost Recovery Rate Zone II</v>
      </c>
      <c r="AR167" s="78" t="str">
        <f t="shared" si="96"/>
        <v>Billing Cycle</v>
      </c>
      <c r="AS167" s="79">
        <f t="shared" si="97"/>
        <v>8</v>
      </c>
      <c r="AT167" s="78">
        <f t="shared" si="98"/>
        <v>0</v>
      </c>
      <c r="AU167" s="78">
        <f t="shared" si="99"/>
        <v>1.2531E-3</v>
      </c>
      <c r="AV167" s="78">
        <f t="shared" si="100"/>
        <v>1.2531E-3</v>
      </c>
      <c r="AW167" s="78">
        <f t="shared" si="101"/>
        <v>1.2531E-3</v>
      </c>
      <c r="AX167" s="78">
        <f t="shared" si="102"/>
        <v>1.2531E-3</v>
      </c>
      <c r="AY167" s="78">
        <f t="shared" si="103"/>
        <v>1.2531E-3</v>
      </c>
      <c r="AZ167" s="78">
        <f t="shared" si="104"/>
        <v>1.2531E-3</v>
      </c>
      <c r="BA167" s="78">
        <f t="shared" si="105"/>
        <v>1.2531E-3</v>
      </c>
      <c r="BB167" s="78">
        <f t="shared" si="106"/>
        <v>1.2531E-3</v>
      </c>
      <c r="BC167" s="78">
        <f t="shared" si="107"/>
        <v>1.2531E-3</v>
      </c>
      <c r="BD167" s="78">
        <f t="shared" si="108"/>
        <v>1.2531E-3</v>
      </c>
      <c r="BE167" s="78">
        <f t="shared" si="109"/>
        <v>1.2531E-3</v>
      </c>
      <c r="BF167" s="78">
        <f t="shared" si="110"/>
        <v>1.2531E-3</v>
      </c>
      <c r="BG167" s="78">
        <f t="shared" si="111"/>
        <v>1.2531E-3</v>
      </c>
      <c r="BH167" s="78">
        <f t="shared" si="112"/>
        <v>1.2531E-3</v>
      </c>
      <c r="BI167" s="78">
        <f t="shared" si="113"/>
        <v>1.2531E-3</v>
      </c>
      <c r="BJ167" s="78">
        <f t="shared" si="114"/>
        <v>1.2531E-3</v>
      </c>
      <c r="BK167" s="78">
        <f t="shared" si="115"/>
        <v>1.2531E-3</v>
      </c>
      <c r="BL167" s="78">
        <f t="shared" si="116"/>
        <v>1.2531E-3</v>
      </c>
      <c r="BM167" s="78">
        <f t="shared" si="117"/>
        <v>1.2531E-3</v>
      </c>
      <c r="BN167" s="78">
        <f t="shared" si="118"/>
        <v>1.2531E-3</v>
      </c>
      <c r="BO167" s="78">
        <f t="shared" si="119"/>
        <v>1.2531E-3</v>
      </c>
      <c r="BP167" s="78">
        <f t="shared" si="120"/>
        <v>1.2531E-3</v>
      </c>
      <c r="BQ167" s="78">
        <f t="shared" si="121"/>
        <v>1.2531E-3</v>
      </c>
      <c r="BR167" s="78">
        <f t="shared" si="122"/>
        <v>1.2531E-3</v>
      </c>
      <c r="BS167" s="77"/>
      <c r="BT167" s="77"/>
    </row>
    <row r="168" spans="1:72" ht="14.1" customHeight="1" x14ac:dyDescent="0.2">
      <c r="A168" s="55" t="str">
        <f t="shared" si="93"/>
        <v>DS-2 (Small General Service)_EDT Cost Recovery Rate Zone II</v>
      </c>
      <c r="B168" s="80" t="s">
        <v>665</v>
      </c>
      <c r="C168" s="71" t="s">
        <v>764</v>
      </c>
      <c r="D168" s="150"/>
      <c r="E168" s="81"/>
      <c r="F168" s="73" t="s">
        <v>649</v>
      </c>
      <c r="G168" s="73">
        <v>0</v>
      </c>
      <c r="H168" s="73">
        <v>8</v>
      </c>
      <c r="I168" s="74" t="s">
        <v>641</v>
      </c>
      <c r="J168" s="75" t="s">
        <v>634</v>
      </c>
      <c r="K168" s="74"/>
      <c r="L168" s="82">
        <v>1.3374999999999999E-3</v>
      </c>
      <c r="M168" s="138">
        <v>1.2531E-3</v>
      </c>
      <c r="N168" s="138">
        <v>1.2531E-3</v>
      </c>
      <c r="O168" s="138">
        <v>1.2531E-3</v>
      </c>
      <c r="P168" s="138">
        <v>1.2531E-3</v>
      </c>
      <c r="Q168" s="138">
        <v>1.2531E-3</v>
      </c>
      <c r="R168" s="138">
        <v>1.2531E-3</v>
      </c>
      <c r="S168" s="138">
        <v>1.2531E-3</v>
      </c>
      <c r="T168" s="138">
        <v>1.2531E-3</v>
      </c>
      <c r="U168" s="138">
        <v>1.2531E-3</v>
      </c>
      <c r="V168" s="138">
        <v>1.2531E-3</v>
      </c>
      <c r="W168" s="138">
        <v>1.2531E-3</v>
      </c>
      <c r="X168" s="138">
        <v>1.2531E-3</v>
      </c>
      <c r="Y168" s="138">
        <f t="shared" si="123"/>
        <v>1.2531E-3</v>
      </c>
      <c r="Z168" s="138">
        <f t="shared" si="124"/>
        <v>1.2531E-3</v>
      </c>
      <c r="AA168" s="138">
        <f t="shared" si="125"/>
        <v>1.2531E-3</v>
      </c>
      <c r="AB168" s="138">
        <f t="shared" si="126"/>
        <v>1.2531E-3</v>
      </c>
      <c r="AC168" s="138">
        <f t="shared" si="127"/>
        <v>1.2531E-3</v>
      </c>
      <c r="AD168" s="138">
        <f t="shared" si="128"/>
        <v>1.2531E-3</v>
      </c>
      <c r="AE168" s="138">
        <f t="shared" si="129"/>
        <v>1.2531E-3</v>
      </c>
      <c r="AF168" s="138">
        <f t="shared" si="130"/>
        <v>1.2531E-3</v>
      </c>
      <c r="AG168" s="138">
        <f t="shared" si="131"/>
        <v>1.2531E-3</v>
      </c>
      <c r="AH168" s="138">
        <f t="shared" si="132"/>
        <v>1.2531E-3</v>
      </c>
      <c r="AI168" s="138">
        <f t="shared" si="133"/>
        <v>1.2531E-3</v>
      </c>
      <c r="AJ168" s="138">
        <f t="shared" si="134"/>
        <v>1.2531E-3</v>
      </c>
      <c r="AK168" s="138">
        <f t="shared" si="135"/>
        <v>1.2531E-3</v>
      </c>
      <c r="AL168" s="138">
        <f t="shared" si="136"/>
        <v>1.2531E-3</v>
      </c>
      <c r="AM168" s="138">
        <f t="shared" si="137"/>
        <v>1.2531E-3</v>
      </c>
      <c r="AO168" s="77" t="str">
        <f t="shared" si="94"/>
        <v>DS-2 (Small General Service)</v>
      </c>
      <c r="AP168" s="78" t="s">
        <v>664</v>
      </c>
      <c r="AQ168" s="77" t="str">
        <f t="shared" si="95"/>
        <v>EDT Cost Recovery Rate Zone II</v>
      </c>
      <c r="AR168" s="78" t="str">
        <f t="shared" si="96"/>
        <v>Billing Cycle</v>
      </c>
      <c r="AS168" s="79">
        <f t="shared" si="97"/>
        <v>8</v>
      </c>
      <c r="AT168" s="78">
        <f t="shared" si="98"/>
        <v>0</v>
      </c>
      <c r="AU168" s="78">
        <f t="shared" si="99"/>
        <v>1.2531E-3</v>
      </c>
      <c r="AV168" s="78">
        <f t="shared" si="100"/>
        <v>1.2531E-3</v>
      </c>
      <c r="AW168" s="78">
        <f t="shared" si="101"/>
        <v>1.2531E-3</v>
      </c>
      <c r="AX168" s="78">
        <f t="shared" si="102"/>
        <v>1.2531E-3</v>
      </c>
      <c r="AY168" s="78">
        <f t="shared" si="103"/>
        <v>1.2531E-3</v>
      </c>
      <c r="AZ168" s="78">
        <f t="shared" si="104"/>
        <v>1.2531E-3</v>
      </c>
      <c r="BA168" s="78">
        <f t="shared" si="105"/>
        <v>1.2531E-3</v>
      </c>
      <c r="BB168" s="78">
        <f t="shared" si="106"/>
        <v>1.2531E-3</v>
      </c>
      <c r="BC168" s="78">
        <f t="shared" si="107"/>
        <v>1.2531E-3</v>
      </c>
      <c r="BD168" s="78">
        <f t="shared" si="108"/>
        <v>1.2531E-3</v>
      </c>
      <c r="BE168" s="78">
        <f t="shared" si="109"/>
        <v>1.2531E-3</v>
      </c>
      <c r="BF168" s="78">
        <f t="shared" si="110"/>
        <v>1.2531E-3</v>
      </c>
      <c r="BG168" s="78">
        <f t="shared" si="111"/>
        <v>1.2531E-3</v>
      </c>
      <c r="BH168" s="78">
        <f t="shared" si="112"/>
        <v>1.2531E-3</v>
      </c>
      <c r="BI168" s="78">
        <f t="shared" si="113"/>
        <v>1.2531E-3</v>
      </c>
      <c r="BJ168" s="78">
        <f t="shared" si="114"/>
        <v>1.2531E-3</v>
      </c>
      <c r="BK168" s="78">
        <f t="shared" si="115"/>
        <v>1.2531E-3</v>
      </c>
      <c r="BL168" s="78">
        <f t="shared" si="116"/>
        <v>1.2531E-3</v>
      </c>
      <c r="BM168" s="78">
        <f t="shared" si="117"/>
        <v>1.2531E-3</v>
      </c>
      <c r="BN168" s="78">
        <f t="shared" si="118"/>
        <v>1.2531E-3</v>
      </c>
      <c r="BO168" s="78">
        <f t="shared" si="119"/>
        <v>1.2531E-3</v>
      </c>
      <c r="BP168" s="78">
        <f t="shared" si="120"/>
        <v>1.2531E-3</v>
      </c>
      <c r="BQ168" s="78">
        <f t="shared" si="121"/>
        <v>1.2531E-3</v>
      </c>
      <c r="BR168" s="78">
        <f t="shared" si="122"/>
        <v>1.2531E-3</v>
      </c>
      <c r="BS168" s="77"/>
      <c r="BT168" s="77"/>
    </row>
    <row r="169" spans="1:72" ht="14.1" customHeight="1" x14ac:dyDescent="0.2">
      <c r="A169" s="55" t="str">
        <f t="shared" si="93"/>
        <v>DS-3 (General Delivery Service)_EDT Cost Recovery Rate Zone II</v>
      </c>
      <c r="B169" s="80" t="s">
        <v>666</v>
      </c>
      <c r="C169" s="71" t="s">
        <v>764</v>
      </c>
      <c r="D169" s="150"/>
      <c r="E169" s="81"/>
      <c r="F169" s="73" t="s">
        <v>649</v>
      </c>
      <c r="G169" s="73">
        <v>0</v>
      </c>
      <c r="H169" s="73">
        <v>8</v>
      </c>
      <c r="I169" s="74" t="s">
        <v>641</v>
      </c>
      <c r="J169" s="75" t="s">
        <v>634</v>
      </c>
      <c r="K169" s="74"/>
      <c r="L169" s="82">
        <v>1.3374999999999999E-3</v>
      </c>
      <c r="M169" s="138">
        <v>1.2531E-3</v>
      </c>
      <c r="N169" s="138">
        <v>1.2531E-3</v>
      </c>
      <c r="O169" s="138">
        <v>1.2531E-3</v>
      </c>
      <c r="P169" s="138">
        <v>1.2531E-3</v>
      </c>
      <c r="Q169" s="138">
        <v>1.2531E-3</v>
      </c>
      <c r="R169" s="138">
        <v>1.2531E-3</v>
      </c>
      <c r="S169" s="138">
        <v>1.2531E-3</v>
      </c>
      <c r="T169" s="138">
        <v>1.2531E-3</v>
      </c>
      <c r="U169" s="138">
        <v>1.2531E-3</v>
      </c>
      <c r="V169" s="138">
        <v>1.2531E-3</v>
      </c>
      <c r="W169" s="138">
        <v>1.2531E-3</v>
      </c>
      <c r="X169" s="138">
        <v>1.2531E-3</v>
      </c>
      <c r="Y169" s="138">
        <f t="shared" si="123"/>
        <v>1.2531E-3</v>
      </c>
      <c r="Z169" s="138">
        <f t="shared" si="124"/>
        <v>1.2531E-3</v>
      </c>
      <c r="AA169" s="138">
        <f t="shared" si="125"/>
        <v>1.2531E-3</v>
      </c>
      <c r="AB169" s="138">
        <f t="shared" si="126"/>
        <v>1.2531E-3</v>
      </c>
      <c r="AC169" s="138">
        <f t="shared" si="127"/>
        <v>1.2531E-3</v>
      </c>
      <c r="AD169" s="138">
        <f t="shared" si="128"/>
        <v>1.2531E-3</v>
      </c>
      <c r="AE169" s="138">
        <f t="shared" si="129"/>
        <v>1.2531E-3</v>
      </c>
      <c r="AF169" s="138">
        <f t="shared" si="130"/>
        <v>1.2531E-3</v>
      </c>
      <c r="AG169" s="138">
        <f t="shared" si="131"/>
        <v>1.2531E-3</v>
      </c>
      <c r="AH169" s="138">
        <f t="shared" si="132"/>
        <v>1.2531E-3</v>
      </c>
      <c r="AI169" s="138">
        <f t="shared" si="133"/>
        <v>1.2531E-3</v>
      </c>
      <c r="AJ169" s="138">
        <f t="shared" si="134"/>
        <v>1.2531E-3</v>
      </c>
      <c r="AK169" s="138">
        <f t="shared" si="135"/>
        <v>1.2531E-3</v>
      </c>
      <c r="AL169" s="138">
        <f t="shared" si="136"/>
        <v>1.2531E-3</v>
      </c>
      <c r="AM169" s="138">
        <f t="shared" si="137"/>
        <v>1.2531E-3</v>
      </c>
      <c r="AO169" s="77" t="str">
        <f t="shared" si="94"/>
        <v>DS-3 (General Delivery Service)</v>
      </c>
      <c r="AP169" s="78" t="s">
        <v>667</v>
      </c>
      <c r="AQ169" s="77" t="str">
        <f t="shared" si="95"/>
        <v>EDT Cost Recovery Rate Zone II</v>
      </c>
      <c r="AR169" s="78" t="str">
        <f t="shared" si="96"/>
        <v>Billing Cycle</v>
      </c>
      <c r="AS169" s="79">
        <f t="shared" si="97"/>
        <v>8</v>
      </c>
      <c r="AT169" s="78">
        <f t="shared" si="98"/>
        <v>0</v>
      </c>
      <c r="AU169" s="78">
        <f t="shared" si="99"/>
        <v>1.2531E-3</v>
      </c>
      <c r="AV169" s="78">
        <f t="shared" si="100"/>
        <v>1.2531E-3</v>
      </c>
      <c r="AW169" s="78">
        <f t="shared" si="101"/>
        <v>1.2531E-3</v>
      </c>
      <c r="AX169" s="78">
        <f t="shared" si="102"/>
        <v>1.2531E-3</v>
      </c>
      <c r="AY169" s="78">
        <f t="shared" si="103"/>
        <v>1.2531E-3</v>
      </c>
      <c r="AZ169" s="78">
        <f t="shared" si="104"/>
        <v>1.2531E-3</v>
      </c>
      <c r="BA169" s="78">
        <f t="shared" si="105"/>
        <v>1.2531E-3</v>
      </c>
      <c r="BB169" s="78">
        <f t="shared" si="106"/>
        <v>1.2531E-3</v>
      </c>
      <c r="BC169" s="78">
        <f t="shared" si="107"/>
        <v>1.2531E-3</v>
      </c>
      <c r="BD169" s="78">
        <f t="shared" si="108"/>
        <v>1.2531E-3</v>
      </c>
      <c r="BE169" s="78">
        <f t="shared" si="109"/>
        <v>1.2531E-3</v>
      </c>
      <c r="BF169" s="78">
        <f t="shared" si="110"/>
        <v>1.2531E-3</v>
      </c>
      <c r="BG169" s="78">
        <f t="shared" si="111"/>
        <v>1.2531E-3</v>
      </c>
      <c r="BH169" s="78">
        <f t="shared" si="112"/>
        <v>1.2531E-3</v>
      </c>
      <c r="BI169" s="78">
        <f t="shared" si="113"/>
        <v>1.2531E-3</v>
      </c>
      <c r="BJ169" s="78">
        <f t="shared" si="114"/>
        <v>1.2531E-3</v>
      </c>
      <c r="BK169" s="78">
        <f t="shared" si="115"/>
        <v>1.2531E-3</v>
      </c>
      <c r="BL169" s="78">
        <f t="shared" si="116"/>
        <v>1.2531E-3</v>
      </c>
      <c r="BM169" s="78">
        <f t="shared" si="117"/>
        <v>1.2531E-3</v>
      </c>
      <c r="BN169" s="78">
        <f t="shared" si="118"/>
        <v>1.2531E-3</v>
      </c>
      <c r="BO169" s="78">
        <f t="shared" si="119"/>
        <v>1.2531E-3</v>
      </c>
      <c r="BP169" s="78">
        <f t="shared" si="120"/>
        <v>1.2531E-3</v>
      </c>
      <c r="BQ169" s="78">
        <f t="shared" si="121"/>
        <v>1.2531E-3</v>
      </c>
      <c r="BR169" s="78">
        <f t="shared" si="122"/>
        <v>1.2531E-3</v>
      </c>
      <c r="BS169" s="77"/>
      <c r="BT169" s="77"/>
    </row>
    <row r="170" spans="1:72" ht="14.1" customHeight="1" x14ac:dyDescent="0.2">
      <c r="A170" s="55" t="str">
        <f t="shared" si="93"/>
        <v>DS-5 (Lighting Service)_EDT Cost Recovery Rate Zone II</v>
      </c>
      <c r="B170" s="80" t="s">
        <v>647</v>
      </c>
      <c r="C170" s="71" t="s">
        <v>764</v>
      </c>
      <c r="D170" s="150"/>
      <c r="E170" s="81"/>
      <c r="F170" s="73" t="s">
        <v>649</v>
      </c>
      <c r="G170" s="73">
        <v>0</v>
      </c>
      <c r="H170" s="73">
        <v>8</v>
      </c>
      <c r="I170" s="74" t="s">
        <v>641</v>
      </c>
      <c r="J170" s="75" t="s">
        <v>634</v>
      </c>
      <c r="K170" s="74"/>
      <c r="L170" s="82">
        <v>1.3374999999999999E-3</v>
      </c>
      <c r="M170" s="138">
        <v>1.2531E-3</v>
      </c>
      <c r="N170" s="138">
        <v>1.2531E-3</v>
      </c>
      <c r="O170" s="138">
        <v>1.2531E-3</v>
      </c>
      <c r="P170" s="138">
        <v>1.2531E-3</v>
      </c>
      <c r="Q170" s="138">
        <v>1.2531E-3</v>
      </c>
      <c r="R170" s="138">
        <v>1.2531E-3</v>
      </c>
      <c r="S170" s="138">
        <v>1.2531E-3</v>
      </c>
      <c r="T170" s="138">
        <v>1.2531E-3</v>
      </c>
      <c r="U170" s="138">
        <v>1.2531E-3</v>
      </c>
      <c r="V170" s="138">
        <v>1.2531E-3</v>
      </c>
      <c r="W170" s="138">
        <v>1.2531E-3</v>
      </c>
      <c r="X170" s="138">
        <v>1.2531E-3</v>
      </c>
      <c r="Y170" s="138">
        <f t="shared" si="123"/>
        <v>1.2531E-3</v>
      </c>
      <c r="Z170" s="138">
        <f t="shared" si="124"/>
        <v>1.2531E-3</v>
      </c>
      <c r="AA170" s="138">
        <f t="shared" si="125"/>
        <v>1.2531E-3</v>
      </c>
      <c r="AB170" s="138">
        <f t="shared" si="126"/>
        <v>1.2531E-3</v>
      </c>
      <c r="AC170" s="138">
        <f t="shared" si="127"/>
        <v>1.2531E-3</v>
      </c>
      <c r="AD170" s="138">
        <f t="shared" si="128"/>
        <v>1.2531E-3</v>
      </c>
      <c r="AE170" s="138">
        <f t="shared" si="129"/>
        <v>1.2531E-3</v>
      </c>
      <c r="AF170" s="138">
        <f t="shared" si="130"/>
        <v>1.2531E-3</v>
      </c>
      <c r="AG170" s="138">
        <f t="shared" si="131"/>
        <v>1.2531E-3</v>
      </c>
      <c r="AH170" s="138">
        <f t="shared" si="132"/>
        <v>1.2531E-3</v>
      </c>
      <c r="AI170" s="138">
        <f t="shared" si="133"/>
        <v>1.2531E-3</v>
      </c>
      <c r="AJ170" s="138">
        <f t="shared" si="134"/>
        <v>1.2531E-3</v>
      </c>
      <c r="AK170" s="138">
        <f t="shared" si="135"/>
        <v>1.2531E-3</v>
      </c>
      <c r="AL170" s="138">
        <f t="shared" si="136"/>
        <v>1.2531E-3</v>
      </c>
      <c r="AM170" s="138">
        <f t="shared" si="137"/>
        <v>1.2531E-3</v>
      </c>
      <c r="AO170" s="77" t="str">
        <f t="shared" si="94"/>
        <v>DS-5 (Lighting Service)</v>
      </c>
      <c r="AP170" s="78" t="s">
        <v>650</v>
      </c>
      <c r="AQ170" s="77" t="str">
        <f t="shared" si="95"/>
        <v>EDT Cost Recovery Rate Zone II</v>
      </c>
      <c r="AR170" s="78" t="str">
        <f t="shared" si="96"/>
        <v>Billing Cycle</v>
      </c>
      <c r="AS170" s="79">
        <f t="shared" si="97"/>
        <v>8</v>
      </c>
      <c r="AT170" s="78">
        <f t="shared" si="98"/>
        <v>0</v>
      </c>
      <c r="AU170" s="78">
        <f t="shared" si="99"/>
        <v>1.2531E-3</v>
      </c>
      <c r="AV170" s="78">
        <f t="shared" si="100"/>
        <v>1.2531E-3</v>
      </c>
      <c r="AW170" s="78">
        <f t="shared" si="101"/>
        <v>1.2531E-3</v>
      </c>
      <c r="AX170" s="78">
        <f t="shared" si="102"/>
        <v>1.2531E-3</v>
      </c>
      <c r="AY170" s="78">
        <f t="shared" si="103"/>
        <v>1.2531E-3</v>
      </c>
      <c r="AZ170" s="78">
        <f t="shared" si="104"/>
        <v>1.2531E-3</v>
      </c>
      <c r="BA170" s="78">
        <f t="shared" si="105"/>
        <v>1.2531E-3</v>
      </c>
      <c r="BB170" s="78">
        <f t="shared" si="106"/>
        <v>1.2531E-3</v>
      </c>
      <c r="BC170" s="78">
        <f t="shared" si="107"/>
        <v>1.2531E-3</v>
      </c>
      <c r="BD170" s="78">
        <f t="shared" si="108"/>
        <v>1.2531E-3</v>
      </c>
      <c r="BE170" s="78">
        <f t="shared" si="109"/>
        <v>1.2531E-3</v>
      </c>
      <c r="BF170" s="78">
        <f t="shared" si="110"/>
        <v>1.2531E-3</v>
      </c>
      <c r="BG170" s="78">
        <f t="shared" si="111"/>
        <v>1.2531E-3</v>
      </c>
      <c r="BH170" s="78">
        <f t="shared" si="112"/>
        <v>1.2531E-3</v>
      </c>
      <c r="BI170" s="78">
        <f t="shared" si="113"/>
        <v>1.2531E-3</v>
      </c>
      <c r="BJ170" s="78">
        <f t="shared" si="114"/>
        <v>1.2531E-3</v>
      </c>
      <c r="BK170" s="78">
        <f t="shared" si="115"/>
        <v>1.2531E-3</v>
      </c>
      <c r="BL170" s="78">
        <f t="shared" si="116"/>
        <v>1.2531E-3</v>
      </c>
      <c r="BM170" s="78">
        <f t="shared" si="117"/>
        <v>1.2531E-3</v>
      </c>
      <c r="BN170" s="78">
        <f t="shared" si="118"/>
        <v>1.2531E-3</v>
      </c>
      <c r="BO170" s="78">
        <f t="shared" si="119"/>
        <v>1.2531E-3</v>
      </c>
      <c r="BP170" s="78">
        <f t="shared" si="120"/>
        <v>1.2531E-3</v>
      </c>
      <c r="BQ170" s="78">
        <f t="shared" si="121"/>
        <v>1.2531E-3</v>
      </c>
      <c r="BR170" s="78">
        <f t="shared" si="122"/>
        <v>1.2531E-3</v>
      </c>
      <c r="BS170" s="77"/>
      <c r="BT170" s="77"/>
    </row>
    <row r="171" spans="1:72" ht="14.1" customHeight="1" x14ac:dyDescent="0.2">
      <c r="A171" s="55" t="str">
        <f t="shared" si="93"/>
        <v>DS-6 (DS-3) Temp. Sensitive DS_EDT Cost Recovery Rate Zone II</v>
      </c>
      <c r="B171" s="80" t="s">
        <v>643</v>
      </c>
      <c r="C171" s="71" t="s">
        <v>764</v>
      </c>
      <c r="D171" s="150"/>
      <c r="E171" s="81"/>
      <c r="F171" s="73" t="s">
        <v>649</v>
      </c>
      <c r="G171" s="73">
        <v>0</v>
      </c>
      <c r="H171" s="73">
        <v>8</v>
      </c>
      <c r="I171" s="74" t="s">
        <v>641</v>
      </c>
      <c r="J171" s="75" t="s">
        <v>634</v>
      </c>
      <c r="K171" s="74"/>
      <c r="L171" s="82">
        <v>1.3374999999999999E-3</v>
      </c>
      <c r="M171" s="138">
        <v>1.2531E-3</v>
      </c>
      <c r="N171" s="138">
        <v>1.2531E-3</v>
      </c>
      <c r="O171" s="138">
        <v>1.2531E-3</v>
      </c>
      <c r="P171" s="138">
        <v>1.2531E-3</v>
      </c>
      <c r="Q171" s="138">
        <v>1.2531E-3</v>
      </c>
      <c r="R171" s="138">
        <v>1.2531E-3</v>
      </c>
      <c r="S171" s="138">
        <v>1.2531E-3</v>
      </c>
      <c r="T171" s="138">
        <v>1.2531E-3</v>
      </c>
      <c r="U171" s="138">
        <v>1.2531E-3</v>
      </c>
      <c r="V171" s="138">
        <v>1.2531E-3</v>
      </c>
      <c r="W171" s="138">
        <v>1.2531E-3</v>
      </c>
      <c r="X171" s="138">
        <v>1.2531E-3</v>
      </c>
      <c r="Y171" s="138">
        <f t="shared" si="123"/>
        <v>1.2531E-3</v>
      </c>
      <c r="Z171" s="138">
        <f t="shared" si="124"/>
        <v>1.2531E-3</v>
      </c>
      <c r="AA171" s="138">
        <f t="shared" si="125"/>
        <v>1.2531E-3</v>
      </c>
      <c r="AB171" s="138">
        <f t="shared" si="126"/>
        <v>1.2531E-3</v>
      </c>
      <c r="AC171" s="138">
        <f t="shared" si="127"/>
        <v>1.2531E-3</v>
      </c>
      <c r="AD171" s="138">
        <f t="shared" si="128"/>
        <v>1.2531E-3</v>
      </c>
      <c r="AE171" s="138">
        <f t="shared" si="129"/>
        <v>1.2531E-3</v>
      </c>
      <c r="AF171" s="138">
        <f t="shared" si="130"/>
        <v>1.2531E-3</v>
      </c>
      <c r="AG171" s="138">
        <f t="shared" si="131"/>
        <v>1.2531E-3</v>
      </c>
      <c r="AH171" s="138">
        <f t="shared" si="132"/>
        <v>1.2531E-3</v>
      </c>
      <c r="AI171" s="138">
        <f t="shared" si="133"/>
        <v>1.2531E-3</v>
      </c>
      <c r="AJ171" s="138">
        <f t="shared" si="134"/>
        <v>1.2531E-3</v>
      </c>
      <c r="AK171" s="138">
        <f t="shared" si="135"/>
        <v>1.2531E-3</v>
      </c>
      <c r="AL171" s="138">
        <f t="shared" si="136"/>
        <v>1.2531E-3</v>
      </c>
      <c r="AM171" s="138">
        <f t="shared" si="137"/>
        <v>1.2531E-3</v>
      </c>
      <c r="AO171" s="77" t="str">
        <f t="shared" si="94"/>
        <v>DS-6 (DS-3) Temp. Sensitive DS</v>
      </c>
      <c r="AP171" s="78" t="s">
        <v>644</v>
      </c>
      <c r="AQ171" s="77" t="str">
        <f t="shared" si="95"/>
        <v>EDT Cost Recovery Rate Zone II</v>
      </c>
      <c r="AR171" s="78" t="str">
        <f t="shared" si="96"/>
        <v>Billing Cycle</v>
      </c>
      <c r="AS171" s="79">
        <f t="shared" si="97"/>
        <v>8</v>
      </c>
      <c r="AT171" s="78">
        <f t="shared" si="98"/>
        <v>0</v>
      </c>
      <c r="AU171" s="78">
        <f t="shared" si="99"/>
        <v>1.2531E-3</v>
      </c>
      <c r="AV171" s="78">
        <f t="shared" si="100"/>
        <v>1.2531E-3</v>
      </c>
      <c r="AW171" s="78">
        <f t="shared" si="101"/>
        <v>1.2531E-3</v>
      </c>
      <c r="AX171" s="78">
        <f t="shared" si="102"/>
        <v>1.2531E-3</v>
      </c>
      <c r="AY171" s="78">
        <f t="shared" si="103"/>
        <v>1.2531E-3</v>
      </c>
      <c r="AZ171" s="78">
        <f t="shared" si="104"/>
        <v>1.2531E-3</v>
      </c>
      <c r="BA171" s="78">
        <f t="shared" si="105"/>
        <v>1.2531E-3</v>
      </c>
      <c r="BB171" s="78">
        <f t="shared" si="106"/>
        <v>1.2531E-3</v>
      </c>
      <c r="BC171" s="78">
        <f t="shared" si="107"/>
        <v>1.2531E-3</v>
      </c>
      <c r="BD171" s="78">
        <f t="shared" si="108"/>
        <v>1.2531E-3</v>
      </c>
      <c r="BE171" s="78">
        <f t="shared" si="109"/>
        <v>1.2531E-3</v>
      </c>
      <c r="BF171" s="78">
        <f t="shared" si="110"/>
        <v>1.2531E-3</v>
      </c>
      <c r="BG171" s="78">
        <f t="shared" si="111"/>
        <v>1.2531E-3</v>
      </c>
      <c r="BH171" s="78">
        <f t="shared" si="112"/>
        <v>1.2531E-3</v>
      </c>
      <c r="BI171" s="78">
        <f t="shared" si="113"/>
        <v>1.2531E-3</v>
      </c>
      <c r="BJ171" s="78">
        <f t="shared" si="114"/>
        <v>1.2531E-3</v>
      </c>
      <c r="BK171" s="78">
        <f t="shared" si="115"/>
        <v>1.2531E-3</v>
      </c>
      <c r="BL171" s="78">
        <f t="shared" si="116"/>
        <v>1.2531E-3</v>
      </c>
      <c r="BM171" s="78">
        <f t="shared" si="117"/>
        <v>1.2531E-3</v>
      </c>
      <c r="BN171" s="78">
        <f t="shared" si="118"/>
        <v>1.2531E-3</v>
      </c>
      <c r="BO171" s="78">
        <f t="shared" si="119"/>
        <v>1.2531E-3</v>
      </c>
      <c r="BP171" s="78">
        <f t="shared" si="120"/>
        <v>1.2531E-3</v>
      </c>
      <c r="BQ171" s="78">
        <f t="shared" si="121"/>
        <v>1.2531E-3</v>
      </c>
      <c r="BR171" s="78">
        <f t="shared" si="122"/>
        <v>1.2531E-3</v>
      </c>
      <c r="BS171" s="77"/>
      <c r="BT171" s="77"/>
    </row>
    <row r="172" spans="1:72" ht="14.1" customHeight="1" x14ac:dyDescent="0.2">
      <c r="A172" s="55" t="str">
        <f t="shared" si="93"/>
        <v>DS-2 Optional (Small General Service)_EDT Cost Recovery Rate Zone II</v>
      </c>
      <c r="B172" s="80" t="s">
        <v>663</v>
      </c>
      <c r="C172" s="83" t="s">
        <v>764</v>
      </c>
      <c r="D172" s="150"/>
      <c r="E172" s="81"/>
      <c r="F172" s="73"/>
      <c r="G172" s="73"/>
      <c r="H172" s="73"/>
      <c r="I172" s="74"/>
      <c r="J172" s="75"/>
      <c r="K172" s="74"/>
      <c r="L172" s="82">
        <v>1.3374999999999999E-3</v>
      </c>
      <c r="M172" s="138">
        <v>1.2531E-3</v>
      </c>
      <c r="N172" s="138">
        <v>1.2531E-3</v>
      </c>
      <c r="O172" s="138">
        <v>1.2531E-3</v>
      </c>
      <c r="P172" s="138">
        <v>1.2531E-3</v>
      </c>
      <c r="Q172" s="138">
        <v>1.2531E-3</v>
      </c>
      <c r="R172" s="138">
        <v>1.2531E-3</v>
      </c>
      <c r="S172" s="138">
        <v>1.2531E-3</v>
      </c>
      <c r="T172" s="138">
        <v>1.2531E-3</v>
      </c>
      <c r="U172" s="138">
        <v>1.2531E-3</v>
      </c>
      <c r="V172" s="138">
        <v>1.2531E-3</v>
      </c>
      <c r="W172" s="138">
        <v>1.2531E-3</v>
      </c>
      <c r="X172" s="138">
        <v>1.2531E-3</v>
      </c>
      <c r="Y172" s="138">
        <f t="shared" si="123"/>
        <v>1.2531E-3</v>
      </c>
      <c r="Z172" s="138">
        <f t="shared" si="124"/>
        <v>1.2531E-3</v>
      </c>
      <c r="AA172" s="138">
        <f t="shared" si="125"/>
        <v>1.2531E-3</v>
      </c>
      <c r="AB172" s="138">
        <f t="shared" si="126"/>
        <v>1.2531E-3</v>
      </c>
      <c r="AC172" s="138">
        <f t="shared" si="127"/>
        <v>1.2531E-3</v>
      </c>
      <c r="AD172" s="138">
        <f t="shared" si="128"/>
        <v>1.2531E-3</v>
      </c>
      <c r="AE172" s="138">
        <f t="shared" si="129"/>
        <v>1.2531E-3</v>
      </c>
      <c r="AF172" s="138">
        <f t="shared" si="130"/>
        <v>1.2531E-3</v>
      </c>
      <c r="AG172" s="138">
        <f t="shared" si="131"/>
        <v>1.2531E-3</v>
      </c>
      <c r="AH172" s="138">
        <f t="shared" si="132"/>
        <v>1.2531E-3</v>
      </c>
      <c r="AI172" s="138">
        <f t="shared" si="133"/>
        <v>1.2531E-3</v>
      </c>
      <c r="AJ172" s="138">
        <f t="shared" si="134"/>
        <v>1.2531E-3</v>
      </c>
      <c r="AK172" s="138">
        <f t="shared" si="135"/>
        <v>1.2531E-3</v>
      </c>
      <c r="AL172" s="138">
        <f t="shared" si="136"/>
        <v>1.2531E-3</v>
      </c>
      <c r="AM172" s="138">
        <f t="shared" si="137"/>
        <v>1.2531E-3</v>
      </c>
      <c r="AO172" s="77" t="str">
        <f t="shared" si="94"/>
        <v>DS-2 Optional (Small General Service)</v>
      </c>
      <c r="AP172" s="78" t="s">
        <v>664</v>
      </c>
      <c r="AQ172" s="77" t="str">
        <f t="shared" si="95"/>
        <v>EDT Cost Recovery Rate Zone II</v>
      </c>
      <c r="AR172" s="78">
        <f t="shared" si="96"/>
        <v>0</v>
      </c>
      <c r="AS172" s="79">
        <f t="shared" si="97"/>
        <v>0</v>
      </c>
      <c r="AT172" s="78">
        <f t="shared" si="98"/>
        <v>0</v>
      </c>
      <c r="AU172" s="78">
        <f t="shared" si="99"/>
        <v>0</v>
      </c>
      <c r="AV172" s="78">
        <f t="shared" si="100"/>
        <v>0</v>
      </c>
      <c r="AW172" s="78">
        <f t="shared" si="101"/>
        <v>0</v>
      </c>
      <c r="AX172" s="78">
        <f t="shared" si="102"/>
        <v>0</v>
      </c>
      <c r="AY172" s="78">
        <f t="shared" si="103"/>
        <v>0</v>
      </c>
      <c r="AZ172" s="78">
        <f t="shared" si="104"/>
        <v>0</v>
      </c>
      <c r="BA172" s="78">
        <f t="shared" si="105"/>
        <v>0</v>
      </c>
      <c r="BB172" s="78">
        <f t="shared" si="106"/>
        <v>0</v>
      </c>
      <c r="BC172" s="78">
        <f t="shared" si="107"/>
        <v>0</v>
      </c>
      <c r="BD172" s="78">
        <f t="shared" si="108"/>
        <v>0</v>
      </c>
      <c r="BE172" s="78">
        <f t="shared" si="109"/>
        <v>0</v>
      </c>
      <c r="BF172" s="78">
        <f t="shared" si="110"/>
        <v>0</v>
      </c>
      <c r="BG172" s="78">
        <f t="shared" si="111"/>
        <v>0</v>
      </c>
      <c r="BH172" s="78">
        <f t="shared" si="112"/>
        <v>0</v>
      </c>
      <c r="BI172" s="78">
        <f t="shared" si="113"/>
        <v>0</v>
      </c>
      <c r="BJ172" s="78">
        <f t="shared" si="114"/>
        <v>0</v>
      </c>
      <c r="BK172" s="78">
        <f t="shared" si="115"/>
        <v>0</v>
      </c>
      <c r="BL172" s="78">
        <f t="shared" si="116"/>
        <v>0</v>
      </c>
      <c r="BM172" s="78">
        <f t="shared" si="117"/>
        <v>0</v>
      </c>
      <c r="BN172" s="78">
        <f t="shared" si="118"/>
        <v>0</v>
      </c>
      <c r="BO172" s="78">
        <f t="shared" si="119"/>
        <v>0</v>
      </c>
      <c r="BP172" s="78">
        <f t="shared" si="120"/>
        <v>0</v>
      </c>
      <c r="BQ172" s="78">
        <f t="shared" si="121"/>
        <v>0</v>
      </c>
      <c r="BR172" s="78">
        <f t="shared" si="122"/>
        <v>0</v>
      </c>
      <c r="BS172" s="77"/>
      <c r="BT172" s="77"/>
    </row>
    <row r="173" spans="1:72" ht="14.1" customHeight="1" x14ac:dyDescent="0.2">
      <c r="A173" s="55" t="str">
        <f t="shared" si="93"/>
        <v>DS-4 (Large General Service)_EDT Cost Recovery Rate Zone II &gt;100kV</v>
      </c>
      <c r="B173" s="80" t="s">
        <v>639</v>
      </c>
      <c r="C173" s="83" t="s">
        <v>765</v>
      </c>
      <c r="D173" s="150"/>
      <c r="E173" s="81"/>
      <c r="F173" s="73" t="s">
        <v>649</v>
      </c>
      <c r="G173" s="73">
        <v>0</v>
      </c>
      <c r="H173" s="73">
        <v>8</v>
      </c>
      <c r="I173" s="74" t="s">
        <v>641</v>
      </c>
      <c r="J173" s="75" t="s">
        <v>634</v>
      </c>
      <c r="K173" s="74"/>
      <c r="L173" s="82">
        <v>1.3374999999999999E-3</v>
      </c>
      <c r="M173" s="138">
        <v>1.2531E-3</v>
      </c>
      <c r="N173" s="138">
        <v>1.2531E-3</v>
      </c>
      <c r="O173" s="138">
        <v>1.2531E-3</v>
      </c>
      <c r="P173" s="138">
        <v>1.2531E-3</v>
      </c>
      <c r="Q173" s="138">
        <v>1.2531E-3</v>
      </c>
      <c r="R173" s="138">
        <v>1.2531E-3</v>
      </c>
      <c r="S173" s="138">
        <v>1.2531E-3</v>
      </c>
      <c r="T173" s="138">
        <v>1.2531E-3</v>
      </c>
      <c r="U173" s="138">
        <v>1.2531E-3</v>
      </c>
      <c r="V173" s="138">
        <v>1.2531E-3</v>
      </c>
      <c r="W173" s="138">
        <v>1.2531E-3</v>
      </c>
      <c r="X173" s="138">
        <v>1.2531E-3</v>
      </c>
      <c r="Y173" s="138">
        <f t="shared" si="123"/>
        <v>1.2531E-3</v>
      </c>
      <c r="Z173" s="138">
        <f t="shared" si="124"/>
        <v>1.2531E-3</v>
      </c>
      <c r="AA173" s="138">
        <f t="shared" si="125"/>
        <v>1.2531E-3</v>
      </c>
      <c r="AB173" s="138">
        <f t="shared" si="126"/>
        <v>1.2531E-3</v>
      </c>
      <c r="AC173" s="138">
        <f t="shared" si="127"/>
        <v>1.2531E-3</v>
      </c>
      <c r="AD173" s="138">
        <f t="shared" si="128"/>
        <v>1.2531E-3</v>
      </c>
      <c r="AE173" s="138">
        <f t="shared" si="129"/>
        <v>1.2531E-3</v>
      </c>
      <c r="AF173" s="138">
        <f t="shared" si="130"/>
        <v>1.2531E-3</v>
      </c>
      <c r="AG173" s="138">
        <f t="shared" si="131"/>
        <v>1.2531E-3</v>
      </c>
      <c r="AH173" s="138">
        <f t="shared" si="132"/>
        <v>1.2531E-3</v>
      </c>
      <c r="AI173" s="138">
        <f t="shared" si="133"/>
        <v>1.2531E-3</v>
      </c>
      <c r="AJ173" s="138">
        <f t="shared" si="134"/>
        <v>1.2531E-3</v>
      </c>
      <c r="AK173" s="138">
        <f t="shared" si="135"/>
        <v>1.2531E-3</v>
      </c>
      <c r="AL173" s="138">
        <f t="shared" si="136"/>
        <v>1.2531E-3</v>
      </c>
      <c r="AM173" s="138">
        <f t="shared" si="137"/>
        <v>1.2531E-3</v>
      </c>
      <c r="AO173" s="77" t="str">
        <f t="shared" si="94"/>
        <v>DS-4 (Large General Service)</v>
      </c>
      <c r="AP173" s="78" t="s">
        <v>642</v>
      </c>
      <c r="AQ173" s="77" t="str">
        <f t="shared" si="95"/>
        <v>EDT Cost Recovery Rate Zone II &gt;100kV</v>
      </c>
      <c r="AR173" s="78" t="str">
        <f t="shared" si="96"/>
        <v>Billing Cycle</v>
      </c>
      <c r="AS173" s="79">
        <f t="shared" si="97"/>
        <v>8</v>
      </c>
      <c r="AT173" s="78">
        <f t="shared" si="98"/>
        <v>0</v>
      </c>
      <c r="AU173" s="78">
        <f t="shared" si="99"/>
        <v>1.2531E-3</v>
      </c>
      <c r="AV173" s="78">
        <f t="shared" si="100"/>
        <v>1.2531E-3</v>
      </c>
      <c r="AW173" s="78">
        <f t="shared" si="101"/>
        <v>1.2531E-3</v>
      </c>
      <c r="AX173" s="78">
        <f t="shared" si="102"/>
        <v>1.2531E-3</v>
      </c>
      <c r="AY173" s="78">
        <f t="shared" si="103"/>
        <v>1.2531E-3</v>
      </c>
      <c r="AZ173" s="78">
        <f t="shared" si="104"/>
        <v>1.2531E-3</v>
      </c>
      <c r="BA173" s="78">
        <f t="shared" si="105"/>
        <v>1.2531E-3</v>
      </c>
      <c r="BB173" s="78">
        <f t="shared" si="106"/>
        <v>1.2531E-3</v>
      </c>
      <c r="BC173" s="78">
        <f t="shared" si="107"/>
        <v>1.2531E-3</v>
      </c>
      <c r="BD173" s="78">
        <f t="shared" si="108"/>
        <v>1.2531E-3</v>
      </c>
      <c r="BE173" s="78">
        <f t="shared" si="109"/>
        <v>1.2531E-3</v>
      </c>
      <c r="BF173" s="78">
        <f t="shared" si="110"/>
        <v>1.2531E-3</v>
      </c>
      <c r="BG173" s="78">
        <f t="shared" si="111"/>
        <v>1.2531E-3</v>
      </c>
      <c r="BH173" s="78">
        <f t="shared" si="112"/>
        <v>1.2531E-3</v>
      </c>
      <c r="BI173" s="78">
        <f t="shared" si="113"/>
        <v>1.2531E-3</v>
      </c>
      <c r="BJ173" s="78">
        <f t="shared" si="114"/>
        <v>1.2531E-3</v>
      </c>
      <c r="BK173" s="78">
        <f t="shared" si="115"/>
        <v>1.2531E-3</v>
      </c>
      <c r="BL173" s="78">
        <f t="shared" si="116"/>
        <v>1.2531E-3</v>
      </c>
      <c r="BM173" s="78">
        <f t="shared" si="117"/>
        <v>1.2531E-3</v>
      </c>
      <c r="BN173" s="78">
        <f t="shared" si="118"/>
        <v>1.2531E-3</v>
      </c>
      <c r="BO173" s="78">
        <f t="shared" si="119"/>
        <v>1.2531E-3</v>
      </c>
      <c r="BP173" s="78">
        <f t="shared" si="120"/>
        <v>1.2531E-3</v>
      </c>
      <c r="BQ173" s="78">
        <f t="shared" si="121"/>
        <v>1.2531E-3</v>
      </c>
      <c r="BR173" s="78">
        <f t="shared" si="122"/>
        <v>1.2531E-3</v>
      </c>
      <c r="BS173" s="77"/>
      <c r="BT173" s="77"/>
    </row>
    <row r="174" spans="1:72" ht="14.1" customHeight="1" x14ac:dyDescent="0.2">
      <c r="A174" s="55" t="str">
        <f t="shared" si="93"/>
        <v>DS-6 (DS-4) Temp. Sensitive DS_EDT Cost Recovery Rate Zone II &gt;100kV</v>
      </c>
      <c r="B174" s="80" t="s">
        <v>645</v>
      </c>
      <c r="C174" s="83" t="s">
        <v>765</v>
      </c>
      <c r="D174" s="150"/>
      <c r="E174" s="81"/>
      <c r="F174" s="73" t="s">
        <v>649</v>
      </c>
      <c r="G174" s="73">
        <v>0</v>
      </c>
      <c r="H174" s="73">
        <v>8</v>
      </c>
      <c r="I174" s="74" t="s">
        <v>641</v>
      </c>
      <c r="J174" s="75" t="s">
        <v>634</v>
      </c>
      <c r="K174" s="74"/>
      <c r="L174" s="82">
        <v>1.3374999999999999E-3</v>
      </c>
      <c r="M174" s="138">
        <v>1.2531E-3</v>
      </c>
      <c r="N174" s="138">
        <v>1.2531E-3</v>
      </c>
      <c r="O174" s="138">
        <v>1.2531E-3</v>
      </c>
      <c r="P174" s="138">
        <v>1.2531E-3</v>
      </c>
      <c r="Q174" s="138">
        <v>1.2531E-3</v>
      </c>
      <c r="R174" s="138">
        <v>1.2531E-3</v>
      </c>
      <c r="S174" s="138">
        <v>1.2531E-3</v>
      </c>
      <c r="T174" s="138">
        <v>1.2531E-3</v>
      </c>
      <c r="U174" s="138">
        <v>1.2531E-3</v>
      </c>
      <c r="V174" s="138">
        <v>1.2531E-3</v>
      </c>
      <c r="W174" s="138">
        <v>1.2531E-3</v>
      </c>
      <c r="X174" s="138">
        <v>1.2531E-3</v>
      </c>
      <c r="Y174" s="138">
        <f t="shared" si="123"/>
        <v>1.2531E-3</v>
      </c>
      <c r="Z174" s="138">
        <f t="shared" si="124"/>
        <v>1.2531E-3</v>
      </c>
      <c r="AA174" s="138">
        <f t="shared" si="125"/>
        <v>1.2531E-3</v>
      </c>
      <c r="AB174" s="138">
        <f t="shared" si="126"/>
        <v>1.2531E-3</v>
      </c>
      <c r="AC174" s="138">
        <f t="shared" si="127"/>
        <v>1.2531E-3</v>
      </c>
      <c r="AD174" s="138">
        <f t="shared" si="128"/>
        <v>1.2531E-3</v>
      </c>
      <c r="AE174" s="138">
        <f t="shared" si="129"/>
        <v>1.2531E-3</v>
      </c>
      <c r="AF174" s="138">
        <f t="shared" si="130"/>
        <v>1.2531E-3</v>
      </c>
      <c r="AG174" s="138">
        <f t="shared" si="131"/>
        <v>1.2531E-3</v>
      </c>
      <c r="AH174" s="138">
        <f t="shared" si="132"/>
        <v>1.2531E-3</v>
      </c>
      <c r="AI174" s="138">
        <f t="shared" si="133"/>
        <v>1.2531E-3</v>
      </c>
      <c r="AJ174" s="138">
        <f t="shared" si="134"/>
        <v>1.2531E-3</v>
      </c>
      <c r="AK174" s="138">
        <f t="shared" si="135"/>
        <v>1.2531E-3</v>
      </c>
      <c r="AL174" s="138">
        <f t="shared" si="136"/>
        <v>1.2531E-3</v>
      </c>
      <c r="AM174" s="138">
        <f t="shared" si="137"/>
        <v>1.2531E-3</v>
      </c>
      <c r="AO174" s="77" t="str">
        <f t="shared" si="94"/>
        <v>DS-6 (DS-4) Temp. Sensitive DS</v>
      </c>
      <c r="AP174" s="78" t="s">
        <v>646</v>
      </c>
      <c r="AQ174" s="77" t="str">
        <f t="shared" si="95"/>
        <v>EDT Cost Recovery Rate Zone II &gt;100kV</v>
      </c>
      <c r="AR174" s="78" t="str">
        <f t="shared" si="96"/>
        <v>Billing Cycle</v>
      </c>
      <c r="AS174" s="79">
        <f t="shared" si="97"/>
        <v>8</v>
      </c>
      <c r="AT174" s="78">
        <f t="shared" si="98"/>
        <v>0</v>
      </c>
      <c r="AU174" s="78">
        <f t="shared" si="99"/>
        <v>1.2531E-3</v>
      </c>
      <c r="AV174" s="78">
        <f t="shared" si="100"/>
        <v>1.2531E-3</v>
      </c>
      <c r="AW174" s="78">
        <f t="shared" si="101"/>
        <v>1.2531E-3</v>
      </c>
      <c r="AX174" s="78">
        <f t="shared" si="102"/>
        <v>1.2531E-3</v>
      </c>
      <c r="AY174" s="78">
        <f t="shared" si="103"/>
        <v>1.2531E-3</v>
      </c>
      <c r="AZ174" s="78">
        <f t="shared" si="104"/>
        <v>1.2531E-3</v>
      </c>
      <c r="BA174" s="78">
        <f t="shared" si="105"/>
        <v>1.2531E-3</v>
      </c>
      <c r="BB174" s="78">
        <f t="shared" si="106"/>
        <v>1.2531E-3</v>
      </c>
      <c r="BC174" s="78">
        <f t="shared" si="107"/>
        <v>1.2531E-3</v>
      </c>
      <c r="BD174" s="78">
        <f t="shared" si="108"/>
        <v>1.2531E-3</v>
      </c>
      <c r="BE174" s="78">
        <f t="shared" si="109"/>
        <v>1.2531E-3</v>
      </c>
      <c r="BF174" s="78">
        <f t="shared" si="110"/>
        <v>1.2531E-3</v>
      </c>
      <c r="BG174" s="78">
        <f t="shared" si="111"/>
        <v>1.2531E-3</v>
      </c>
      <c r="BH174" s="78">
        <f t="shared" si="112"/>
        <v>1.2531E-3</v>
      </c>
      <c r="BI174" s="78">
        <f t="shared" si="113"/>
        <v>1.2531E-3</v>
      </c>
      <c r="BJ174" s="78">
        <f t="shared" si="114"/>
        <v>1.2531E-3</v>
      </c>
      <c r="BK174" s="78">
        <f t="shared" si="115"/>
        <v>1.2531E-3</v>
      </c>
      <c r="BL174" s="78">
        <f t="shared" si="116"/>
        <v>1.2531E-3</v>
      </c>
      <c r="BM174" s="78">
        <f t="shared" si="117"/>
        <v>1.2531E-3</v>
      </c>
      <c r="BN174" s="78">
        <f t="shared" si="118"/>
        <v>1.2531E-3</v>
      </c>
      <c r="BO174" s="78">
        <f t="shared" si="119"/>
        <v>1.2531E-3</v>
      </c>
      <c r="BP174" s="78">
        <f t="shared" si="120"/>
        <v>1.2531E-3</v>
      </c>
      <c r="BQ174" s="78">
        <f t="shared" si="121"/>
        <v>1.2531E-3</v>
      </c>
      <c r="BR174" s="78">
        <f t="shared" si="122"/>
        <v>1.2531E-3</v>
      </c>
      <c r="BS174" s="77"/>
      <c r="BT174" s="77"/>
    </row>
    <row r="175" spans="1:72" ht="14.1" customHeight="1" x14ac:dyDescent="0.2">
      <c r="A175" s="55" t="str">
        <f t="shared" si="93"/>
        <v>DS-4 (Large General Service)_EDT Cost Recovery Rate Zone II High Voltage</v>
      </c>
      <c r="B175" s="80" t="s">
        <v>639</v>
      </c>
      <c r="C175" s="83" t="s">
        <v>766</v>
      </c>
      <c r="D175" s="150"/>
      <c r="E175" s="81"/>
      <c r="F175" s="73" t="s">
        <v>649</v>
      </c>
      <c r="G175" s="73">
        <v>0</v>
      </c>
      <c r="H175" s="73">
        <v>8</v>
      </c>
      <c r="I175" s="74" t="s">
        <v>641</v>
      </c>
      <c r="J175" s="75" t="s">
        <v>634</v>
      </c>
      <c r="K175" s="74"/>
      <c r="L175" s="82">
        <v>1.3374999999999999E-3</v>
      </c>
      <c r="M175" s="138">
        <v>1.2531E-3</v>
      </c>
      <c r="N175" s="138">
        <v>1.2531E-3</v>
      </c>
      <c r="O175" s="138">
        <v>1.2531E-3</v>
      </c>
      <c r="P175" s="138">
        <v>1.2531E-3</v>
      </c>
      <c r="Q175" s="138">
        <v>1.2531E-3</v>
      </c>
      <c r="R175" s="138">
        <v>1.2531E-3</v>
      </c>
      <c r="S175" s="138">
        <v>1.2531E-3</v>
      </c>
      <c r="T175" s="138">
        <v>1.2531E-3</v>
      </c>
      <c r="U175" s="138">
        <v>1.2531E-3</v>
      </c>
      <c r="V175" s="138">
        <v>1.2531E-3</v>
      </c>
      <c r="W175" s="138">
        <v>1.2531E-3</v>
      </c>
      <c r="X175" s="138">
        <v>1.2531E-3</v>
      </c>
      <c r="Y175" s="138">
        <f t="shared" si="123"/>
        <v>1.2531E-3</v>
      </c>
      <c r="Z175" s="138">
        <f t="shared" si="124"/>
        <v>1.2531E-3</v>
      </c>
      <c r="AA175" s="138">
        <f t="shared" si="125"/>
        <v>1.2531E-3</v>
      </c>
      <c r="AB175" s="138">
        <f t="shared" si="126"/>
        <v>1.2531E-3</v>
      </c>
      <c r="AC175" s="138">
        <f t="shared" si="127"/>
        <v>1.2531E-3</v>
      </c>
      <c r="AD175" s="138">
        <f t="shared" si="128"/>
        <v>1.2531E-3</v>
      </c>
      <c r="AE175" s="138">
        <f t="shared" si="129"/>
        <v>1.2531E-3</v>
      </c>
      <c r="AF175" s="138">
        <f t="shared" si="130"/>
        <v>1.2531E-3</v>
      </c>
      <c r="AG175" s="138">
        <f t="shared" si="131"/>
        <v>1.2531E-3</v>
      </c>
      <c r="AH175" s="138">
        <f t="shared" si="132"/>
        <v>1.2531E-3</v>
      </c>
      <c r="AI175" s="138">
        <f t="shared" si="133"/>
        <v>1.2531E-3</v>
      </c>
      <c r="AJ175" s="138">
        <f t="shared" si="134"/>
        <v>1.2531E-3</v>
      </c>
      <c r="AK175" s="138">
        <f t="shared" si="135"/>
        <v>1.2531E-3</v>
      </c>
      <c r="AL175" s="138">
        <f t="shared" si="136"/>
        <v>1.2531E-3</v>
      </c>
      <c r="AM175" s="138">
        <f t="shared" si="137"/>
        <v>1.2531E-3</v>
      </c>
      <c r="AO175" s="77" t="str">
        <f t="shared" si="94"/>
        <v>DS-4 (Large General Service)</v>
      </c>
      <c r="AP175" s="78" t="s">
        <v>642</v>
      </c>
      <c r="AQ175" s="77" t="str">
        <f t="shared" si="95"/>
        <v>EDT Cost Recovery Rate Zone II High Voltage</v>
      </c>
      <c r="AR175" s="78" t="str">
        <f t="shared" si="96"/>
        <v>Billing Cycle</v>
      </c>
      <c r="AS175" s="79">
        <f t="shared" si="97"/>
        <v>8</v>
      </c>
      <c r="AT175" s="78">
        <f t="shared" si="98"/>
        <v>0</v>
      </c>
      <c r="AU175" s="78">
        <f t="shared" si="99"/>
        <v>1.2531E-3</v>
      </c>
      <c r="AV175" s="78">
        <f t="shared" si="100"/>
        <v>1.2531E-3</v>
      </c>
      <c r="AW175" s="78">
        <f t="shared" si="101"/>
        <v>1.2531E-3</v>
      </c>
      <c r="AX175" s="78">
        <f t="shared" si="102"/>
        <v>1.2531E-3</v>
      </c>
      <c r="AY175" s="78">
        <f t="shared" si="103"/>
        <v>1.2531E-3</v>
      </c>
      <c r="AZ175" s="78">
        <f t="shared" si="104"/>
        <v>1.2531E-3</v>
      </c>
      <c r="BA175" s="78">
        <f t="shared" si="105"/>
        <v>1.2531E-3</v>
      </c>
      <c r="BB175" s="78">
        <f t="shared" si="106"/>
        <v>1.2531E-3</v>
      </c>
      <c r="BC175" s="78">
        <f t="shared" si="107"/>
        <v>1.2531E-3</v>
      </c>
      <c r="BD175" s="78">
        <f t="shared" si="108"/>
        <v>1.2531E-3</v>
      </c>
      <c r="BE175" s="78">
        <f t="shared" si="109"/>
        <v>1.2531E-3</v>
      </c>
      <c r="BF175" s="78">
        <f t="shared" si="110"/>
        <v>1.2531E-3</v>
      </c>
      <c r="BG175" s="78">
        <f t="shared" si="111"/>
        <v>1.2531E-3</v>
      </c>
      <c r="BH175" s="78">
        <f t="shared" si="112"/>
        <v>1.2531E-3</v>
      </c>
      <c r="BI175" s="78">
        <f t="shared" si="113"/>
        <v>1.2531E-3</v>
      </c>
      <c r="BJ175" s="78">
        <f t="shared" si="114"/>
        <v>1.2531E-3</v>
      </c>
      <c r="BK175" s="78">
        <f t="shared" si="115"/>
        <v>1.2531E-3</v>
      </c>
      <c r="BL175" s="78">
        <f t="shared" si="116"/>
        <v>1.2531E-3</v>
      </c>
      <c r="BM175" s="78">
        <f t="shared" si="117"/>
        <v>1.2531E-3</v>
      </c>
      <c r="BN175" s="78">
        <f t="shared" si="118"/>
        <v>1.2531E-3</v>
      </c>
      <c r="BO175" s="78">
        <f t="shared" si="119"/>
        <v>1.2531E-3</v>
      </c>
      <c r="BP175" s="78">
        <f t="shared" si="120"/>
        <v>1.2531E-3</v>
      </c>
      <c r="BQ175" s="78">
        <f t="shared" si="121"/>
        <v>1.2531E-3</v>
      </c>
      <c r="BR175" s="78">
        <f t="shared" si="122"/>
        <v>1.2531E-3</v>
      </c>
      <c r="BS175" s="77"/>
      <c r="BT175" s="77"/>
    </row>
    <row r="176" spans="1:72" ht="14.1" customHeight="1" x14ac:dyDescent="0.2">
      <c r="A176" s="55" t="str">
        <f t="shared" si="93"/>
        <v>DS-6 (DS-4) Temp. Sensitive DS_EDT Cost Recovery Rate Zone II High Voltage</v>
      </c>
      <c r="B176" s="80" t="s">
        <v>645</v>
      </c>
      <c r="C176" s="83" t="s">
        <v>766</v>
      </c>
      <c r="D176" s="150"/>
      <c r="E176" s="81"/>
      <c r="F176" s="73" t="s">
        <v>649</v>
      </c>
      <c r="G176" s="73">
        <v>0</v>
      </c>
      <c r="H176" s="73">
        <v>8</v>
      </c>
      <c r="I176" s="74" t="s">
        <v>641</v>
      </c>
      <c r="J176" s="75" t="s">
        <v>634</v>
      </c>
      <c r="K176" s="74"/>
      <c r="L176" s="82">
        <v>1.3374999999999999E-3</v>
      </c>
      <c r="M176" s="138">
        <v>1.2531E-3</v>
      </c>
      <c r="N176" s="138">
        <v>1.2531E-3</v>
      </c>
      <c r="O176" s="138">
        <v>1.2531E-3</v>
      </c>
      <c r="P176" s="138">
        <v>1.2531E-3</v>
      </c>
      <c r="Q176" s="138">
        <v>1.2531E-3</v>
      </c>
      <c r="R176" s="138">
        <v>1.2531E-3</v>
      </c>
      <c r="S176" s="138">
        <v>1.2531E-3</v>
      </c>
      <c r="T176" s="138">
        <v>1.2531E-3</v>
      </c>
      <c r="U176" s="138">
        <v>1.2531E-3</v>
      </c>
      <c r="V176" s="138">
        <v>1.2531E-3</v>
      </c>
      <c r="W176" s="138">
        <v>1.2531E-3</v>
      </c>
      <c r="X176" s="138">
        <v>1.2531E-3</v>
      </c>
      <c r="Y176" s="138">
        <f t="shared" si="123"/>
        <v>1.2531E-3</v>
      </c>
      <c r="Z176" s="138">
        <f t="shared" si="124"/>
        <v>1.2531E-3</v>
      </c>
      <c r="AA176" s="138">
        <f t="shared" si="125"/>
        <v>1.2531E-3</v>
      </c>
      <c r="AB176" s="138">
        <f t="shared" si="126"/>
        <v>1.2531E-3</v>
      </c>
      <c r="AC176" s="138">
        <f t="shared" si="127"/>
        <v>1.2531E-3</v>
      </c>
      <c r="AD176" s="138">
        <f t="shared" si="128"/>
        <v>1.2531E-3</v>
      </c>
      <c r="AE176" s="138">
        <f t="shared" si="129"/>
        <v>1.2531E-3</v>
      </c>
      <c r="AF176" s="138">
        <f t="shared" si="130"/>
        <v>1.2531E-3</v>
      </c>
      <c r="AG176" s="138">
        <f t="shared" si="131"/>
        <v>1.2531E-3</v>
      </c>
      <c r="AH176" s="138">
        <f t="shared" si="132"/>
        <v>1.2531E-3</v>
      </c>
      <c r="AI176" s="138">
        <f t="shared" si="133"/>
        <v>1.2531E-3</v>
      </c>
      <c r="AJ176" s="138">
        <f t="shared" si="134"/>
        <v>1.2531E-3</v>
      </c>
      <c r="AK176" s="138">
        <f t="shared" si="135"/>
        <v>1.2531E-3</v>
      </c>
      <c r="AL176" s="138">
        <f t="shared" si="136"/>
        <v>1.2531E-3</v>
      </c>
      <c r="AM176" s="138">
        <f t="shared" si="137"/>
        <v>1.2531E-3</v>
      </c>
      <c r="AO176" s="77" t="str">
        <f t="shared" si="94"/>
        <v>DS-6 (DS-4) Temp. Sensitive DS</v>
      </c>
      <c r="AP176" s="78" t="s">
        <v>646</v>
      </c>
      <c r="AQ176" s="77" t="str">
        <f t="shared" si="95"/>
        <v>EDT Cost Recovery Rate Zone II High Voltage</v>
      </c>
      <c r="AR176" s="78" t="str">
        <f t="shared" si="96"/>
        <v>Billing Cycle</v>
      </c>
      <c r="AS176" s="79">
        <f t="shared" si="97"/>
        <v>8</v>
      </c>
      <c r="AT176" s="78">
        <f t="shared" si="98"/>
        <v>0</v>
      </c>
      <c r="AU176" s="78">
        <f t="shared" si="99"/>
        <v>1.2531E-3</v>
      </c>
      <c r="AV176" s="78">
        <f t="shared" si="100"/>
        <v>1.2531E-3</v>
      </c>
      <c r="AW176" s="78">
        <f t="shared" si="101"/>
        <v>1.2531E-3</v>
      </c>
      <c r="AX176" s="78">
        <f t="shared" si="102"/>
        <v>1.2531E-3</v>
      </c>
      <c r="AY176" s="78">
        <f t="shared" si="103"/>
        <v>1.2531E-3</v>
      </c>
      <c r="AZ176" s="78">
        <f t="shared" si="104"/>
        <v>1.2531E-3</v>
      </c>
      <c r="BA176" s="78">
        <f t="shared" si="105"/>
        <v>1.2531E-3</v>
      </c>
      <c r="BB176" s="78">
        <f t="shared" si="106"/>
        <v>1.2531E-3</v>
      </c>
      <c r="BC176" s="78">
        <f t="shared" si="107"/>
        <v>1.2531E-3</v>
      </c>
      <c r="BD176" s="78">
        <f t="shared" si="108"/>
        <v>1.2531E-3</v>
      </c>
      <c r="BE176" s="78">
        <f t="shared" si="109"/>
        <v>1.2531E-3</v>
      </c>
      <c r="BF176" s="78">
        <f t="shared" si="110"/>
        <v>1.2531E-3</v>
      </c>
      <c r="BG176" s="78">
        <f t="shared" si="111"/>
        <v>1.2531E-3</v>
      </c>
      <c r="BH176" s="78">
        <f t="shared" si="112"/>
        <v>1.2531E-3</v>
      </c>
      <c r="BI176" s="78">
        <f t="shared" si="113"/>
        <v>1.2531E-3</v>
      </c>
      <c r="BJ176" s="78">
        <f t="shared" si="114"/>
        <v>1.2531E-3</v>
      </c>
      <c r="BK176" s="78">
        <f t="shared" si="115"/>
        <v>1.2531E-3</v>
      </c>
      <c r="BL176" s="78">
        <f t="shared" si="116"/>
        <v>1.2531E-3</v>
      </c>
      <c r="BM176" s="78">
        <f t="shared" si="117"/>
        <v>1.2531E-3</v>
      </c>
      <c r="BN176" s="78">
        <f t="shared" si="118"/>
        <v>1.2531E-3</v>
      </c>
      <c r="BO176" s="78">
        <f t="shared" si="119"/>
        <v>1.2531E-3</v>
      </c>
      <c r="BP176" s="78">
        <f t="shared" si="120"/>
        <v>1.2531E-3</v>
      </c>
      <c r="BQ176" s="78">
        <f t="shared" si="121"/>
        <v>1.2531E-3</v>
      </c>
      <c r="BR176" s="78">
        <f t="shared" si="122"/>
        <v>1.2531E-3</v>
      </c>
      <c r="BS176" s="77"/>
      <c r="BT176" s="77"/>
    </row>
    <row r="177" spans="1:72" ht="14.1" customHeight="1" x14ac:dyDescent="0.2">
      <c r="A177" s="55" t="str">
        <f t="shared" si="93"/>
        <v>DS-4 (Large General Service)_EDT Cost Recovery Rate Zone II Primary</v>
      </c>
      <c r="B177" s="80" t="s">
        <v>639</v>
      </c>
      <c r="C177" s="83" t="s">
        <v>767</v>
      </c>
      <c r="D177" s="150"/>
      <c r="E177" s="81"/>
      <c r="F177" s="73" t="s">
        <v>649</v>
      </c>
      <c r="G177" s="73">
        <v>0</v>
      </c>
      <c r="H177" s="73">
        <v>8</v>
      </c>
      <c r="I177" s="74" t="s">
        <v>641</v>
      </c>
      <c r="J177" s="75" t="s">
        <v>634</v>
      </c>
      <c r="K177" s="74"/>
      <c r="L177" s="82">
        <v>1.3374999999999999E-3</v>
      </c>
      <c r="M177" s="138">
        <v>1.2531E-3</v>
      </c>
      <c r="N177" s="138">
        <v>1.2531E-3</v>
      </c>
      <c r="O177" s="138">
        <v>1.2531E-3</v>
      </c>
      <c r="P177" s="138">
        <v>1.2531E-3</v>
      </c>
      <c r="Q177" s="138">
        <v>1.2531E-3</v>
      </c>
      <c r="R177" s="138">
        <v>1.2531E-3</v>
      </c>
      <c r="S177" s="138">
        <v>1.2531E-3</v>
      </c>
      <c r="T177" s="138">
        <v>1.2531E-3</v>
      </c>
      <c r="U177" s="138">
        <v>1.2531E-3</v>
      </c>
      <c r="V177" s="138">
        <v>1.2531E-3</v>
      </c>
      <c r="W177" s="138">
        <v>1.2531E-3</v>
      </c>
      <c r="X177" s="138">
        <v>1.2531E-3</v>
      </c>
      <c r="Y177" s="138">
        <f t="shared" si="123"/>
        <v>1.2531E-3</v>
      </c>
      <c r="Z177" s="138">
        <f t="shared" si="124"/>
        <v>1.2531E-3</v>
      </c>
      <c r="AA177" s="138">
        <f t="shared" si="125"/>
        <v>1.2531E-3</v>
      </c>
      <c r="AB177" s="138">
        <f t="shared" si="126"/>
        <v>1.2531E-3</v>
      </c>
      <c r="AC177" s="138">
        <f t="shared" si="127"/>
        <v>1.2531E-3</v>
      </c>
      <c r="AD177" s="138">
        <f t="shared" si="128"/>
        <v>1.2531E-3</v>
      </c>
      <c r="AE177" s="138">
        <f t="shared" si="129"/>
        <v>1.2531E-3</v>
      </c>
      <c r="AF177" s="138">
        <f t="shared" si="130"/>
        <v>1.2531E-3</v>
      </c>
      <c r="AG177" s="138">
        <f t="shared" si="131"/>
        <v>1.2531E-3</v>
      </c>
      <c r="AH177" s="138">
        <f t="shared" si="132"/>
        <v>1.2531E-3</v>
      </c>
      <c r="AI177" s="138">
        <f t="shared" si="133"/>
        <v>1.2531E-3</v>
      </c>
      <c r="AJ177" s="138">
        <f t="shared" si="134"/>
        <v>1.2531E-3</v>
      </c>
      <c r="AK177" s="138">
        <f t="shared" si="135"/>
        <v>1.2531E-3</v>
      </c>
      <c r="AL177" s="138">
        <f t="shared" si="136"/>
        <v>1.2531E-3</v>
      </c>
      <c r="AM177" s="138">
        <f t="shared" si="137"/>
        <v>1.2531E-3</v>
      </c>
      <c r="AO177" s="77" t="str">
        <f t="shared" si="94"/>
        <v>DS-4 (Large General Service)</v>
      </c>
      <c r="AP177" s="78" t="s">
        <v>642</v>
      </c>
      <c r="AQ177" s="77" t="str">
        <f t="shared" si="95"/>
        <v>EDT Cost Recovery Rate Zone II Primary</v>
      </c>
      <c r="AR177" s="78" t="str">
        <f t="shared" si="96"/>
        <v>Billing Cycle</v>
      </c>
      <c r="AS177" s="79">
        <f t="shared" si="97"/>
        <v>8</v>
      </c>
      <c r="AT177" s="78">
        <f t="shared" si="98"/>
        <v>0</v>
      </c>
      <c r="AU177" s="78">
        <f t="shared" si="99"/>
        <v>1.2531E-3</v>
      </c>
      <c r="AV177" s="78">
        <f t="shared" si="100"/>
        <v>1.2531E-3</v>
      </c>
      <c r="AW177" s="78">
        <f t="shared" si="101"/>
        <v>1.2531E-3</v>
      </c>
      <c r="AX177" s="78">
        <f t="shared" si="102"/>
        <v>1.2531E-3</v>
      </c>
      <c r="AY177" s="78">
        <f t="shared" si="103"/>
        <v>1.2531E-3</v>
      </c>
      <c r="AZ177" s="78">
        <f t="shared" si="104"/>
        <v>1.2531E-3</v>
      </c>
      <c r="BA177" s="78">
        <f t="shared" si="105"/>
        <v>1.2531E-3</v>
      </c>
      <c r="BB177" s="78">
        <f t="shared" si="106"/>
        <v>1.2531E-3</v>
      </c>
      <c r="BC177" s="78">
        <f t="shared" si="107"/>
        <v>1.2531E-3</v>
      </c>
      <c r="BD177" s="78">
        <f t="shared" si="108"/>
        <v>1.2531E-3</v>
      </c>
      <c r="BE177" s="78">
        <f t="shared" si="109"/>
        <v>1.2531E-3</v>
      </c>
      <c r="BF177" s="78">
        <f t="shared" si="110"/>
        <v>1.2531E-3</v>
      </c>
      <c r="BG177" s="78">
        <f t="shared" si="111"/>
        <v>1.2531E-3</v>
      </c>
      <c r="BH177" s="78">
        <f t="shared" si="112"/>
        <v>1.2531E-3</v>
      </c>
      <c r="BI177" s="78">
        <f t="shared" si="113"/>
        <v>1.2531E-3</v>
      </c>
      <c r="BJ177" s="78">
        <f t="shared" si="114"/>
        <v>1.2531E-3</v>
      </c>
      <c r="BK177" s="78">
        <f t="shared" si="115"/>
        <v>1.2531E-3</v>
      </c>
      <c r="BL177" s="78">
        <f t="shared" si="116"/>
        <v>1.2531E-3</v>
      </c>
      <c r="BM177" s="78">
        <f t="shared" si="117"/>
        <v>1.2531E-3</v>
      </c>
      <c r="BN177" s="78">
        <f t="shared" si="118"/>
        <v>1.2531E-3</v>
      </c>
      <c r="BO177" s="78">
        <f t="shared" si="119"/>
        <v>1.2531E-3</v>
      </c>
      <c r="BP177" s="78">
        <f t="shared" si="120"/>
        <v>1.2531E-3</v>
      </c>
      <c r="BQ177" s="78">
        <f t="shared" si="121"/>
        <v>1.2531E-3</v>
      </c>
      <c r="BR177" s="78">
        <f t="shared" si="122"/>
        <v>1.2531E-3</v>
      </c>
      <c r="BS177" s="77"/>
      <c r="BT177" s="77"/>
    </row>
    <row r="178" spans="1:72" ht="14.1" customHeight="1" x14ac:dyDescent="0.2">
      <c r="A178" s="55" t="str">
        <f t="shared" si="93"/>
        <v>DS-6 (DS-4) Temp. Sensitive DS_EDT Cost Recovery Rate Zone II Primary</v>
      </c>
      <c r="B178" s="80" t="s">
        <v>645</v>
      </c>
      <c r="C178" s="83" t="s">
        <v>767</v>
      </c>
      <c r="D178" s="150"/>
      <c r="E178" s="81"/>
      <c r="F178" s="73" t="s">
        <v>649</v>
      </c>
      <c r="G178" s="73">
        <v>0</v>
      </c>
      <c r="H178" s="73">
        <v>8</v>
      </c>
      <c r="I178" s="74" t="s">
        <v>641</v>
      </c>
      <c r="J178" s="75" t="s">
        <v>634</v>
      </c>
      <c r="K178" s="74"/>
      <c r="L178" s="82">
        <v>1.3374999999999999E-3</v>
      </c>
      <c r="M178" s="138">
        <v>1.2531E-3</v>
      </c>
      <c r="N178" s="138">
        <v>1.2531E-3</v>
      </c>
      <c r="O178" s="138">
        <v>1.2531E-3</v>
      </c>
      <c r="P178" s="138">
        <v>1.2531E-3</v>
      </c>
      <c r="Q178" s="138">
        <v>1.2531E-3</v>
      </c>
      <c r="R178" s="138">
        <v>1.2531E-3</v>
      </c>
      <c r="S178" s="138">
        <v>1.2531E-3</v>
      </c>
      <c r="T178" s="138">
        <v>1.2531E-3</v>
      </c>
      <c r="U178" s="138">
        <v>1.2531E-3</v>
      </c>
      <c r="V178" s="138">
        <v>1.2531E-3</v>
      </c>
      <c r="W178" s="138">
        <v>1.2531E-3</v>
      </c>
      <c r="X178" s="138">
        <v>1.2531E-3</v>
      </c>
      <c r="Y178" s="138">
        <f t="shared" si="123"/>
        <v>1.2531E-3</v>
      </c>
      <c r="Z178" s="138">
        <f t="shared" si="124"/>
        <v>1.2531E-3</v>
      </c>
      <c r="AA178" s="138">
        <f t="shared" si="125"/>
        <v>1.2531E-3</v>
      </c>
      <c r="AB178" s="138">
        <f t="shared" si="126"/>
        <v>1.2531E-3</v>
      </c>
      <c r="AC178" s="138">
        <f t="shared" si="127"/>
        <v>1.2531E-3</v>
      </c>
      <c r="AD178" s="138">
        <f t="shared" si="128"/>
        <v>1.2531E-3</v>
      </c>
      <c r="AE178" s="138">
        <f t="shared" si="129"/>
        <v>1.2531E-3</v>
      </c>
      <c r="AF178" s="138">
        <f t="shared" si="130"/>
        <v>1.2531E-3</v>
      </c>
      <c r="AG178" s="138">
        <f t="shared" si="131"/>
        <v>1.2531E-3</v>
      </c>
      <c r="AH178" s="138">
        <f t="shared" si="132"/>
        <v>1.2531E-3</v>
      </c>
      <c r="AI178" s="138">
        <f t="shared" si="133"/>
        <v>1.2531E-3</v>
      </c>
      <c r="AJ178" s="138">
        <f t="shared" si="134"/>
        <v>1.2531E-3</v>
      </c>
      <c r="AK178" s="138">
        <f t="shared" si="135"/>
        <v>1.2531E-3</v>
      </c>
      <c r="AL178" s="138">
        <f t="shared" si="136"/>
        <v>1.2531E-3</v>
      </c>
      <c r="AM178" s="138">
        <f t="shared" si="137"/>
        <v>1.2531E-3</v>
      </c>
      <c r="AO178" s="77" t="str">
        <f t="shared" si="94"/>
        <v>DS-6 (DS-4) Temp. Sensitive DS</v>
      </c>
      <c r="AP178" s="78" t="s">
        <v>646</v>
      </c>
      <c r="AQ178" s="77" t="str">
        <f t="shared" si="95"/>
        <v>EDT Cost Recovery Rate Zone II Primary</v>
      </c>
      <c r="AR178" s="78" t="str">
        <f t="shared" si="96"/>
        <v>Billing Cycle</v>
      </c>
      <c r="AS178" s="79">
        <f t="shared" si="97"/>
        <v>8</v>
      </c>
      <c r="AT178" s="78">
        <f t="shared" si="98"/>
        <v>0</v>
      </c>
      <c r="AU178" s="78">
        <f t="shared" si="99"/>
        <v>1.2531E-3</v>
      </c>
      <c r="AV178" s="78">
        <f t="shared" si="100"/>
        <v>1.2531E-3</v>
      </c>
      <c r="AW178" s="78">
        <f t="shared" si="101"/>
        <v>1.2531E-3</v>
      </c>
      <c r="AX178" s="78">
        <f t="shared" si="102"/>
        <v>1.2531E-3</v>
      </c>
      <c r="AY178" s="78">
        <f t="shared" si="103"/>
        <v>1.2531E-3</v>
      </c>
      <c r="AZ178" s="78">
        <f t="shared" si="104"/>
        <v>1.2531E-3</v>
      </c>
      <c r="BA178" s="78">
        <f t="shared" si="105"/>
        <v>1.2531E-3</v>
      </c>
      <c r="BB178" s="78">
        <f t="shared" si="106"/>
        <v>1.2531E-3</v>
      </c>
      <c r="BC178" s="78">
        <f t="shared" si="107"/>
        <v>1.2531E-3</v>
      </c>
      <c r="BD178" s="78">
        <f t="shared" si="108"/>
        <v>1.2531E-3</v>
      </c>
      <c r="BE178" s="78">
        <f t="shared" si="109"/>
        <v>1.2531E-3</v>
      </c>
      <c r="BF178" s="78">
        <f t="shared" si="110"/>
        <v>1.2531E-3</v>
      </c>
      <c r="BG178" s="78">
        <f t="shared" si="111"/>
        <v>1.2531E-3</v>
      </c>
      <c r="BH178" s="78">
        <f t="shared" si="112"/>
        <v>1.2531E-3</v>
      </c>
      <c r="BI178" s="78">
        <f t="shared" si="113"/>
        <v>1.2531E-3</v>
      </c>
      <c r="BJ178" s="78">
        <f t="shared" si="114"/>
        <v>1.2531E-3</v>
      </c>
      <c r="BK178" s="78">
        <f t="shared" si="115"/>
        <v>1.2531E-3</v>
      </c>
      <c r="BL178" s="78">
        <f t="shared" si="116"/>
        <v>1.2531E-3</v>
      </c>
      <c r="BM178" s="78">
        <f t="shared" si="117"/>
        <v>1.2531E-3</v>
      </c>
      <c r="BN178" s="78">
        <f t="shared" si="118"/>
        <v>1.2531E-3</v>
      </c>
      <c r="BO178" s="78">
        <f t="shared" si="119"/>
        <v>1.2531E-3</v>
      </c>
      <c r="BP178" s="78">
        <f t="shared" si="120"/>
        <v>1.2531E-3</v>
      </c>
      <c r="BQ178" s="78">
        <f t="shared" si="121"/>
        <v>1.2531E-3</v>
      </c>
      <c r="BR178" s="78">
        <f t="shared" si="122"/>
        <v>1.2531E-3</v>
      </c>
      <c r="BS178" s="77"/>
      <c r="BT178" s="77"/>
    </row>
    <row r="179" spans="1:72" ht="14.1" customHeight="1" x14ac:dyDescent="0.2">
      <c r="A179" s="55" t="str">
        <f t="shared" si="93"/>
        <v>DS-1 (Residential)_EDT Cost Recovery Rate Zone III</v>
      </c>
      <c r="B179" s="80" t="s">
        <v>90</v>
      </c>
      <c r="C179" s="71" t="s">
        <v>768</v>
      </c>
      <c r="D179" s="150"/>
      <c r="E179" s="81"/>
      <c r="F179" s="73" t="s">
        <v>649</v>
      </c>
      <c r="G179" s="73">
        <v>0</v>
      </c>
      <c r="H179" s="73">
        <v>8</v>
      </c>
      <c r="I179" s="74" t="s">
        <v>641</v>
      </c>
      <c r="J179" s="75" t="s">
        <v>634</v>
      </c>
      <c r="K179" s="74"/>
      <c r="L179" s="82">
        <v>1.3374999999999999E-3</v>
      </c>
      <c r="M179" s="138">
        <v>1.2531E-3</v>
      </c>
      <c r="N179" s="138">
        <v>1.2531E-3</v>
      </c>
      <c r="O179" s="138">
        <v>1.2531E-3</v>
      </c>
      <c r="P179" s="138">
        <v>1.2531E-3</v>
      </c>
      <c r="Q179" s="138">
        <v>1.2531E-3</v>
      </c>
      <c r="R179" s="138">
        <v>1.2531E-3</v>
      </c>
      <c r="S179" s="138">
        <v>1.2531E-3</v>
      </c>
      <c r="T179" s="138">
        <v>1.2531E-3</v>
      </c>
      <c r="U179" s="138">
        <v>1.2531E-3</v>
      </c>
      <c r="V179" s="138">
        <v>1.2531E-3</v>
      </c>
      <c r="W179" s="138">
        <v>1.2531E-3</v>
      </c>
      <c r="X179" s="138">
        <v>1.2531E-3</v>
      </c>
      <c r="Y179" s="138">
        <f t="shared" si="123"/>
        <v>1.2531E-3</v>
      </c>
      <c r="Z179" s="138">
        <f t="shared" si="124"/>
        <v>1.2531E-3</v>
      </c>
      <c r="AA179" s="138">
        <f t="shared" si="125"/>
        <v>1.2531E-3</v>
      </c>
      <c r="AB179" s="138">
        <f t="shared" si="126"/>
        <v>1.2531E-3</v>
      </c>
      <c r="AC179" s="138">
        <f t="shared" si="127"/>
        <v>1.2531E-3</v>
      </c>
      <c r="AD179" s="138">
        <f t="shared" si="128"/>
        <v>1.2531E-3</v>
      </c>
      <c r="AE179" s="138">
        <f t="shared" si="129"/>
        <v>1.2531E-3</v>
      </c>
      <c r="AF179" s="138">
        <f t="shared" si="130"/>
        <v>1.2531E-3</v>
      </c>
      <c r="AG179" s="138">
        <f t="shared" si="131"/>
        <v>1.2531E-3</v>
      </c>
      <c r="AH179" s="138">
        <f t="shared" si="132"/>
        <v>1.2531E-3</v>
      </c>
      <c r="AI179" s="138">
        <f t="shared" si="133"/>
        <v>1.2531E-3</v>
      </c>
      <c r="AJ179" s="138">
        <f t="shared" si="134"/>
        <v>1.2531E-3</v>
      </c>
      <c r="AK179" s="138">
        <f t="shared" si="135"/>
        <v>1.2531E-3</v>
      </c>
      <c r="AL179" s="138">
        <f t="shared" si="136"/>
        <v>1.2531E-3</v>
      </c>
      <c r="AM179" s="138">
        <f t="shared" si="137"/>
        <v>1.2531E-3</v>
      </c>
      <c r="AO179" s="77" t="str">
        <f t="shared" si="94"/>
        <v>DS-1 (Residential)</v>
      </c>
      <c r="AP179" s="78" t="s">
        <v>662</v>
      </c>
      <c r="AQ179" s="77" t="str">
        <f t="shared" si="95"/>
        <v>EDT Cost Recovery Rate Zone III</v>
      </c>
      <c r="AR179" s="78" t="str">
        <f t="shared" si="96"/>
        <v>Billing Cycle</v>
      </c>
      <c r="AS179" s="79">
        <f t="shared" si="97"/>
        <v>8</v>
      </c>
      <c r="AT179" s="78">
        <f t="shared" si="98"/>
        <v>0</v>
      </c>
      <c r="AU179" s="78">
        <f t="shared" si="99"/>
        <v>1.2531E-3</v>
      </c>
      <c r="AV179" s="78">
        <f t="shared" si="100"/>
        <v>1.2531E-3</v>
      </c>
      <c r="AW179" s="78">
        <f t="shared" si="101"/>
        <v>1.2531E-3</v>
      </c>
      <c r="AX179" s="78">
        <f t="shared" si="102"/>
        <v>1.2531E-3</v>
      </c>
      <c r="AY179" s="78">
        <f t="shared" si="103"/>
        <v>1.2531E-3</v>
      </c>
      <c r="AZ179" s="78">
        <f t="shared" si="104"/>
        <v>1.2531E-3</v>
      </c>
      <c r="BA179" s="78">
        <f t="shared" si="105"/>
        <v>1.2531E-3</v>
      </c>
      <c r="BB179" s="78">
        <f t="shared" si="106"/>
        <v>1.2531E-3</v>
      </c>
      <c r="BC179" s="78">
        <f t="shared" si="107"/>
        <v>1.2531E-3</v>
      </c>
      <c r="BD179" s="78">
        <f t="shared" si="108"/>
        <v>1.2531E-3</v>
      </c>
      <c r="BE179" s="78">
        <f t="shared" si="109"/>
        <v>1.2531E-3</v>
      </c>
      <c r="BF179" s="78">
        <f t="shared" si="110"/>
        <v>1.2531E-3</v>
      </c>
      <c r="BG179" s="78">
        <f t="shared" si="111"/>
        <v>1.2531E-3</v>
      </c>
      <c r="BH179" s="78">
        <f t="shared" si="112"/>
        <v>1.2531E-3</v>
      </c>
      <c r="BI179" s="78">
        <f t="shared" si="113"/>
        <v>1.2531E-3</v>
      </c>
      <c r="BJ179" s="78">
        <f t="shared" si="114"/>
        <v>1.2531E-3</v>
      </c>
      <c r="BK179" s="78">
        <f t="shared" si="115"/>
        <v>1.2531E-3</v>
      </c>
      <c r="BL179" s="78">
        <f t="shared" si="116"/>
        <v>1.2531E-3</v>
      </c>
      <c r="BM179" s="78">
        <f t="shared" si="117"/>
        <v>1.2531E-3</v>
      </c>
      <c r="BN179" s="78">
        <f t="shared" si="118"/>
        <v>1.2531E-3</v>
      </c>
      <c r="BO179" s="78">
        <f t="shared" si="119"/>
        <v>1.2531E-3</v>
      </c>
      <c r="BP179" s="78">
        <f t="shared" si="120"/>
        <v>1.2531E-3</v>
      </c>
      <c r="BQ179" s="78">
        <f t="shared" si="121"/>
        <v>1.2531E-3</v>
      </c>
      <c r="BR179" s="78">
        <f t="shared" si="122"/>
        <v>1.2531E-3</v>
      </c>
      <c r="BS179" s="77"/>
      <c r="BT179" s="77"/>
    </row>
    <row r="180" spans="1:72" ht="14.1" customHeight="1" x14ac:dyDescent="0.2">
      <c r="A180" s="55" t="str">
        <f t="shared" si="93"/>
        <v>DS-2 (Small General Service)_EDT Cost Recovery Rate Zone III</v>
      </c>
      <c r="B180" s="80" t="s">
        <v>665</v>
      </c>
      <c r="C180" s="71" t="s">
        <v>768</v>
      </c>
      <c r="D180" s="150"/>
      <c r="E180" s="81"/>
      <c r="F180" s="73" t="s">
        <v>649</v>
      </c>
      <c r="G180" s="73">
        <v>0</v>
      </c>
      <c r="H180" s="73">
        <v>8</v>
      </c>
      <c r="I180" s="74" t="s">
        <v>641</v>
      </c>
      <c r="J180" s="75" t="s">
        <v>634</v>
      </c>
      <c r="K180" s="74"/>
      <c r="L180" s="82">
        <v>1.3374999999999999E-3</v>
      </c>
      <c r="M180" s="138">
        <v>1.2531E-3</v>
      </c>
      <c r="N180" s="138">
        <v>1.2531E-3</v>
      </c>
      <c r="O180" s="138">
        <v>1.2531E-3</v>
      </c>
      <c r="P180" s="138">
        <v>1.2531E-3</v>
      </c>
      <c r="Q180" s="138">
        <v>1.2531E-3</v>
      </c>
      <c r="R180" s="138">
        <v>1.2531E-3</v>
      </c>
      <c r="S180" s="138">
        <v>1.2531E-3</v>
      </c>
      <c r="T180" s="138">
        <v>1.2531E-3</v>
      </c>
      <c r="U180" s="138">
        <v>1.2531E-3</v>
      </c>
      <c r="V180" s="138">
        <v>1.2531E-3</v>
      </c>
      <c r="W180" s="138">
        <v>1.2531E-3</v>
      </c>
      <c r="X180" s="138">
        <v>1.2531E-3</v>
      </c>
      <c r="Y180" s="138">
        <f t="shared" si="123"/>
        <v>1.2531E-3</v>
      </c>
      <c r="Z180" s="138">
        <f t="shared" si="124"/>
        <v>1.2531E-3</v>
      </c>
      <c r="AA180" s="138">
        <f t="shared" si="125"/>
        <v>1.2531E-3</v>
      </c>
      <c r="AB180" s="138">
        <f t="shared" si="126"/>
        <v>1.2531E-3</v>
      </c>
      <c r="AC180" s="138">
        <f t="shared" si="127"/>
        <v>1.2531E-3</v>
      </c>
      <c r="AD180" s="138">
        <f t="shared" si="128"/>
        <v>1.2531E-3</v>
      </c>
      <c r="AE180" s="138">
        <f t="shared" si="129"/>
        <v>1.2531E-3</v>
      </c>
      <c r="AF180" s="138">
        <f t="shared" si="130"/>
        <v>1.2531E-3</v>
      </c>
      <c r="AG180" s="138">
        <f t="shared" si="131"/>
        <v>1.2531E-3</v>
      </c>
      <c r="AH180" s="138">
        <f t="shared" si="132"/>
        <v>1.2531E-3</v>
      </c>
      <c r="AI180" s="138">
        <f t="shared" si="133"/>
        <v>1.2531E-3</v>
      </c>
      <c r="AJ180" s="138">
        <f t="shared" si="134"/>
        <v>1.2531E-3</v>
      </c>
      <c r="AK180" s="138">
        <f t="shared" si="135"/>
        <v>1.2531E-3</v>
      </c>
      <c r="AL180" s="138">
        <f t="shared" si="136"/>
        <v>1.2531E-3</v>
      </c>
      <c r="AM180" s="138">
        <f t="shared" si="137"/>
        <v>1.2531E-3</v>
      </c>
      <c r="AO180" s="77" t="str">
        <f t="shared" si="94"/>
        <v>DS-2 (Small General Service)</v>
      </c>
      <c r="AP180" s="78" t="s">
        <v>664</v>
      </c>
      <c r="AQ180" s="77" t="str">
        <f t="shared" si="95"/>
        <v>EDT Cost Recovery Rate Zone III</v>
      </c>
      <c r="AR180" s="78" t="str">
        <f t="shared" si="96"/>
        <v>Billing Cycle</v>
      </c>
      <c r="AS180" s="79">
        <f t="shared" si="97"/>
        <v>8</v>
      </c>
      <c r="AT180" s="78">
        <f t="shared" si="98"/>
        <v>0</v>
      </c>
      <c r="AU180" s="78">
        <f t="shared" si="99"/>
        <v>1.2531E-3</v>
      </c>
      <c r="AV180" s="78">
        <f t="shared" si="100"/>
        <v>1.2531E-3</v>
      </c>
      <c r="AW180" s="78">
        <f t="shared" si="101"/>
        <v>1.2531E-3</v>
      </c>
      <c r="AX180" s="78">
        <f t="shared" si="102"/>
        <v>1.2531E-3</v>
      </c>
      <c r="AY180" s="78">
        <f t="shared" si="103"/>
        <v>1.2531E-3</v>
      </c>
      <c r="AZ180" s="78">
        <f t="shared" si="104"/>
        <v>1.2531E-3</v>
      </c>
      <c r="BA180" s="78">
        <f t="shared" si="105"/>
        <v>1.2531E-3</v>
      </c>
      <c r="BB180" s="78">
        <f t="shared" si="106"/>
        <v>1.2531E-3</v>
      </c>
      <c r="BC180" s="78">
        <f t="shared" si="107"/>
        <v>1.2531E-3</v>
      </c>
      <c r="BD180" s="78">
        <f t="shared" si="108"/>
        <v>1.2531E-3</v>
      </c>
      <c r="BE180" s="78">
        <f t="shared" si="109"/>
        <v>1.2531E-3</v>
      </c>
      <c r="BF180" s="78">
        <f t="shared" si="110"/>
        <v>1.2531E-3</v>
      </c>
      <c r="BG180" s="78">
        <f t="shared" si="111"/>
        <v>1.2531E-3</v>
      </c>
      <c r="BH180" s="78">
        <f t="shared" si="112"/>
        <v>1.2531E-3</v>
      </c>
      <c r="BI180" s="78">
        <f t="shared" si="113"/>
        <v>1.2531E-3</v>
      </c>
      <c r="BJ180" s="78">
        <f t="shared" si="114"/>
        <v>1.2531E-3</v>
      </c>
      <c r="BK180" s="78">
        <f t="shared" si="115"/>
        <v>1.2531E-3</v>
      </c>
      <c r="BL180" s="78">
        <f t="shared" si="116"/>
        <v>1.2531E-3</v>
      </c>
      <c r="BM180" s="78">
        <f t="shared" si="117"/>
        <v>1.2531E-3</v>
      </c>
      <c r="BN180" s="78">
        <f t="shared" si="118"/>
        <v>1.2531E-3</v>
      </c>
      <c r="BO180" s="78">
        <f t="shared" si="119"/>
        <v>1.2531E-3</v>
      </c>
      <c r="BP180" s="78">
        <f t="shared" si="120"/>
        <v>1.2531E-3</v>
      </c>
      <c r="BQ180" s="78">
        <f t="shared" si="121"/>
        <v>1.2531E-3</v>
      </c>
      <c r="BR180" s="78">
        <f t="shared" si="122"/>
        <v>1.2531E-3</v>
      </c>
      <c r="BS180" s="77"/>
      <c r="BT180" s="77"/>
    </row>
    <row r="181" spans="1:72" ht="14.1" customHeight="1" x14ac:dyDescent="0.2">
      <c r="A181" s="55" t="str">
        <f t="shared" si="93"/>
        <v>DS-3 (General Delivery Service)_EDT Cost Recovery Rate Zone III</v>
      </c>
      <c r="B181" s="80" t="s">
        <v>666</v>
      </c>
      <c r="C181" s="71" t="s">
        <v>768</v>
      </c>
      <c r="D181" s="150"/>
      <c r="E181" s="81"/>
      <c r="F181" s="73" t="s">
        <v>649</v>
      </c>
      <c r="G181" s="73">
        <v>0</v>
      </c>
      <c r="H181" s="73">
        <v>8</v>
      </c>
      <c r="I181" s="74" t="s">
        <v>641</v>
      </c>
      <c r="J181" s="75" t="s">
        <v>634</v>
      </c>
      <c r="K181" s="74"/>
      <c r="L181" s="82">
        <v>1.3374999999999999E-3</v>
      </c>
      <c r="M181" s="138">
        <v>1.2531E-3</v>
      </c>
      <c r="N181" s="138">
        <v>1.2531E-3</v>
      </c>
      <c r="O181" s="138">
        <v>1.2531E-3</v>
      </c>
      <c r="P181" s="138">
        <v>1.2531E-3</v>
      </c>
      <c r="Q181" s="138">
        <v>1.2531E-3</v>
      </c>
      <c r="R181" s="138">
        <v>1.2531E-3</v>
      </c>
      <c r="S181" s="138">
        <v>1.2531E-3</v>
      </c>
      <c r="T181" s="138">
        <v>1.2531E-3</v>
      </c>
      <c r="U181" s="138">
        <v>1.2531E-3</v>
      </c>
      <c r="V181" s="138">
        <v>1.2531E-3</v>
      </c>
      <c r="W181" s="138">
        <v>1.2531E-3</v>
      </c>
      <c r="X181" s="138">
        <v>1.2531E-3</v>
      </c>
      <c r="Y181" s="138">
        <f t="shared" si="123"/>
        <v>1.2531E-3</v>
      </c>
      <c r="Z181" s="138">
        <f t="shared" si="124"/>
        <v>1.2531E-3</v>
      </c>
      <c r="AA181" s="138">
        <f t="shared" si="125"/>
        <v>1.2531E-3</v>
      </c>
      <c r="AB181" s="138">
        <f t="shared" si="126"/>
        <v>1.2531E-3</v>
      </c>
      <c r="AC181" s="138">
        <f t="shared" si="127"/>
        <v>1.2531E-3</v>
      </c>
      <c r="AD181" s="138">
        <f t="shared" si="128"/>
        <v>1.2531E-3</v>
      </c>
      <c r="AE181" s="138">
        <f t="shared" si="129"/>
        <v>1.2531E-3</v>
      </c>
      <c r="AF181" s="138">
        <f t="shared" si="130"/>
        <v>1.2531E-3</v>
      </c>
      <c r="AG181" s="138">
        <f t="shared" si="131"/>
        <v>1.2531E-3</v>
      </c>
      <c r="AH181" s="138">
        <f t="shared" si="132"/>
        <v>1.2531E-3</v>
      </c>
      <c r="AI181" s="138">
        <f t="shared" si="133"/>
        <v>1.2531E-3</v>
      </c>
      <c r="AJ181" s="138">
        <f t="shared" si="134"/>
        <v>1.2531E-3</v>
      </c>
      <c r="AK181" s="138">
        <f t="shared" si="135"/>
        <v>1.2531E-3</v>
      </c>
      <c r="AL181" s="138">
        <f t="shared" si="136"/>
        <v>1.2531E-3</v>
      </c>
      <c r="AM181" s="138">
        <f t="shared" si="137"/>
        <v>1.2531E-3</v>
      </c>
      <c r="AO181" s="77" t="str">
        <f t="shared" si="94"/>
        <v>DS-3 (General Delivery Service)</v>
      </c>
      <c r="AP181" s="78" t="s">
        <v>667</v>
      </c>
      <c r="AQ181" s="77" t="str">
        <f t="shared" si="95"/>
        <v>EDT Cost Recovery Rate Zone III</v>
      </c>
      <c r="AR181" s="78" t="str">
        <f t="shared" si="96"/>
        <v>Billing Cycle</v>
      </c>
      <c r="AS181" s="79">
        <f t="shared" si="97"/>
        <v>8</v>
      </c>
      <c r="AT181" s="78">
        <f t="shared" si="98"/>
        <v>0</v>
      </c>
      <c r="AU181" s="78">
        <f t="shared" si="99"/>
        <v>1.2531E-3</v>
      </c>
      <c r="AV181" s="78">
        <f t="shared" si="100"/>
        <v>1.2531E-3</v>
      </c>
      <c r="AW181" s="78">
        <f t="shared" si="101"/>
        <v>1.2531E-3</v>
      </c>
      <c r="AX181" s="78">
        <f t="shared" si="102"/>
        <v>1.2531E-3</v>
      </c>
      <c r="AY181" s="78">
        <f t="shared" si="103"/>
        <v>1.2531E-3</v>
      </c>
      <c r="AZ181" s="78">
        <f t="shared" si="104"/>
        <v>1.2531E-3</v>
      </c>
      <c r="BA181" s="78">
        <f t="shared" si="105"/>
        <v>1.2531E-3</v>
      </c>
      <c r="BB181" s="78">
        <f t="shared" si="106"/>
        <v>1.2531E-3</v>
      </c>
      <c r="BC181" s="78">
        <f t="shared" si="107"/>
        <v>1.2531E-3</v>
      </c>
      <c r="BD181" s="78">
        <f t="shared" si="108"/>
        <v>1.2531E-3</v>
      </c>
      <c r="BE181" s="78">
        <f t="shared" si="109"/>
        <v>1.2531E-3</v>
      </c>
      <c r="BF181" s="78">
        <f t="shared" si="110"/>
        <v>1.2531E-3</v>
      </c>
      <c r="BG181" s="78">
        <f t="shared" si="111"/>
        <v>1.2531E-3</v>
      </c>
      <c r="BH181" s="78">
        <f t="shared" si="112"/>
        <v>1.2531E-3</v>
      </c>
      <c r="BI181" s="78">
        <f t="shared" si="113"/>
        <v>1.2531E-3</v>
      </c>
      <c r="BJ181" s="78">
        <f t="shared" si="114"/>
        <v>1.2531E-3</v>
      </c>
      <c r="BK181" s="78">
        <f t="shared" si="115"/>
        <v>1.2531E-3</v>
      </c>
      <c r="BL181" s="78">
        <f t="shared" si="116"/>
        <v>1.2531E-3</v>
      </c>
      <c r="BM181" s="78">
        <f t="shared" si="117"/>
        <v>1.2531E-3</v>
      </c>
      <c r="BN181" s="78">
        <f t="shared" si="118"/>
        <v>1.2531E-3</v>
      </c>
      <c r="BO181" s="78">
        <f t="shared" si="119"/>
        <v>1.2531E-3</v>
      </c>
      <c r="BP181" s="78">
        <f t="shared" si="120"/>
        <v>1.2531E-3</v>
      </c>
      <c r="BQ181" s="78">
        <f t="shared" si="121"/>
        <v>1.2531E-3</v>
      </c>
      <c r="BR181" s="78">
        <f t="shared" si="122"/>
        <v>1.2531E-3</v>
      </c>
      <c r="BS181" s="77"/>
      <c r="BT181" s="77"/>
    </row>
    <row r="182" spans="1:72" ht="14.1" customHeight="1" x14ac:dyDescent="0.2">
      <c r="A182" s="55" t="str">
        <f t="shared" si="93"/>
        <v>DS-5 (Lighting Service)_EDT Cost Recovery Rate Zone III</v>
      </c>
      <c r="B182" s="80" t="s">
        <v>647</v>
      </c>
      <c r="C182" s="71" t="s">
        <v>768</v>
      </c>
      <c r="D182" s="150"/>
      <c r="E182" s="81"/>
      <c r="F182" s="73" t="s">
        <v>649</v>
      </c>
      <c r="G182" s="73">
        <v>0</v>
      </c>
      <c r="H182" s="73">
        <v>8</v>
      </c>
      <c r="I182" s="74" t="s">
        <v>641</v>
      </c>
      <c r="J182" s="75" t="s">
        <v>634</v>
      </c>
      <c r="K182" s="74"/>
      <c r="L182" s="82">
        <v>1.3374999999999999E-3</v>
      </c>
      <c r="M182" s="138">
        <v>1.2531E-3</v>
      </c>
      <c r="N182" s="138">
        <v>1.2531E-3</v>
      </c>
      <c r="O182" s="138">
        <v>1.2531E-3</v>
      </c>
      <c r="P182" s="138">
        <v>1.2531E-3</v>
      </c>
      <c r="Q182" s="138">
        <v>1.2531E-3</v>
      </c>
      <c r="R182" s="138">
        <v>1.2531E-3</v>
      </c>
      <c r="S182" s="138">
        <v>1.2531E-3</v>
      </c>
      <c r="T182" s="138">
        <v>1.2531E-3</v>
      </c>
      <c r="U182" s="138">
        <v>1.2531E-3</v>
      </c>
      <c r="V182" s="138">
        <v>1.2531E-3</v>
      </c>
      <c r="W182" s="138">
        <v>1.2531E-3</v>
      </c>
      <c r="X182" s="138">
        <v>1.2531E-3</v>
      </c>
      <c r="Y182" s="138">
        <f t="shared" si="123"/>
        <v>1.2531E-3</v>
      </c>
      <c r="Z182" s="138">
        <f t="shared" si="124"/>
        <v>1.2531E-3</v>
      </c>
      <c r="AA182" s="138">
        <f t="shared" si="125"/>
        <v>1.2531E-3</v>
      </c>
      <c r="AB182" s="138">
        <f t="shared" si="126"/>
        <v>1.2531E-3</v>
      </c>
      <c r="AC182" s="138">
        <f t="shared" si="127"/>
        <v>1.2531E-3</v>
      </c>
      <c r="AD182" s="138">
        <f t="shared" si="128"/>
        <v>1.2531E-3</v>
      </c>
      <c r="AE182" s="138">
        <f t="shared" si="129"/>
        <v>1.2531E-3</v>
      </c>
      <c r="AF182" s="138">
        <f t="shared" si="130"/>
        <v>1.2531E-3</v>
      </c>
      <c r="AG182" s="138">
        <f t="shared" si="131"/>
        <v>1.2531E-3</v>
      </c>
      <c r="AH182" s="138">
        <f t="shared" si="132"/>
        <v>1.2531E-3</v>
      </c>
      <c r="AI182" s="138">
        <f t="shared" si="133"/>
        <v>1.2531E-3</v>
      </c>
      <c r="AJ182" s="138">
        <f t="shared" si="134"/>
        <v>1.2531E-3</v>
      </c>
      <c r="AK182" s="138">
        <f t="shared" si="135"/>
        <v>1.2531E-3</v>
      </c>
      <c r="AL182" s="138">
        <f t="shared" si="136"/>
        <v>1.2531E-3</v>
      </c>
      <c r="AM182" s="138">
        <f t="shared" si="137"/>
        <v>1.2531E-3</v>
      </c>
      <c r="AO182" s="77" t="str">
        <f t="shared" si="94"/>
        <v>DS-5 (Lighting Service)</v>
      </c>
      <c r="AP182" s="78" t="s">
        <v>650</v>
      </c>
      <c r="AQ182" s="77" t="str">
        <f t="shared" si="95"/>
        <v>EDT Cost Recovery Rate Zone III</v>
      </c>
      <c r="AR182" s="78" t="str">
        <f t="shared" si="96"/>
        <v>Billing Cycle</v>
      </c>
      <c r="AS182" s="79">
        <f t="shared" si="97"/>
        <v>8</v>
      </c>
      <c r="AT182" s="78">
        <f t="shared" si="98"/>
        <v>0</v>
      </c>
      <c r="AU182" s="78">
        <f t="shared" si="99"/>
        <v>1.2531E-3</v>
      </c>
      <c r="AV182" s="78">
        <f t="shared" si="100"/>
        <v>1.2531E-3</v>
      </c>
      <c r="AW182" s="78">
        <f t="shared" si="101"/>
        <v>1.2531E-3</v>
      </c>
      <c r="AX182" s="78">
        <f t="shared" si="102"/>
        <v>1.2531E-3</v>
      </c>
      <c r="AY182" s="78">
        <f t="shared" si="103"/>
        <v>1.2531E-3</v>
      </c>
      <c r="AZ182" s="78">
        <f t="shared" si="104"/>
        <v>1.2531E-3</v>
      </c>
      <c r="BA182" s="78">
        <f t="shared" si="105"/>
        <v>1.2531E-3</v>
      </c>
      <c r="BB182" s="78">
        <f t="shared" si="106"/>
        <v>1.2531E-3</v>
      </c>
      <c r="BC182" s="78">
        <f t="shared" si="107"/>
        <v>1.2531E-3</v>
      </c>
      <c r="BD182" s="78">
        <f t="shared" si="108"/>
        <v>1.2531E-3</v>
      </c>
      <c r="BE182" s="78">
        <f t="shared" si="109"/>
        <v>1.2531E-3</v>
      </c>
      <c r="BF182" s="78">
        <f t="shared" si="110"/>
        <v>1.2531E-3</v>
      </c>
      <c r="BG182" s="78">
        <f t="shared" si="111"/>
        <v>1.2531E-3</v>
      </c>
      <c r="BH182" s="78">
        <f t="shared" si="112"/>
        <v>1.2531E-3</v>
      </c>
      <c r="BI182" s="78">
        <f t="shared" si="113"/>
        <v>1.2531E-3</v>
      </c>
      <c r="BJ182" s="78">
        <f t="shared" si="114"/>
        <v>1.2531E-3</v>
      </c>
      <c r="BK182" s="78">
        <f t="shared" si="115"/>
        <v>1.2531E-3</v>
      </c>
      <c r="BL182" s="78">
        <f t="shared" si="116"/>
        <v>1.2531E-3</v>
      </c>
      <c r="BM182" s="78">
        <f t="shared" si="117"/>
        <v>1.2531E-3</v>
      </c>
      <c r="BN182" s="78">
        <f t="shared" si="118"/>
        <v>1.2531E-3</v>
      </c>
      <c r="BO182" s="78">
        <f t="shared" si="119"/>
        <v>1.2531E-3</v>
      </c>
      <c r="BP182" s="78">
        <f t="shared" si="120"/>
        <v>1.2531E-3</v>
      </c>
      <c r="BQ182" s="78">
        <f t="shared" si="121"/>
        <v>1.2531E-3</v>
      </c>
      <c r="BR182" s="78">
        <f t="shared" si="122"/>
        <v>1.2531E-3</v>
      </c>
      <c r="BS182" s="77"/>
      <c r="BT182" s="77"/>
    </row>
    <row r="183" spans="1:72" ht="14.1" customHeight="1" x14ac:dyDescent="0.2">
      <c r="A183" s="55" t="str">
        <f t="shared" si="93"/>
        <v>DS-6 (DS-3) Temp. Sensitive DS_EDT Cost Recovery Rate Zone III</v>
      </c>
      <c r="B183" s="80" t="s">
        <v>643</v>
      </c>
      <c r="C183" s="71" t="s">
        <v>768</v>
      </c>
      <c r="D183" s="150"/>
      <c r="E183" s="81"/>
      <c r="F183" s="73" t="s">
        <v>649</v>
      </c>
      <c r="G183" s="73">
        <v>0</v>
      </c>
      <c r="H183" s="73">
        <v>8</v>
      </c>
      <c r="I183" s="74" t="s">
        <v>641</v>
      </c>
      <c r="J183" s="75" t="s">
        <v>634</v>
      </c>
      <c r="K183" s="74"/>
      <c r="L183" s="82">
        <v>1.3374999999999999E-3</v>
      </c>
      <c r="M183" s="138">
        <v>1.2531E-3</v>
      </c>
      <c r="N183" s="138">
        <v>1.2531E-3</v>
      </c>
      <c r="O183" s="138">
        <v>1.2531E-3</v>
      </c>
      <c r="P183" s="138">
        <v>1.2531E-3</v>
      </c>
      <c r="Q183" s="138">
        <v>1.2531E-3</v>
      </c>
      <c r="R183" s="138">
        <v>1.2531E-3</v>
      </c>
      <c r="S183" s="138">
        <v>1.2531E-3</v>
      </c>
      <c r="T183" s="138">
        <v>1.2531E-3</v>
      </c>
      <c r="U183" s="138">
        <v>1.2531E-3</v>
      </c>
      <c r="V183" s="138">
        <v>1.2531E-3</v>
      </c>
      <c r="W183" s="138">
        <v>1.2531E-3</v>
      </c>
      <c r="X183" s="138">
        <v>1.2531E-3</v>
      </c>
      <c r="Y183" s="138">
        <f t="shared" si="123"/>
        <v>1.2531E-3</v>
      </c>
      <c r="Z183" s="138">
        <f t="shared" si="124"/>
        <v>1.2531E-3</v>
      </c>
      <c r="AA183" s="138">
        <f t="shared" si="125"/>
        <v>1.2531E-3</v>
      </c>
      <c r="AB183" s="138">
        <f t="shared" si="126"/>
        <v>1.2531E-3</v>
      </c>
      <c r="AC183" s="138">
        <f t="shared" si="127"/>
        <v>1.2531E-3</v>
      </c>
      <c r="AD183" s="138">
        <f t="shared" si="128"/>
        <v>1.2531E-3</v>
      </c>
      <c r="AE183" s="138">
        <f t="shared" si="129"/>
        <v>1.2531E-3</v>
      </c>
      <c r="AF183" s="138">
        <f t="shared" si="130"/>
        <v>1.2531E-3</v>
      </c>
      <c r="AG183" s="138">
        <f t="shared" si="131"/>
        <v>1.2531E-3</v>
      </c>
      <c r="AH183" s="138">
        <f t="shared" si="132"/>
        <v>1.2531E-3</v>
      </c>
      <c r="AI183" s="138">
        <f t="shared" si="133"/>
        <v>1.2531E-3</v>
      </c>
      <c r="AJ183" s="138">
        <f t="shared" si="134"/>
        <v>1.2531E-3</v>
      </c>
      <c r="AK183" s="138">
        <f t="shared" si="135"/>
        <v>1.2531E-3</v>
      </c>
      <c r="AL183" s="138">
        <f t="shared" si="136"/>
        <v>1.2531E-3</v>
      </c>
      <c r="AM183" s="138">
        <f t="shared" si="137"/>
        <v>1.2531E-3</v>
      </c>
      <c r="AO183" s="77" t="str">
        <f t="shared" si="94"/>
        <v>DS-6 (DS-3) Temp. Sensitive DS</v>
      </c>
      <c r="AP183" s="78" t="s">
        <v>644</v>
      </c>
      <c r="AQ183" s="77" t="str">
        <f t="shared" si="95"/>
        <v>EDT Cost Recovery Rate Zone III</v>
      </c>
      <c r="AR183" s="78" t="str">
        <f t="shared" si="96"/>
        <v>Billing Cycle</v>
      </c>
      <c r="AS183" s="79">
        <f t="shared" si="97"/>
        <v>8</v>
      </c>
      <c r="AT183" s="78">
        <f t="shared" si="98"/>
        <v>0</v>
      </c>
      <c r="AU183" s="78">
        <f t="shared" si="99"/>
        <v>1.2531E-3</v>
      </c>
      <c r="AV183" s="78">
        <f t="shared" si="100"/>
        <v>1.2531E-3</v>
      </c>
      <c r="AW183" s="78">
        <f t="shared" si="101"/>
        <v>1.2531E-3</v>
      </c>
      <c r="AX183" s="78">
        <f t="shared" si="102"/>
        <v>1.2531E-3</v>
      </c>
      <c r="AY183" s="78">
        <f t="shared" si="103"/>
        <v>1.2531E-3</v>
      </c>
      <c r="AZ183" s="78">
        <f t="shared" si="104"/>
        <v>1.2531E-3</v>
      </c>
      <c r="BA183" s="78">
        <f t="shared" si="105"/>
        <v>1.2531E-3</v>
      </c>
      <c r="BB183" s="78">
        <f t="shared" si="106"/>
        <v>1.2531E-3</v>
      </c>
      <c r="BC183" s="78">
        <f t="shared" si="107"/>
        <v>1.2531E-3</v>
      </c>
      <c r="BD183" s="78">
        <f t="shared" si="108"/>
        <v>1.2531E-3</v>
      </c>
      <c r="BE183" s="78">
        <f t="shared" si="109"/>
        <v>1.2531E-3</v>
      </c>
      <c r="BF183" s="78">
        <f t="shared" si="110"/>
        <v>1.2531E-3</v>
      </c>
      <c r="BG183" s="78">
        <f t="shared" si="111"/>
        <v>1.2531E-3</v>
      </c>
      <c r="BH183" s="78">
        <f t="shared" si="112"/>
        <v>1.2531E-3</v>
      </c>
      <c r="BI183" s="78">
        <f t="shared" si="113"/>
        <v>1.2531E-3</v>
      </c>
      <c r="BJ183" s="78">
        <f t="shared" si="114"/>
        <v>1.2531E-3</v>
      </c>
      <c r="BK183" s="78">
        <f t="shared" si="115"/>
        <v>1.2531E-3</v>
      </c>
      <c r="BL183" s="78">
        <f t="shared" si="116"/>
        <v>1.2531E-3</v>
      </c>
      <c r="BM183" s="78">
        <f t="shared" si="117"/>
        <v>1.2531E-3</v>
      </c>
      <c r="BN183" s="78">
        <f t="shared" si="118"/>
        <v>1.2531E-3</v>
      </c>
      <c r="BO183" s="78">
        <f t="shared" si="119"/>
        <v>1.2531E-3</v>
      </c>
      <c r="BP183" s="78">
        <f t="shared" si="120"/>
        <v>1.2531E-3</v>
      </c>
      <c r="BQ183" s="78">
        <f t="shared" si="121"/>
        <v>1.2531E-3</v>
      </c>
      <c r="BR183" s="78">
        <f t="shared" si="122"/>
        <v>1.2531E-3</v>
      </c>
      <c r="BS183" s="77"/>
      <c r="BT183" s="77"/>
    </row>
    <row r="184" spans="1:72" ht="14.1" customHeight="1" x14ac:dyDescent="0.2">
      <c r="A184" s="55" t="str">
        <f t="shared" si="93"/>
        <v>DS-2 Optional (Small General Service)_EDT Cost Recovery Rate Zone III</v>
      </c>
      <c r="B184" s="80" t="s">
        <v>663</v>
      </c>
      <c r="C184" s="83" t="s">
        <v>768</v>
      </c>
      <c r="D184" s="150"/>
      <c r="E184" s="81"/>
      <c r="F184" s="73"/>
      <c r="G184" s="73"/>
      <c r="H184" s="73"/>
      <c r="I184" s="74"/>
      <c r="J184" s="75"/>
      <c r="K184" s="74"/>
      <c r="L184" s="82">
        <v>1.3374999999999999E-3</v>
      </c>
      <c r="M184" s="138">
        <v>1.2531E-3</v>
      </c>
      <c r="N184" s="138">
        <v>1.2531E-3</v>
      </c>
      <c r="O184" s="138">
        <v>1.2531E-3</v>
      </c>
      <c r="P184" s="138">
        <v>1.2531E-3</v>
      </c>
      <c r="Q184" s="138">
        <v>1.2531E-3</v>
      </c>
      <c r="R184" s="138">
        <v>1.2531E-3</v>
      </c>
      <c r="S184" s="138">
        <v>1.2531E-3</v>
      </c>
      <c r="T184" s="138">
        <v>1.2531E-3</v>
      </c>
      <c r="U184" s="138">
        <v>1.2531E-3</v>
      </c>
      <c r="V184" s="138">
        <v>1.2531E-3</v>
      </c>
      <c r="W184" s="138">
        <v>1.2531E-3</v>
      </c>
      <c r="X184" s="138">
        <v>1.2531E-3</v>
      </c>
      <c r="Y184" s="138">
        <f t="shared" si="123"/>
        <v>1.2531E-3</v>
      </c>
      <c r="Z184" s="138">
        <f t="shared" si="124"/>
        <v>1.2531E-3</v>
      </c>
      <c r="AA184" s="138">
        <f t="shared" si="125"/>
        <v>1.2531E-3</v>
      </c>
      <c r="AB184" s="138">
        <f t="shared" si="126"/>
        <v>1.2531E-3</v>
      </c>
      <c r="AC184" s="138">
        <f t="shared" si="127"/>
        <v>1.2531E-3</v>
      </c>
      <c r="AD184" s="138">
        <f t="shared" si="128"/>
        <v>1.2531E-3</v>
      </c>
      <c r="AE184" s="138">
        <f t="shared" si="129"/>
        <v>1.2531E-3</v>
      </c>
      <c r="AF184" s="138">
        <f t="shared" si="130"/>
        <v>1.2531E-3</v>
      </c>
      <c r="AG184" s="138">
        <f t="shared" si="131"/>
        <v>1.2531E-3</v>
      </c>
      <c r="AH184" s="138">
        <f t="shared" si="132"/>
        <v>1.2531E-3</v>
      </c>
      <c r="AI184" s="138">
        <f t="shared" si="133"/>
        <v>1.2531E-3</v>
      </c>
      <c r="AJ184" s="138">
        <f t="shared" si="134"/>
        <v>1.2531E-3</v>
      </c>
      <c r="AK184" s="138">
        <f t="shared" si="135"/>
        <v>1.2531E-3</v>
      </c>
      <c r="AL184" s="138">
        <f t="shared" si="136"/>
        <v>1.2531E-3</v>
      </c>
      <c r="AM184" s="138">
        <f t="shared" si="137"/>
        <v>1.2531E-3</v>
      </c>
      <c r="AO184" s="77" t="str">
        <f t="shared" si="94"/>
        <v>DS-2 Optional (Small General Service)</v>
      </c>
      <c r="AP184" s="78" t="s">
        <v>664</v>
      </c>
      <c r="AQ184" s="77" t="str">
        <f t="shared" si="95"/>
        <v>EDT Cost Recovery Rate Zone III</v>
      </c>
      <c r="AR184" s="78">
        <f t="shared" si="96"/>
        <v>0</v>
      </c>
      <c r="AS184" s="79">
        <f t="shared" si="97"/>
        <v>0</v>
      </c>
      <c r="AT184" s="78">
        <f t="shared" si="98"/>
        <v>0</v>
      </c>
      <c r="AU184" s="78">
        <f t="shared" si="99"/>
        <v>0</v>
      </c>
      <c r="AV184" s="78">
        <f t="shared" si="100"/>
        <v>0</v>
      </c>
      <c r="AW184" s="78">
        <f t="shared" si="101"/>
        <v>0</v>
      </c>
      <c r="AX184" s="78">
        <f t="shared" si="102"/>
        <v>0</v>
      </c>
      <c r="AY184" s="78">
        <f t="shared" si="103"/>
        <v>0</v>
      </c>
      <c r="AZ184" s="78">
        <f t="shared" si="104"/>
        <v>0</v>
      </c>
      <c r="BA184" s="78">
        <f t="shared" si="105"/>
        <v>0</v>
      </c>
      <c r="BB184" s="78">
        <f t="shared" si="106"/>
        <v>0</v>
      </c>
      <c r="BC184" s="78">
        <f t="shared" si="107"/>
        <v>0</v>
      </c>
      <c r="BD184" s="78">
        <f t="shared" si="108"/>
        <v>0</v>
      </c>
      <c r="BE184" s="78">
        <f t="shared" si="109"/>
        <v>0</v>
      </c>
      <c r="BF184" s="78">
        <f t="shared" si="110"/>
        <v>0</v>
      </c>
      <c r="BG184" s="78">
        <f t="shared" si="111"/>
        <v>0</v>
      </c>
      <c r="BH184" s="78">
        <f t="shared" si="112"/>
        <v>0</v>
      </c>
      <c r="BI184" s="78">
        <f t="shared" si="113"/>
        <v>0</v>
      </c>
      <c r="BJ184" s="78">
        <f t="shared" si="114"/>
        <v>0</v>
      </c>
      <c r="BK184" s="78">
        <f t="shared" si="115"/>
        <v>0</v>
      </c>
      <c r="BL184" s="78">
        <f t="shared" si="116"/>
        <v>0</v>
      </c>
      <c r="BM184" s="78">
        <f t="shared" si="117"/>
        <v>0</v>
      </c>
      <c r="BN184" s="78">
        <f t="shared" si="118"/>
        <v>0</v>
      </c>
      <c r="BO184" s="78">
        <f t="shared" si="119"/>
        <v>0</v>
      </c>
      <c r="BP184" s="78">
        <f t="shared" si="120"/>
        <v>0</v>
      </c>
      <c r="BQ184" s="78">
        <f t="shared" si="121"/>
        <v>0</v>
      </c>
      <c r="BR184" s="78">
        <f t="shared" si="122"/>
        <v>0</v>
      </c>
      <c r="BS184" s="77"/>
      <c r="BT184" s="77"/>
    </row>
    <row r="185" spans="1:72" ht="14.1" customHeight="1" x14ac:dyDescent="0.2">
      <c r="A185" s="55" t="str">
        <f t="shared" si="93"/>
        <v>DS-4 (Large General Service)_EDT Cost Recovery Rate Zone III &gt;100kV</v>
      </c>
      <c r="B185" s="80" t="s">
        <v>639</v>
      </c>
      <c r="C185" s="83" t="s">
        <v>769</v>
      </c>
      <c r="D185" s="150"/>
      <c r="E185" s="81"/>
      <c r="F185" s="73" t="s">
        <v>649</v>
      </c>
      <c r="G185" s="73">
        <v>0</v>
      </c>
      <c r="H185" s="73">
        <v>8</v>
      </c>
      <c r="I185" s="74" t="s">
        <v>641</v>
      </c>
      <c r="J185" s="75" t="s">
        <v>634</v>
      </c>
      <c r="K185" s="74"/>
      <c r="L185" s="82">
        <v>1.3374999999999999E-3</v>
      </c>
      <c r="M185" s="138">
        <v>1.2531E-3</v>
      </c>
      <c r="N185" s="138">
        <v>1.2531E-3</v>
      </c>
      <c r="O185" s="138">
        <v>1.2531E-3</v>
      </c>
      <c r="P185" s="138">
        <v>1.2531E-3</v>
      </c>
      <c r="Q185" s="138">
        <v>1.2531E-3</v>
      </c>
      <c r="R185" s="138">
        <v>1.2531E-3</v>
      </c>
      <c r="S185" s="138">
        <v>1.2531E-3</v>
      </c>
      <c r="T185" s="138">
        <v>1.2531E-3</v>
      </c>
      <c r="U185" s="138">
        <v>1.2531E-3</v>
      </c>
      <c r="V185" s="138">
        <v>1.2531E-3</v>
      </c>
      <c r="W185" s="138">
        <v>1.2531E-3</v>
      </c>
      <c r="X185" s="138">
        <v>1.2531E-3</v>
      </c>
      <c r="Y185" s="138">
        <f t="shared" si="123"/>
        <v>1.2531E-3</v>
      </c>
      <c r="Z185" s="138">
        <f t="shared" si="124"/>
        <v>1.2531E-3</v>
      </c>
      <c r="AA185" s="138">
        <f t="shared" si="125"/>
        <v>1.2531E-3</v>
      </c>
      <c r="AB185" s="138">
        <f t="shared" si="126"/>
        <v>1.2531E-3</v>
      </c>
      <c r="AC185" s="138">
        <f t="shared" si="127"/>
        <v>1.2531E-3</v>
      </c>
      <c r="AD185" s="138">
        <f t="shared" si="128"/>
        <v>1.2531E-3</v>
      </c>
      <c r="AE185" s="138">
        <f t="shared" si="129"/>
        <v>1.2531E-3</v>
      </c>
      <c r="AF185" s="138">
        <f t="shared" si="130"/>
        <v>1.2531E-3</v>
      </c>
      <c r="AG185" s="138">
        <f t="shared" si="131"/>
        <v>1.2531E-3</v>
      </c>
      <c r="AH185" s="138">
        <f t="shared" si="132"/>
        <v>1.2531E-3</v>
      </c>
      <c r="AI185" s="138">
        <f t="shared" si="133"/>
        <v>1.2531E-3</v>
      </c>
      <c r="AJ185" s="138">
        <f t="shared" si="134"/>
        <v>1.2531E-3</v>
      </c>
      <c r="AK185" s="138">
        <f t="shared" si="135"/>
        <v>1.2531E-3</v>
      </c>
      <c r="AL185" s="138">
        <f t="shared" si="136"/>
        <v>1.2531E-3</v>
      </c>
      <c r="AM185" s="138">
        <f t="shared" si="137"/>
        <v>1.2531E-3</v>
      </c>
      <c r="AO185" s="77" t="str">
        <f t="shared" si="94"/>
        <v>DS-4 (Large General Service)</v>
      </c>
      <c r="AP185" s="78" t="s">
        <v>642</v>
      </c>
      <c r="AQ185" s="77" t="str">
        <f t="shared" si="95"/>
        <v>EDT Cost Recovery Rate Zone III &gt;100kV</v>
      </c>
      <c r="AR185" s="78" t="str">
        <f t="shared" si="96"/>
        <v>Billing Cycle</v>
      </c>
      <c r="AS185" s="79">
        <f t="shared" si="97"/>
        <v>8</v>
      </c>
      <c r="AT185" s="78">
        <f t="shared" si="98"/>
        <v>0</v>
      </c>
      <c r="AU185" s="78">
        <f t="shared" si="99"/>
        <v>1.2531E-3</v>
      </c>
      <c r="AV185" s="78">
        <f t="shared" si="100"/>
        <v>1.2531E-3</v>
      </c>
      <c r="AW185" s="78">
        <f t="shared" si="101"/>
        <v>1.2531E-3</v>
      </c>
      <c r="AX185" s="78">
        <f t="shared" si="102"/>
        <v>1.2531E-3</v>
      </c>
      <c r="AY185" s="78">
        <f t="shared" si="103"/>
        <v>1.2531E-3</v>
      </c>
      <c r="AZ185" s="78">
        <f t="shared" si="104"/>
        <v>1.2531E-3</v>
      </c>
      <c r="BA185" s="78">
        <f t="shared" si="105"/>
        <v>1.2531E-3</v>
      </c>
      <c r="BB185" s="78">
        <f t="shared" si="106"/>
        <v>1.2531E-3</v>
      </c>
      <c r="BC185" s="78">
        <f t="shared" si="107"/>
        <v>1.2531E-3</v>
      </c>
      <c r="BD185" s="78">
        <f t="shared" si="108"/>
        <v>1.2531E-3</v>
      </c>
      <c r="BE185" s="78">
        <f t="shared" si="109"/>
        <v>1.2531E-3</v>
      </c>
      <c r="BF185" s="78">
        <f t="shared" si="110"/>
        <v>1.2531E-3</v>
      </c>
      <c r="BG185" s="78">
        <f t="shared" si="111"/>
        <v>1.2531E-3</v>
      </c>
      <c r="BH185" s="78">
        <f t="shared" si="112"/>
        <v>1.2531E-3</v>
      </c>
      <c r="BI185" s="78">
        <f t="shared" si="113"/>
        <v>1.2531E-3</v>
      </c>
      <c r="BJ185" s="78">
        <f t="shared" si="114"/>
        <v>1.2531E-3</v>
      </c>
      <c r="BK185" s="78">
        <f t="shared" si="115"/>
        <v>1.2531E-3</v>
      </c>
      <c r="BL185" s="78">
        <f t="shared" si="116"/>
        <v>1.2531E-3</v>
      </c>
      <c r="BM185" s="78">
        <f t="shared" si="117"/>
        <v>1.2531E-3</v>
      </c>
      <c r="BN185" s="78">
        <f t="shared" si="118"/>
        <v>1.2531E-3</v>
      </c>
      <c r="BO185" s="78">
        <f t="shared" si="119"/>
        <v>1.2531E-3</v>
      </c>
      <c r="BP185" s="78">
        <f t="shared" si="120"/>
        <v>1.2531E-3</v>
      </c>
      <c r="BQ185" s="78">
        <f t="shared" si="121"/>
        <v>1.2531E-3</v>
      </c>
      <c r="BR185" s="78">
        <f t="shared" si="122"/>
        <v>1.2531E-3</v>
      </c>
      <c r="BS185" s="77"/>
      <c r="BT185" s="77"/>
    </row>
    <row r="186" spans="1:72" ht="14.1" customHeight="1" x14ac:dyDescent="0.2">
      <c r="A186" s="55" t="str">
        <f t="shared" si="93"/>
        <v>DS-6 (DS-4) Temp. Sensitive DS_EDT Cost Recovery Rate Zone III &gt;100kV</v>
      </c>
      <c r="B186" s="80" t="s">
        <v>645</v>
      </c>
      <c r="C186" s="83" t="s">
        <v>769</v>
      </c>
      <c r="D186" s="150"/>
      <c r="E186" s="81"/>
      <c r="F186" s="73" t="s">
        <v>649</v>
      </c>
      <c r="G186" s="73">
        <v>0</v>
      </c>
      <c r="H186" s="73">
        <v>8</v>
      </c>
      <c r="I186" s="74" t="s">
        <v>641</v>
      </c>
      <c r="J186" s="75" t="s">
        <v>634</v>
      </c>
      <c r="K186" s="74"/>
      <c r="L186" s="82">
        <v>1.3374999999999999E-3</v>
      </c>
      <c r="M186" s="138">
        <v>1.2531E-3</v>
      </c>
      <c r="N186" s="138">
        <v>1.2531E-3</v>
      </c>
      <c r="O186" s="138">
        <v>1.2531E-3</v>
      </c>
      <c r="P186" s="138">
        <v>1.2531E-3</v>
      </c>
      <c r="Q186" s="138">
        <v>1.2531E-3</v>
      </c>
      <c r="R186" s="138">
        <v>1.2531E-3</v>
      </c>
      <c r="S186" s="138">
        <v>1.2531E-3</v>
      </c>
      <c r="T186" s="138">
        <v>1.2531E-3</v>
      </c>
      <c r="U186" s="138">
        <v>1.2531E-3</v>
      </c>
      <c r="V186" s="138">
        <v>1.2531E-3</v>
      </c>
      <c r="W186" s="138">
        <v>1.2531E-3</v>
      </c>
      <c r="X186" s="138">
        <v>1.2531E-3</v>
      </c>
      <c r="Y186" s="138">
        <f t="shared" si="123"/>
        <v>1.2531E-3</v>
      </c>
      <c r="Z186" s="138">
        <f t="shared" si="124"/>
        <v>1.2531E-3</v>
      </c>
      <c r="AA186" s="138">
        <f t="shared" si="125"/>
        <v>1.2531E-3</v>
      </c>
      <c r="AB186" s="138">
        <f t="shared" si="126"/>
        <v>1.2531E-3</v>
      </c>
      <c r="AC186" s="138">
        <f t="shared" si="127"/>
        <v>1.2531E-3</v>
      </c>
      <c r="AD186" s="138">
        <f t="shared" si="128"/>
        <v>1.2531E-3</v>
      </c>
      <c r="AE186" s="138">
        <f t="shared" si="129"/>
        <v>1.2531E-3</v>
      </c>
      <c r="AF186" s="138">
        <f t="shared" si="130"/>
        <v>1.2531E-3</v>
      </c>
      <c r="AG186" s="138">
        <f t="shared" si="131"/>
        <v>1.2531E-3</v>
      </c>
      <c r="AH186" s="138">
        <f t="shared" si="132"/>
        <v>1.2531E-3</v>
      </c>
      <c r="AI186" s="138">
        <f t="shared" si="133"/>
        <v>1.2531E-3</v>
      </c>
      <c r="AJ186" s="138">
        <f t="shared" si="134"/>
        <v>1.2531E-3</v>
      </c>
      <c r="AK186" s="138">
        <f t="shared" si="135"/>
        <v>1.2531E-3</v>
      </c>
      <c r="AL186" s="138">
        <f t="shared" si="136"/>
        <v>1.2531E-3</v>
      </c>
      <c r="AM186" s="138">
        <f t="shared" si="137"/>
        <v>1.2531E-3</v>
      </c>
      <c r="AO186" s="77" t="str">
        <f t="shared" si="94"/>
        <v>DS-6 (DS-4) Temp. Sensitive DS</v>
      </c>
      <c r="AP186" s="78" t="s">
        <v>646</v>
      </c>
      <c r="AQ186" s="77" t="str">
        <f t="shared" si="95"/>
        <v>EDT Cost Recovery Rate Zone III &gt;100kV</v>
      </c>
      <c r="AR186" s="78" t="str">
        <f t="shared" si="96"/>
        <v>Billing Cycle</v>
      </c>
      <c r="AS186" s="79">
        <f t="shared" si="97"/>
        <v>8</v>
      </c>
      <c r="AT186" s="78">
        <f t="shared" si="98"/>
        <v>0</v>
      </c>
      <c r="AU186" s="78">
        <f t="shared" si="99"/>
        <v>1.2531E-3</v>
      </c>
      <c r="AV186" s="78">
        <f t="shared" si="100"/>
        <v>1.2531E-3</v>
      </c>
      <c r="AW186" s="78">
        <f t="shared" si="101"/>
        <v>1.2531E-3</v>
      </c>
      <c r="AX186" s="78">
        <f t="shared" si="102"/>
        <v>1.2531E-3</v>
      </c>
      <c r="AY186" s="78">
        <f t="shared" si="103"/>
        <v>1.2531E-3</v>
      </c>
      <c r="AZ186" s="78">
        <f t="shared" si="104"/>
        <v>1.2531E-3</v>
      </c>
      <c r="BA186" s="78">
        <f t="shared" si="105"/>
        <v>1.2531E-3</v>
      </c>
      <c r="BB186" s="78">
        <f t="shared" si="106"/>
        <v>1.2531E-3</v>
      </c>
      <c r="BC186" s="78">
        <f t="shared" si="107"/>
        <v>1.2531E-3</v>
      </c>
      <c r="BD186" s="78">
        <f t="shared" si="108"/>
        <v>1.2531E-3</v>
      </c>
      <c r="BE186" s="78">
        <f t="shared" si="109"/>
        <v>1.2531E-3</v>
      </c>
      <c r="BF186" s="78">
        <f t="shared" si="110"/>
        <v>1.2531E-3</v>
      </c>
      <c r="BG186" s="78">
        <f t="shared" si="111"/>
        <v>1.2531E-3</v>
      </c>
      <c r="BH186" s="78">
        <f t="shared" si="112"/>
        <v>1.2531E-3</v>
      </c>
      <c r="BI186" s="78">
        <f t="shared" si="113"/>
        <v>1.2531E-3</v>
      </c>
      <c r="BJ186" s="78">
        <f t="shared" si="114"/>
        <v>1.2531E-3</v>
      </c>
      <c r="BK186" s="78">
        <f t="shared" si="115"/>
        <v>1.2531E-3</v>
      </c>
      <c r="BL186" s="78">
        <f t="shared" si="116"/>
        <v>1.2531E-3</v>
      </c>
      <c r="BM186" s="78">
        <f t="shared" si="117"/>
        <v>1.2531E-3</v>
      </c>
      <c r="BN186" s="78">
        <f t="shared" si="118"/>
        <v>1.2531E-3</v>
      </c>
      <c r="BO186" s="78">
        <f t="shared" si="119"/>
        <v>1.2531E-3</v>
      </c>
      <c r="BP186" s="78">
        <f t="shared" si="120"/>
        <v>1.2531E-3</v>
      </c>
      <c r="BQ186" s="78">
        <f t="shared" si="121"/>
        <v>1.2531E-3</v>
      </c>
      <c r="BR186" s="78">
        <f t="shared" si="122"/>
        <v>1.2531E-3</v>
      </c>
      <c r="BS186" s="77"/>
      <c r="BT186" s="77"/>
    </row>
    <row r="187" spans="1:72" ht="14.1" customHeight="1" x14ac:dyDescent="0.2">
      <c r="A187" s="55" t="str">
        <f t="shared" si="93"/>
        <v>DS-4 (Large General Service)_EDT Cost Recovery Rate Zone III High Voltage</v>
      </c>
      <c r="B187" s="80" t="s">
        <v>639</v>
      </c>
      <c r="C187" s="83" t="s">
        <v>770</v>
      </c>
      <c r="D187" s="150"/>
      <c r="E187" s="81"/>
      <c r="F187" s="73" t="s">
        <v>649</v>
      </c>
      <c r="G187" s="73">
        <v>0</v>
      </c>
      <c r="H187" s="73">
        <v>8</v>
      </c>
      <c r="I187" s="74" t="s">
        <v>641</v>
      </c>
      <c r="J187" s="75" t="s">
        <v>634</v>
      </c>
      <c r="K187" s="74"/>
      <c r="L187" s="82">
        <v>1.3374999999999999E-3</v>
      </c>
      <c r="M187" s="138">
        <v>1.2531E-3</v>
      </c>
      <c r="N187" s="138">
        <v>1.2531E-3</v>
      </c>
      <c r="O187" s="138">
        <v>1.2531E-3</v>
      </c>
      <c r="P187" s="138">
        <v>1.2531E-3</v>
      </c>
      <c r="Q187" s="138">
        <v>1.2531E-3</v>
      </c>
      <c r="R187" s="138">
        <v>1.2531E-3</v>
      </c>
      <c r="S187" s="138">
        <v>1.2531E-3</v>
      </c>
      <c r="T187" s="138">
        <v>1.2531E-3</v>
      </c>
      <c r="U187" s="138">
        <v>1.2531E-3</v>
      </c>
      <c r="V187" s="138">
        <v>1.2531E-3</v>
      </c>
      <c r="W187" s="138">
        <v>1.2531E-3</v>
      </c>
      <c r="X187" s="138">
        <v>1.2531E-3</v>
      </c>
      <c r="Y187" s="138">
        <f t="shared" si="123"/>
        <v>1.2531E-3</v>
      </c>
      <c r="Z187" s="138">
        <f t="shared" si="124"/>
        <v>1.2531E-3</v>
      </c>
      <c r="AA187" s="138">
        <f t="shared" si="125"/>
        <v>1.2531E-3</v>
      </c>
      <c r="AB187" s="138">
        <f t="shared" si="126"/>
        <v>1.2531E-3</v>
      </c>
      <c r="AC187" s="138">
        <f t="shared" si="127"/>
        <v>1.2531E-3</v>
      </c>
      <c r="AD187" s="138">
        <f t="shared" si="128"/>
        <v>1.2531E-3</v>
      </c>
      <c r="AE187" s="138">
        <f t="shared" si="129"/>
        <v>1.2531E-3</v>
      </c>
      <c r="AF187" s="138">
        <f t="shared" si="130"/>
        <v>1.2531E-3</v>
      </c>
      <c r="AG187" s="138">
        <f t="shared" si="131"/>
        <v>1.2531E-3</v>
      </c>
      <c r="AH187" s="138">
        <f t="shared" si="132"/>
        <v>1.2531E-3</v>
      </c>
      <c r="AI187" s="138">
        <f t="shared" si="133"/>
        <v>1.2531E-3</v>
      </c>
      <c r="AJ187" s="138">
        <f t="shared" si="134"/>
        <v>1.2531E-3</v>
      </c>
      <c r="AK187" s="138">
        <f t="shared" si="135"/>
        <v>1.2531E-3</v>
      </c>
      <c r="AL187" s="138">
        <f t="shared" si="136"/>
        <v>1.2531E-3</v>
      </c>
      <c r="AM187" s="138">
        <f t="shared" si="137"/>
        <v>1.2531E-3</v>
      </c>
      <c r="AO187" s="77" t="str">
        <f t="shared" si="94"/>
        <v>DS-4 (Large General Service)</v>
      </c>
      <c r="AP187" s="78" t="s">
        <v>642</v>
      </c>
      <c r="AQ187" s="77" t="str">
        <f t="shared" si="95"/>
        <v>EDT Cost Recovery Rate Zone III High Voltage</v>
      </c>
      <c r="AR187" s="78" t="str">
        <f t="shared" si="96"/>
        <v>Billing Cycle</v>
      </c>
      <c r="AS187" s="79">
        <f t="shared" si="97"/>
        <v>8</v>
      </c>
      <c r="AT187" s="78">
        <f t="shared" si="98"/>
        <v>0</v>
      </c>
      <c r="AU187" s="78">
        <f t="shared" si="99"/>
        <v>1.2531E-3</v>
      </c>
      <c r="AV187" s="78">
        <f t="shared" si="100"/>
        <v>1.2531E-3</v>
      </c>
      <c r="AW187" s="78">
        <f t="shared" si="101"/>
        <v>1.2531E-3</v>
      </c>
      <c r="AX187" s="78">
        <f t="shared" si="102"/>
        <v>1.2531E-3</v>
      </c>
      <c r="AY187" s="78">
        <f t="shared" si="103"/>
        <v>1.2531E-3</v>
      </c>
      <c r="AZ187" s="78">
        <f t="shared" si="104"/>
        <v>1.2531E-3</v>
      </c>
      <c r="BA187" s="78">
        <f t="shared" si="105"/>
        <v>1.2531E-3</v>
      </c>
      <c r="BB187" s="78">
        <f t="shared" si="106"/>
        <v>1.2531E-3</v>
      </c>
      <c r="BC187" s="78">
        <f t="shared" si="107"/>
        <v>1.2531E-3</v>
      </c>
      <c r="BD187" s="78">
        <f t="shared" si="108"/>
        <v>1.2531E-3</v>
      </c>
      <c r="BE187" s="78">
        <f t="shared" si="109"/>
        <v>1.2531E-3</v>
      </c>
      <c r="BF187" s="78">
        <f t="shared" si="110"/>
        <v>1.2531E-3</v>
      </c>
      <c r="BG187" s="78">
        <f t="shared" si="111"/>
        <v>1.2531E-3</v>
      </c>
      <c r="BH187" s="78">
        <f t="shared" si="112"/>
        <v>1.2531E-3</v>
      </c>
      <c r="BI187" s="78">
        <f t="shared" si="113"/>
        <v>1.2531E-3</v>
      </c>
      <c r="BJ187" s="78">
        <f t="shared" si="114"/>
        <v>1.2531E-3</v>
      </c>
      <c r="BK187" s="78">
        <f t="shared" si="115"/>
        <v>1.2531E-3</v>
      </c>
      <c r="BL187" s="78">
        <f t="shared" si="116"/>
        <v>1.2531E-3</v>
      </c>
      <c r="BM187" s="78">
        <f t="shared" si="117"/>
        <v>1.2531E-3</v>
      </c>
      <c r="BN187" s="78">
        <f t="shared" si="118"/>
        <v>1.2531E-3</v>
      </c>
      <c r="BO187" s="78">
        <f t="shared" si="119"/>
        <v>1.2531E-3</v>
      </c>
      <c r="BP187" s="78">
        <f t="shared" si="120"/>
        <v>1.2531E-3</v>
      </c>
      <c r="BQ187" s="78">
        <f t="shared" si="121"/>
        <v>1.2531E-3</v>
      </c>
      <c r="BR187" s="78">
        <f t="shared" si="122"/>
        <v>1.2531E-3</v>
      </c>
      <c r="BS187" s="77"/>
      <c r="BT187" s="77"/>
    </row>
    <row r="188" spans="1:72" ht="14.1" customHeight="1" x14ac:dyDescent="0.2">
      <c r="A188" s="55" t="str">
        <f t="shared" si="93"/>
        <v>DS-6 (DS-4) Temp. Sensitive DS_EDT Cost Recovery Rate Zone III High Voltage</v>
      </c>
      <c r="B188" s="80" t="s">
        <v>645</v>
      </c>
      <c r="C188" s="83" t="s">
        <v>770</v>
      </c>
      <c r="D188" s="150"/>
      <c r="E188" s="81"/>
      <c r="F188" s="73" t="s">
        <v>649</v>
      </c>
      <c r="G188" s="73">
        <v>0</v>
      </c>
      <c r="H188" s="73">
        <v>8</v>
      </c>
      <c r="I188" s="74" t="s">
        <v>641</v>
      </c>
      <c r="J188" s="75" t="s">
        <v>634</v>
      </c>
      <c r="K188" s="74"/>
      <c r="L188" s="82">
        <v>1.3374999999999999E-3</v>
      </c>
      <c r="M188" s="138">
        <v>1.2531E-3</v>
      </c>
      <c r="N188" s="138">
        <v>1.2531E-3</v>
      </c>
      <c r="O188" s="138">
        <v>1.2531E-3</v>
      </c>
      <c r="P188" s="138">
        <v>1.2531E-3</v>
      </c>
      <c r="Q188" s="138">
        <v>1.2531E-3</v>
      </c>
      <c r="R188" s="138">
        <v>1.2531E-3</v>
      </c>
      <c r="S188" s="138">
        <v>1.2531E-3</v>
      </c>
      <c r="T188" s="138">
        <v>1.2531E-3</v>
      </c>
      <c r="U188" s="138">
        <v>1.2531E-3</v>
      </c>
      <c r="V188" s="138">
        <v>1.2531E-3</v>
      </c>
      <c r="W188" s="138">
        <v>1.2531E-3</v>
      </c>
      <c r="X188" s="138">
        <v>1.2531E-3</v>
      </c>
      <c r="Y188" s="138">
        <f t="shared" si="123"/>
        <v>1.2531E-3</v>
      </c>
      <c r="Z188" s="138">
        <f t="shared" si="124"/>
        <v>1.2531E-3</v>
      </c>
      <c r="AA188" s="138">
        <f t="shared" si="125"/>
        <v>1.2531E-3</v>
      </c>
      <c r="AB188" s="138">
        <f t="shared" si="126"/>
        <v>1.2531E-3</v>
      </c>
      <c r="AC188" s="138">
        <f t="shared" si="127"/>
        <v>1.2531E-3</v>
      </c>
      <c r="AD188" s="138">
        <f t="shared" si="128"/>
        <v>1.2531E-3</v>
      </c>
      <c r="AE188" s="138">
        <f t="shared" si="129"/>
        <v>1.2531E-3</v>
      </c>
      <c r="AF188" s="138">
        <f t="shared" si="130"/>
        <v>1.2531E-3</v>
      </c>
      <c r="AG188" s="138">
        <f t="shared" si="131"/>
        <v>1.2531E-3</v>
      </c>
      <c r="AH188" s="138">
        <f t="shared" si="132"/>
        <v>1.2531E-3</v>
      </c>
      <c r="AI188" s="138">
        <f t="shared" si="133"/>
        <v>1.2531E-3</v>
      </c>
      <c r="AJ188" s="138">
        <f t="shared" si="134"/>
        <v>1.2531E-3</v>
      </c>
      <c r="AK188" s="138">
        <f t="shared" si="135"/>
        <v>1.2531E-3</v>
      </c>
      <c r="AL188" s="138">
        <f t="shared" si="136"/>
        <v>1.2531E-3</v>
      </c>
      <c r="AM188" s="138">
        <f t="shared" si="137"/>
        <v>1.2531E-3</v>
      </c>
      <c r="AO188" s="77" t="str">
        <f t="shared" si="94"/>
        <v>DS-6 (DS-4) Temp. Sensitive DS</v>
      </c>
      <c r="AP188" s="78" t="s">
        <v>646</v>
      </c>
      <c r="AQ188" s="77" t="str">
        <f t="shared" si="95"/>
        <v>EDT Cost Recovery Rate Zone III High Voltage</v>
      </c>
      <c r="AR188" s="78" t="str">
        <f t="shared" si="96"/>
        <v>Billing Cycle</v>
      </c>
      <c r="AS188" s="79">
        <f t="shared" si="97"/>
        <v>8</v>
      </c>
      <c r="AT188" s="78">
        <f t="shared" si="98"/>
        <v>0</v>
      </c>
      <c r="AU188" s="78">
        <f t="shared" si="99"/>
        <v>1.2531E-3</v>
      </c>
      <c r="AV188" s="78">
        <f t="shared" si="100"/>
        <v>1.2531E-3</v>
      </c>
      <c r="AW188" s="78">
        <f t="shared" si="101"/>
        <v>1.2531E-3</v>
      </c>
      <c r="AX188" s="78">
        <f t="shared" si="102"/>
        <v>1.2531E-3</v>
      </c>
      <c r="AY188" s="78">
        <f t="shared" si="103"/>
        <v>1.2531E-3</v>
      </c>
      <c r="AZ188" s="78">
        <f t="shared" si="104"/>
        <v>1.2531E-3</v>
      </c>
      <c r="BA188" s="78">
        <f t="shared" si="105"/>
        <v>1.2531E-3</v>
      </c>
      <c r="BB188" s="78">
        <f t="shared" si="106"/>
        <v>1.2531E-3</v>
      </c>
      <c r="BC188" s="78">
        <f t="shared" si="107"/>
        <v>1.2531E-3</v>
      </c>
      <c r="BD188" s="78">
        <f t="shared" si="108"/>
        <v>1.2531E-3</v>
      </c>
      <c r="BE188" s="78">
        <f t="shared" si="109"/>
        <v>1.2531E-3</v>
      </c>
      <c r="BF188" s="78">
        <f t="shared" si="110"/>
        <v>1.2531E-3</v>
      </c>
      <c r="BG188" s="78">
        <f t="shared" si="111"/>
        <v>1.2531E-3</v>
      </c>
      <c r="BH188" s="78">
        <f t="shared" si="112"/>
        <v>1.2531E-3</v>
      </c>
      <c r="BI188" s="78">
        <f t="shared" si="113"/>
        <v>1.2531E-3</v>
      </c>
      <c r="BJ188" s="78">
        <f t="shared" si="114"/>
        <v>1.2531E-3</v>
      </c>
      <c r="BK188" s="78">
        <f t="shared" si="115"/>
        <v>1.2531E-3</v>
      </c>
      <c r="BL188" s="78">
        <f t="shared" si="116"/>
        <v>1.2531E-3</v>
      </c>
      <c r="BM188" s="78">
        <f t="shared" si="117"/>
        <v>1.2531E-3</v>
      </c>
      <c r="BN188" s="78">
        <f t="shared" si="118"/>
        <v>1.2531E-3</v>
      </c>
      <c r="BO188" s="78">
        <f t="shared" si="119"/>
        <v>1.2531E-3</v>
      </c>
      <c r="BP188" s="78">
        <f t="shared" si="120"/>
        <v>1.2531E-3</v>
      </c>
      <c r="BQ188" s="78">
        <f t="shared" si="121"/>
        <v>1.2531E-3</v>
      </c>
      <c r="BR188" s="78">
        <f t="shared" si="122"/>
        <v>1.2531E-3</v>
      </c>
      <c r="BS188" s="77"/>
      <c r="BT188" s="77"/>
    </row>
    <row r="189" spans="1:72" ht="14.1" customHeight="1" x14ac:dyDescent="0.2">
      <c r="A189" s="55" t="str">
        <f t="shared" si="93"/>
        <v>DS-4 (Large General Service)_EDT Cost Recovery Rate Zone III Primary</v>
      </c>
      <c r="B189" s="80" t="s">
        <v>639</v>
      </c>
      <c r="C189" s="83" t="s">
        <v>771</v>
      </c>
      <c r="D189" s="150"/>
      <c r="E189" s="81"/>
      <c r="F189" s="73" t="s">
        <v>649</v>
      </c>
      <c r="G189" s="73">
        <v>0</v>
      </c>
      <c r="H189" s="73">
        <v>8</v>
      </c>
      <c r="I189" s="74" t="s">
        <v>641</v>
      </c>
      <c r="J189" s="75" t="s">
        <v>634</v>
      </c>
      <c r="K189" s="74"/>
      <c r="L189" s="82">
        <v>1.3374999999999999E-3</v>
      </c>
      <c r="M189" s="138">
        <v>1.2531E-3</v>
      </c>
      <c r="N189" s="138">
        <v>1.2531E-3</v>
      </c>
      <c r="O189" s="138">
        <v>1.2531E-3</v>
      </c>
      <c r="P189" s="138">
        <v>1.2531E-3</v>
      </c>
      <c r="Q189" s="138">
        <v>1.2531E-3</v>
      </c>
      <c r="R189" s="138">
        <v>1.2531E-3</v>
      </c>
      <c r="S189" s="138">
        <v>1.2531E-3</v>
      </c>
      <c r="T189" s="138">
        <v>1.2531E-3</v>
      </c>
      <c r="U189" s="138">
        <v>1.2531E-3</v>
      </c>
      <c r="V189" s="138">
        <v>1.2531E-3</v>
      </c>
      <c r="W189" s="138">
        <v>1.2531E-3</v>
      </c>
      <c r="X189" s="138">
        <v>1.2531E-3</v>
      </c>
      <c r="Y189" s="138">
        <f t="shared" si="123"/>
        <v>1.2531E-3</v>
      </c>
      <c r="Z189" s="138">
        <f t="shared" si="124"/>
        <v>1.2531E-3</v>
      </c>
      <c r="AA189" s="138">
        <f t="shared" si="125"/>
        <v>1.2531E-3</v>
      </c>
      <c r="AB189" s="138">
        <f t="shared" si="126"/>
        <v>1.2531E-3</v>
      </c>
      <c r="AC189" s="138">
        <f t="shared" si="127"/>
        <v>1.2531E-3</v>
      </c>
      <c r="AD189" s="138">
        <f t="shared" si="128"/>
        <v>1.2531E-3</v>
      </c>
      <c r="AE189" s="138">
        <f t="shared" si="129"/>
        <v>1.2531E-3</v>
      </c>
      <c r="AF189" s="138">
        <f t="shared" si="130"/>
        <v>1.2531E-3</v>
      </c>
      <c r="AG189" s="138">
        <f t="shared" si="131"/>
        <v>1.2531E-3</v>
      </c>
      <c r="AH189" s="138">
        <f t="shared" si="132"/>
        <v>1.2531E-3</v>
      </c>
      <c r="AI189" s="138">
        <f t="shared" si="133"/>
        <v>1.2531E-3</v>
      </c>
      <c r="AJ189" s="138">
        <f t="shared" si="134"/>
        <v>1.2531E-3</v>
      </c>
      <c r="AK189" s="138">
        <f t="shared" si="135"/>
        <v>1.2531E-3</v>
      </c>
      <c r="AL189" s="138">
        <f t="shared" si="136"/>
        <v>1.2531E-3</v>
      </c>
      <c r="AM189" s="138">
        <f t="shared" si="137"/>
        <v>1.2531E-3</v>
      </c>
      <c r="AO189" s="77" t="str">
        <f t="shared" si="94"/>
        <v>DS-4 (Large General Service)</v>
      </c>
      <c r="AP189" s="78" t="s">
        <v>642</v>
      </c>
      <c r="AQ189" s="77" t="str">
        <f t="shared" si="95"/>
        <v>EDT Cost Recovery Rate Zone III Primary</v>
      </c>
      <c r="AR189" s="78" t="str">
        <f t="shared" si="96"/>
        <v>Billing Cycle</v>
      </c>
      <c r="AS189" s="79">
        <f t="shared" si="97"/>
        <v>8</v>
      </c>
      <c r="AT189" s="78">
        <f t="shared" si="98"/>
        <v>0</v>
      </c>
      <c r="AU189" s="78">
        <f t="shared" si="99"/>
        <v>1.2531E-3</v>
      </c>
      <c r="AV189" s="78">
        <f t="shared" si="100"/>
        <v>1.2531E-3</v>
      </c>
      <c r="AW189" s="78">
        <f t="shared" si="101"/>
        <v>1.2531E-3</v>
      </c>
      <c r="AX189" s="78">
        <f t="shared" si="102"/>
        <v>1.2531E-3</v>
      </c>
      <c r="AY189" s="78">
        <f t="shared" si="103"/>
        <v>1.2531E-3</v>
      </c>
      <c r="AZ189" s="78">
        <f t="shared" si="104"/>
        <v>1.2531E-3</v>
      </c>
      <c r="BA189" s="78">
        <f t="shared" si="105"/>
        <v>1.2531E-3</v>
      </c>
      <c r="BB189" s="78">
        <f t="shared" si="106"/>
        <v>1.2531E-3</v>
      </c>
      <c r="BC189" s="78">
        <f t="shared" si="107"/>
        <v>1.2531E-3</v>
      </c>
      <c r="BD189" s="78">
        <f t="shared" si="108"/>
        <v>1.2531E-3</v>
      </c>
      <c r="BE189" s="78">
        <f t="shared" si="109"/>
        <v>1.2531E-3</v>
      </c>
      <c r="BF189" s="78">
        <f t="shared" si="110"/>
        <v>1.2531E-3</v>
      </c>
      <c r="BG189" s="78">
        <f t="shared" si="111"/>
        <v>1.2531E-3</v>
      </c>
      <c r="BH189" s="78">
        <f t="shared" si="112"/>
        <v>1.2531E-3</v>
      </c>
      <c r="BI189" s="78">
        <f t="shared" si="113"/>
        <v>1.2531E-3</v>
      </c>
      <c r="BJ189" s="78">
        <f t="shared" si="114"/>
        <v>1.2531E-3</v>
      </c>
      <c r="BK189" s="78">
        <f t="shared" si="115"/>
        <v>1.2531E-3</v>
      </c>
      <c r="BL189" s="78">
        <f t="shared" si="116"/>
        <v>1.2531E-3</v>
      </c>
      <c r="BM189" s="78">
        <f t="shared" si="117"/>
        <v>1.2531E-3</v>
      </c>
      <c r="BN189" s="78">
        <f t="shared" si="118"/>
        <v>1.2531E-3</v>
      </c>
      <c r="BO189" s="78">
        <f t="shared" si="119"/>
        <v>1.2531E-3</v>
      </c>
      <c r="BP189" s="78">
        <f t="shared" si="120"/>
        <v>1.2531E-3</v>
      </c>
      <c r="BQ189" s="78">
        <f t="shared" si="121"/>
        <v>1.2531E-3</v>
      </c>
      <c r="BR189" s="78">
        <f t="shared" si="122"/>
        <v>1.2531E-3</v>
      </c>
      <c r="BS189" s="77"/>
      <c r="BT189" s="77"/>
    </row>
    <row r="190" spans="1:72" ht="14.1" customHeight="1" x14ac:dyDescent="0.2">
      <c r="A190" s="55" t="str">
        <f t="shared" si="93"/>
        <v>DS-6 (DS-4) Temp. Sensitive DS_EDT Cost Recovery Rate Zone III Primary</v>
      </c>
      <c r="B190" s="80" t="s">
        <v>645</v>
      </c>
      <c r="C190" s="83" t="s">
        <v>771</v>
      </c>
      <c r="D190" s="150"/>
      <c r="E190" s="81"/>
      <c r="F190" s="73" t="s">
        <v>649</v>
      </c>
      <c r="G190" s="73">
        <v>0</v>
      </c>
      <c r="H190" s="73">
        <v>8</v>
      </c>
      <c r="I190" s="74" t="s">
        <v>641</v>
      </c>
      <c r="J190" s="75" t="s">
        <v>634</v>
      </c>
      <c r="K190" s="74"/>
      <c r="L190" s="82">
        <v>1.3374999999999999E-3</v>
      </c>
      <c r="M190" s="138">
        <v>1.2531E-3</v>
      </c>
      <c r="N190" s="138">
        <v>1.2531E-3</v>
      </c>
      <c r="O190" s="138">
        <v>1.2531E-3</v>
      </c>
      <c r="P190" s="138">
        <v>1.2531E-3</v>
      </c>
      <c r="Q190" s="138">
        <v>1.2531E-3</v>
      </c>
      <c r="R190" s="138">
        <v>1.2531E-3</v>
      </c>
      <c r="S190" s="138">
        <v>1.2531E-3</v>
      </c>
      <c r="T190" s="138">
        <v>1.2531E-3</v>
      </c>
      <c r="U190" s="138">
        <v>1.2531E-3</v>
      </c>
      <c r="V190" s="138">
        <v>1.2531E-3</v>
      </c>
      <c r="W190" s="138">
        <v>1.2531E-3</v>
      </c>
      <c r="X190" s="138">
        <v>1.2531E-3</v>
      </c>
      <c r="Y190" s="138">
        <f t="shared" si="123"/>
        <v>1.2531E-3</v>
      </c>
      <c r="Z190" s="138">
        <f t="shared" si="124"/>
        <v>1.2531E-3</v>
      </c>
      <c r="AA190" s="138">
        <f t="shared" si="125"/>
        <v>1.2531E-3</v>
      </c>
      <c r="AB190" s="138">
        <f t="shared" si="126"/>
        <v>1.2531E-3</v>
      </c>
      <c r="AC190" s="138">
        <f t="shared" si="127"/>
        <v>1.2531E-3</v>
      </c>
      <c r="AD190" s="138">
        <f t="shared" si="128"/>
        <v>1.2531E-3</v>
      </c>
      <c r="AE190" s="138">
        <f t="shared" si="129"/>
        <v>1.2531E-3</v>
      </c>
      <c r="AF190" s="138">
        <f t="shared" si="130"/>
        <v>1.2531E-3</v>
      </c>
      <c r="AG190" s="138">
        <f t="shared" si="131"/>
        <v>1.2531E-3</v>
      </c>
      <c r="AH190" s="138">
        <f t="shared" si="132"/>
        <v>1.2531E-3</v>
      </c>
      <c r="AI190" s="138">
        <f t="shared" si="133"/>
        <v>1.2531E-3</v>
      </c>
      <c r="AJ190" s="138">
        <f t="shared" si="134"/>
        <v>1.2531E-3</v>
      </c>
      <c r="AK190" s="138">
        <f t="shared" si="135"/>
        <v>1.2531E-3</v>
      </c>
      <c r="AL190" s="138">
        <f t="shared" si="136"/>
        <v>1.2531E-3</v>
      </c>
      <c r="AM190" s="138">
        <f t="shared" si="137"/>
        <v>1.2531E-3</v>
      </c>
      <c r="AO190" s="77" t="str">
        <f t="shared" si="94"/>
        <v>DS-6 (DS-4) Temp. Sensitive DS</v>
      </c>
      <c r="AP190" s="78" t="s">
        <v>646</v>
      </c>
      <c r="AQ190" s="77" t="str">
        <f t="shared" si="95"/>
        <v>EDT Cost Recovery Rate Zone III Primary</v>
      </c>
      <c r="AR190" s="78" t="str">
        <f t="shared" si="96"/>
        <v>Billing Cycle</v>
      </c>
      <c r="AS190" s="79">
        <f t="shared" si="97"/>
        <v>8</v>
      </c>
      <c r="AT190" s="78">
        <f t="shared" si="98"/>
        <v>0</v>
      </c>
      <c r="AU190" s="78">
        <f t="shared" si="99"/>
        <v>1.2531E-3</v>
      </c>
      <c r="AV190" s="78">
        <f t="shared" si="100"/>
        <v>1.2531E-3</v>
      </c>
      <c r="AW190" s="78">
        <f t="shared" si="101"/>
        <v>1.2531E-3</v>
      </c>
      <c r="AX190" s="78">
        <f t="shared" si="102"/>
        <v>1.2531E-3</v>
      </c>
      <c r="AY190" s="78">
        <f t="shared" si="103"/>
        <v>1.2531E-3</v>
      </c>
      <c r="AZ190" s="78">
        <f t="shared" si="104"/>
        <v>1.2531E-3</v>
      </c>
      <c r="BA190" s="78">
        <f t="shared" si="105"/>
        <v>1.2531E-3</v>
      </c>
      <c r="BB190" s="78">
        <f t="shared" si="106"/>
        <v>1.2531E-3</v>
      </c>
      <c r="BC190" s="78">
        <f t="shared" si="107"/>
        <v>1.2531E-3</v>
      </c>
      <c r="BD190" s="78">
        <f t="shared" si="108"/>
        <v>1.2531E-3</v>
      </c>
      <c r="BE190" s="78">
        <f t="shared" si="109"/>
        <v>1.2531E-3</v>
      </c>
      <c r="BF190" s="78">
        <f t="shared" si="110"/>
        <v>1.2531E-3</v>
      </c>
      <c r="BG190" s="78">
        <f t="shared" si="111"/>
        <v>1.2531E-3</v>
      </c>
      <c r="BH190" s="78">
        <f t="shared" si="112"/>
        <v>1.2531E-3</v>
      </c>
      <c r="BI190" s="78">
        <f t="shared" si="113"/>
        <v>1.2531E-3</v>
      </c>
      <c r="BJ190" s="78">
        <f t="shared" si="114"/>
        <v>1.2531E-3</v>
      </c>
      <c r="BK190" s="78">
        <f t="shared" si="115"/>
        <v>1.2531E-3</v>
      </c>
      <c r="BL190" s="78">
        <f t="shared" si="116"/>
        <v>1.2531E-3</v>
      </c>
      <c r="BM190" s="78">
        <f t="shared" si="117"/>
        <v>1.2531E-3</v>
      </c>
      <c r="BN190" s="78">
        <f t="shared" si="118"/>
        <v>1.2531E-3</v>
      </c>
      <c r="BO190" s="78">
        <f t="shared" si="119"/>
        <v>1.2531E-3</v>
      </c>
      <c r="BP190" s="78">
        <f t="shared" si="120"/>
        <v>1.2531E-3</v>
      </c>
      <c r="BQ190" s="78">
        <f t="shared" si="121"/>
        <v>1.2531E-3</v>
      </c>
      <c r="BR190" s="78">
        <f t="shared" si="122"/>
        <v>1.2531E-3</v>
      </c>
      <c r="BS190" s="77"/>
      <c r="BT190" s="77"/>
    </row>
    <row r="191" spans="1:72" ht="14.1" customHeight="1" x14ac:dyDescent="0.2">
      <c r="A191" s="55" t="str">
        <f t="shared" si="93"/>
        <v>DS-1 (Residential)_Electric Environmental Adjustment Rate Zone I</v>
      </c>
      <c r="B191" s="80" t="s">
        <v>90</v>
      </c>
      <c r="C191" s="71" t="s">
        <v>772</v>
      </c>
      <c r="D191" s="150" t="s">
        <v>557</v>
      </c>
      <c r="E191" s="81"/>
      <c r="F191" s="73" t="s">
        <v>649</v>
      </c>
      <c r="G191" s="73">
        <v>0</v>
      </c>
      <c r="H191" s="73">
        <v>8</v>
      </c>
      <c r="I191" s="74" t="s">
        <v>773</v>
      </c>
      <c r="J191" s="75" t="s">
        <v>774</v>
      </c>
      <c r="K191" s="74"/>
      <c r="L191" s="82">
        <v>2.9300000000000001E-5</v>
      </c>
      <c r="M191" s="138">
        <v>1.2777999999999999E-3</v>
      </c>
      <c r="N191" s="138">
        <v>1.2777999999999999E-3</v>
      </c>
      <c r="O191" s="138">
        <v>1.2886E-3</v>
      </c>
      <c r="P191" s="138">
        <v>2.9369999999999998E-4</v>
      </c>
      <c r="Q191" s="138">
        <v>4.1290000000000001E-4</v>
      </c>
      <c r="R191" s="138">
        <v>4.1800000000000002E-4</v>
      </c>
      <c r="S191" s="138">
        <v>4.08E-4</v>
      </c>
      <c r="T191" s="138">
        <v>3.4650000000000002E-4</v>
      </c>
      <c r="U191" s="138">
        <v>3.389E-4</v>
      </c>
      <c r="V191" s="138">
        <v>3.7730000000000001E-4</v>
      </c>
      <c r="W191" s="138">
        <v>3.7730000000000001E-4</v>
      </c>
      <c r="X191" s="138">
        <v>3.7730000000000001E-4</v>
      </c>
      <c r="Y191" s="138">
        <f t="shared" si="123"/>
        <v>3.7730000000000001E-4</v>
      </c>
      <c r="Z191" s="138">
        <f t="shared" si="124"/>
        <v>3.7730000000000001E-4</v>
      </c>
      <c r="AA191" s="138">
        <f t="shared" si="125"/>
        <v>3.7730000000000001E-4</v>
      </c>
      <c r="AB191" s="138">
        <f t="shared" si="126"/>
        <v>3.7730000000000001E-4</v>
      </c>
      <c r="AC191" s="138">
        <f t="shared" si="127"/>
        <v>3.7730000000000001E-4</v>
      </c>
      <c r="AD191" s="138">
        <f t="shared" si="128"/>
        <v>3.7730000000000001E-4</v>
      </c>
      <c r="AE191" s="138">
        <f t="shared" si="129"/>
        <v>3.7730000000000001E-4</v>
      </c>
      <c r="AF191" s="138">
        <f t="shared" si="130"/>
        <v>3.7730000000000001E-4</v>
      </c>
      <c r="AG191" s="138">
        <f t="shared" si="131"/>
        <v>3.7730000000000001E-4</v>
      </c>
      <c r="AH191" s="138">
        <f t="shared" si="132"/>
        <v>3.7730000000000001E-4</v>
      </c>
      <c r="AI191" s="138">
        <f t="shared" si="133"/>
        <v>3.7730000000000001E-4</v>
      </c>
      <c r="AJ191" s="138">
        <f t="shared" si="134"/>
        <v>3.7730000000000001E-4</v>
      </c>
      <c r="AK191" s="138">
        <f t="shared" si="135"/>
        <v>3.7730000000000001E-4</v>
      </c>
      <c r="AL191" s="138">
        <f t="shared" si="136"/>
        <v>3.7730000000000006E-4</v>
      </c>
      <c r="AM191" s="138">
        <f t="shared" si="137"/>
        <v>4.5088333333333339E-4</v>
      </c>
      <c r="AO191" s="77" t="str">
        <f t="shared" si="94"/>
        <v>DS-1 (Residential)</v>
      </c>
      <c r="AP191" s="78" t="s">
        <v>662</v>
      </c>
      <c r="AQ191" s="77" t="str">
        <f t="shared" si="95"/>
        <v>Electric Environmental Adjustment Rate Zone I</v>
      </c>
      <c r="AR191" s="78" t="str">
        <f t="shared" si="96"/>
        <v>Billing Cycle</v>
      </c>
      <c r="AS191" s="79">
        <f t="shared" si="97"/>
        <v>8</v>
      </c>
      <c r="AT191" s="78">
        <f t="shared" si="98"/>
        <v>0</v>
      </c>
      <c r="AU191" s="78">
        <f t="shared" si="99"/>
        <v>1.2777999999999999E-3</v>
      </c>
      <c r="AV191" s="78">
        <f t="shared" si="100"/>
        <v>1.2777999999999999E-3</v>
      </c>
      <c r="AW191" s="78">
        <f t="shared" si="101"/>
        <v>1.2886E-3</v>
      </c>
      <c r="AX191" s="78">
        <f t="shared" si="102"/>
        <v>2.9369999999999998E-4</v>
      </c>
      <c r="AY191" s="78">
        <f t="shared" si="103"/>
        <v>4.1290000000000001E-4</v>
      </c>
      <c r="AZ191" s="78">
        <f t="shared" si="104"/>
        <v>4.1800000000000002E-4</v>
      </c>
      <c r="BA191" s="78">
        <f t="shared" si="105"/>
        <v>4.08E-4</v>
      </c>
      <c r="BB191" s="78">
        <f t="shared" si="106"/>
        <v>3.4650000000000002E-4</v>
      </c>
      <c r="BC191" s="78">
        <f t="shared" si="107"/>
        <v>3.389E-4</v>
      </c>
      <c r="BD191" s="78">
        <f t="shared" si="108"/>
        <v>3.7730000000000001E-4</v>
      </c>
      <c r="BE191" s="78">
        <f t="shared" si="109"/>
        <v>3.7730000000000001E-4</v>
      </c>
      <c r="BF191" s="78">
        <f t="shared" si="110"/>
        <v>3.7730000000000001E-4</v>
      </c>
      <c r="BG191" s="78">
        <f t="shared" si="111"/>
        <v>3.7730000000000001E-4</v>
      </c>
      <c r="BH191" s="78">
        <f t="shared" si="112"/>
        <v>3.7730000000000001E-4</v>
      </c>
      <c r="BI191" s="78">
        <f t="shared" si="113"/>
        <v>3.7730000000000001E-4</v>
      </c>
      <c r="BJ191" s="78">
        <f t="shared" si="114"/>
        <v>3.7730000000000001E-4</v>
      </c>
      <c r="BK191" s="78">
        <f t="shared" si="115"/>
        <v>3.7730000000000001E-4</v>
      </c>
      <c r="BL191" s="78">
        <f t="shared" si="116"/>
        <v>3.7730000000000001E-4</v>
      </c>
      <c r="BM191" s="78">
        <f t="shared" si="117"/>
        <v>3.7730000000000001E-4</v>
      </c>
      <c r="BN191" s="78">
        <f t="shared" si="118"/>
        <v>3.7730000000000001E-4</v>
      </c>
      <c r="BO191" s="78">
        <f t="shared" si="119"/>
        <v>3.7730000000000001E-4</v>
      </c>
      <c r="BP191" s="78">
        <f t="shared" si="120"/>
        <v>3.7730000000000001E-4</v>
      </c>
      <c r="BQ191" s="78">
        <f t="shared" si="121"/>
        <v>3.7730000000000001E-4</v>
      </c>
      <c r="BR191" s="78">
        <f t="shared" si="122"/>
        <v>3.7730000000000001E-4</v>
      </c>
      <c r="BS191" s="77"/>
      <c r="BT191" s="77"/>
    </row>
    <row r="192" spans="1:72" ht="14.1" customHeight="1" x14ac:dyDescent="0.2">
      <c r="A192" s="55" t="str">
        <f t="shared" si="93"/>
        <v>DS-2 (Small General Service)_Electric Environmental Adjustment Rate Zone I</v>
      </c>
      <c r="B192" s="80" t="s">
        <v>665</v>
      </c>
      <c r="C192" s="71" t="s">
        <v>772</v>
      </c>
      <c r="D192" s="150"/>
      <c r="E192" s="81"/>
      <c r="F192" s="73" t="s">
        <v>649</v>
      </c>
      <c r="G192" s="73">
        <v>0</v>
      </c>
      <c r="H192" s="73">
        <v>8</v>
      </c>
      <c r="I192" s="74" t="s">
        <v>773</v>
      </c>
      <c r="J192" s="75" t="s">
        <v>774</v>
      </c>
      <c r="K192" s="74"/>
      <c r="L192" s="82">
        <v>2.8399999999999999E-5</v>
      </c>
      <c r="M192" s="138">
        <v>9.6920000000000003E-4</v>
      </c>
      <c r="N192" s="138">
        <v>9.6920000000000003E-4</v>
      </c>
      <c r="O192" s="138">
        <v>9.8050000000000003E-4</v>
      </c>
      <c r="P192" s="138">
        <v>3.0719999999999999E-4</v>
      </c>
      <c r="Q192" s="138">
        <v>3.6969999999999999E-4</v>
      </c>
      <c r="R192" s="138">
        <v>3.4400000000000001E-4</v>
      </c>
      <c r="S192" s="138">
        <v>3.2019999999999998E-4</v>
      </c>
      <c r="T192" s="138">
        <v>2.2670000000000001E-4</v>
      </c>
      <c r="U192" s="138">
        <v>2.2709999999999999E-4</v>
      </c>
      <c r="V192" s="138">
        <v>2.2819999999999999E-4</v>
      </c>
      <c r="W192" s="138">
        <v>2.2819999999999999E-4</v>
      </c>
      <c r="X192" s="138">
        <v>2.2819999999999999E-4</v>
      </c>
      <c r="Y192" s="138">
        <f t="shared" si="123"/>
        <v>2.2819999999999999E-4</v>
      </c>
      <c r="Z192" s="138">
        <f t="shared" si="124"/>
        <v>2.2819999999999999E-4</v>
      </c>
      <c r="AA192" s="138">
        <f t="shared" si="125"/>
        <v>2.2819999999999999E-4</v>
      </c>
      <c r="AB192" s="138">
        <f t="shared" si="126"/>
        <v>2.2819999999999999E-4</v>
      </c>
      <c r="AC192" s="138">
        <f t="shared" si="127"/>
        <v>2.2819999999999999E-4</v>
      </c>
      <c r="AD192" s="138">
        <f t="shared" si="128"/>
        <v>2.2819999999999999E-4</v>
      </c>
      <c r="AE192" s="138">
        <f t="shared" si="129"/>
        <v>2.2819999999999999E-4</v>
      </c>
      <c r="AF192" s="138">
        <f t="shared" si="130"/>
        <v>2.2819999999999999E-4</v>
      </c>
      <c r="AG192" s="138">
        <f t="shared" si="131"/>
        <v>2.2819999999999999E-4</v>
      </c>
      <c r="AH192" s="138">
        <f t="shared" si="132"/>
        <v>2.2819999999999999E-4</v>
      </c>
      <c r="AI192" s="138">
        <f t="shared" si="133"/>
        <v>2.2819999999999999E-4</v>
      </c>
      <c r="AJ192" s="138">
        <f t="shared" si="134"/>
        <v>2.2819999999999999E-4</v>
      </c>
      <c r="AK192" s="138">
        <f t="shared" si="135"/>
        <v>2.2819999999999999E-4</v>
      </c>
      <c r="AL192" s="138">
        <f t="shared" si="136"/>
        <v>2.2819999999999999E-4</v>
      </c>
      <c r="AM192" s="138">
        <f t="shared" si="137"/>
        <v>3.081583333333331E-4</v>
      </c>
      <c r="AO192" s="77" t="str">
        <f t="shared" si="94"/>
        <v>DS-2 (Small General Service)</v>
      </c>
      <c r="AP192" s="78" t="s">
        <v>664</v>
      </c>
      <c r="AQ192" s="77" t="str">
        <f t="shared" si="95"/>
        <v>Electric Environmental Adjustment Rate Zone I</v>
      </c>
      <c r="AR192" s="78" t="str">
        <f t="shared" si="96"/>
        <v>Billing Cycle</v>
      </c>
      <c r="AS192" s="79">
        <f t="shared" si="97"/>
        <v>8</v>
      </c>
      <c r="AT192" s="78">
        <f t="shared" si="98"/>
        <v>0</v>
      </c>
      <c r="AU192" s="78">
        <f t="shared" si="99"/>
        <v>9.6920000000000003E-4</v>
      </c>
      <c r="AV192" s="78">
        <f t="shared" si="100"/>
        <v>9.6920000000000003E-4</v>
      </c>
      <c r="AW192" s="78">
        <f t="shared" si="101"/>
        <v>9.8050000000000003E-4</v>
      </c>
      <c r="AX192" s="78">
        <f t="shared" si="102"/>
        <v>3.0719999999999999E-4</v>
      </c>
      <c r="AY192" s="78">
        <f t="shared" si="103"/>
        <v>3.6969999999999999E-4</v>
      </c>
      <c r="AZ192" s="78">
        <f t="shared" si="104"/>
        <v>3.4400000000000001E-4</v>
      </c>
      <c r="BA192" s="78">
        <f t="shared" si="105"/>
        <v>3.2019999999999998E-4</v>
      </c>
      <c r="BB192" s="78">
        <f t="shared" si="106"/>
        <v>2.2670000000000001E-4</v>
      </c>
      <c r="BC192" s="78">
        <f t="shared" si="107"/>
        <v>2.2709999999999999E-4</v>
      </c>
      <c r="BD192" s="78">
        <f t="shared" si="108"/>
        <v>2.2819999999999999E-4</v>
      </c>
      <c r="BE192" s="78">
        <f t="shared" si="109"/>
        <v>2.2819999999999999E-4</v>
      </c>
      <c r="BF192" s="78">
        <f t="shared" si="110"/>
        <v>2.2819999999999999E-4</v>
      </c>
      <c r="BG192" s="78">
        <f t="shared" si="111"/>
        <v>2.2819999999999999E-4</v>
      </c>
      <c r="BH192" s="78">
        <f t="shared" si="112"/>
        <v>2.2819999999999999E-4</v>
      </c>
      <c r="BI192" s="78">
        <f t="shared" si="113"/>
        <v>2.2819999999999999E-4</v>
      </c>
      <c r="BJ192" s="78">
        <f t="shared" si="114"/>
        <v>2.2819999999999999E-4</v>
      </c>
      <c r="BK192" s="78">
        <f t="shared" si="115"/>
        <v>2.2819999999999999E-4</v>
      </c>
      <c r="BL192" s="78">
        <f t="shared" si="116"/>
        <v>2.2819999999999999E-4</v>
      </c>
      <c r="BM192" s="78">
        <f t="shared" si="117"/>
        <v>2.2819999999999999E-4</v>
      </c>
      <c r="BN192" s="78">
        <f t="shared" si="118"/>
        <v>2.2819999999999999E-4</v>
      </c>
      <c r="BO192" s="78">
        <f t="shared" si="119"/>
        <v>2.2819999999999999E-4</v>
      </c>
      <c r="BP192" s="78">
        <f t="shared" si="120"/>
        <v>2.2819999999999999E-4</v>
      </c>
      <c r="BQ192" s="78">
        <f t="shared" si="121"/>
        <v>2.2819999999999999E-4</v>
      </c>
      <c r="BR192" s="78">
        <f t="shared" si="122"/>
        <v>2.2819999999999999E-4</v>
      </c>
      <c r="BS192" s="77"/>
      <c r="BT192" s="77"/>
    </row>
    <row r="193" spans="1:72" ht="14.1" customHeight="1" x14ac:dyDescent="0.2">
      <c r="A193" s="55" t="str">
        <f t="shared" si="93"/>
        <v>DS-3 (General Delivery Service)_Electric Environmental Adjustment Rate Zone I</v>
      </c>
      <c r="B193" s="80" t="s">
        <v>666</v>
      </c>
      <c r="C193" s="71" t="s">
        <v>772</v>
      </c>
      <c r="D193" s="150"/>
      <c r="E193" s="81"/>
      <c r="F193" s="73" t="s">
        <v>649</v>
      </c>
      <c r="G193" s="73">
        <v>0</v>
      </c>
      <c r="H193" s="73">
        <v>8</v>
      </c>
      <c r="I193" s="74" t="s">
        <v>773</v>
      </c>
      <c r="J193" s="75" t="s">
        <v>774</v>
      </c>
      <c r="K193" s="74"/>
      <c r="L193" s="82">
        <v>-5.4999999999999999E-6</v>
      </c>
      <c r="M193" s="138">
        <v>7.0750000000000001E-4</v>
      </c>
      <c r="N193" s="138">
        <v>7.0750000000000001E-4</v>
      </c>
      <c r="O193" s="138">
        <v>6.8970000000000001E-4</v>
      </c>
      <c r="P193" s="138">
        <v>1.875E-4</v>
      </c>
      <c r="Q193" s="138">
        <v>2.1990000000000001E-4</v>
      </c>
      <c r="R193" s="138">
        <v>2.207E-4</v>
      </c>
      <c r="S193" s="138">
        <v>2.3460000000000001E-4</v>
      </c>
      <c r="T193" s="138">
        <v>2.4560000000000001E-4</v>
      </c>
      <c r="U193" s="138">
        <v>2.2350000000000001E-4</v>
      </c>
      <c r="V193" s="138">
        <v>2.455E-4</v>
      </c>
      <c r="W193" s="138">
        <v>2.455E-4</v>
      </c>
      <c r="X193" s="138">
        <v>2.455E-4</v>
      </c>
      <c r="Y193" s="138">
        <f t="shared" si="123"/>
        <v>2.455E-4</v>
      </c>
      <c r="Z193" s="138">
        <f t="shared" si="124"/>
        <v>2.455E-4</v>
      </c>
      <c r="AA193" s="138">
        <f t="shared" si="125"/>
        <v>2.455E-4</v>
      </c>
      <c r="AB193" s="138">
        <f t="shared" si="126"/>
        <v>2.455E-4</v>
      </c>
      <c r="AC193" s="138">
        <f t="shared" si="127"/>
        <v>2.455E-4</v>
      </c>
      <c r="AD193" s="138">
        <f t="shared" si="128"/>
        <v>2.455E-4</v>
      </c>
      <c r="AE193" s="138">
        <f t="shared" si="129"/>
        <v>2.455E-4</v>
      </c>
      <c r="AF193" s="138">
        <f t="shared" si="130"/>
        <v>2.455E-4</v>
      </c>
      <c r="AG193" s="138">
        <f t="shared" si="131"/>
        <v>2.455E-4</v>
      </c>
      <c r="AH193" s="138">
        <f t="shared" si="132"/>
        <v>2.455E-4</v>
      </c>
      <c r="AI193" s="138">
        <f t="shared" si="133"/>
        <v>2.455E-4</v>
      </c>
      <c r="AJ193" s="138">
        <f t="shared" si="134"/>
        <v>2.455E-4</v>
      </c>
      <c r="AK193" s="138">
        <f t="shared" si="135"/>
        <v>2.455E-4</v>
      </c>
      <c r="AL193" s="138">
        <f t="shared" si="136"/>
        <v>2.455E-4</v>
      </c>
      <c r="AM193" s="138">
        <f t="shared" si="137"/>
        <v>2.7737500000000001E-4</v>
      </c>
      <c r="AO193" s="77" t="str">
        <f t="shared" si="94"/>
        <v>DS-3 (General Delivery Service)</v>
      </c>
      <c r="AP193" s="78" t="s">
        <v>667</v>
      </c>
      <c r="AQ193" s="77" t="str">
        <f t="shared" si="95"/>
        <v>Electric Environmental Adjustment Rate Zone I</v>
      </c>
      <c r="AR193" s="78" t="str">
        <f t="shared" si="96"/>
        <v>Billing Cycle</v>
      </c>
      <c r="AS193" s="79">
        <f t="shared" si="97"/>
        <v>8</v>
      </c>
      <c r="AT193" s="78">
        <f t="shared" si="98"/>
        <v>0</v>
      </c>
      <c r="AU193" s="78">
        <f t="shared" si="99"/>
        <v>7.0750000000000001E-4</v>
      </c>
      <c r="AV193" s="78">
        <f t="shared" si="100"/>
        <v>7.0750000000000001E-4</v>
      </c>
      <c r="AW193" s="78">
        <f t="shared" si="101"/>
        <v>6.8970000000000001E-4</v>
      </c>
      <c r="AX193" s="78">
        <f t="shared" si="102"/>
        <v>1.875E-4</v>
      </c>
      <c r="AY193" s="78">
        <f t="shared" si="103"/>
        <v>2.1990000000000001E-4</v>
      </c>
      <c r="AZ193" s="78">
        <f t="shared" si="104"/>
        <v>2.207E-4</v>
      </c>
      <c r="BA193" s="78">
        <f t="shared" si="105"/>
        <v>2.3460000000000001E-4</v>
      </c>
      <c r="BB193" s="78">
        <f t="shared" si="106"/>
        <v>2.4560000000000001E-4</v>
      </c>
      <c r="BC193" s="78">
        <f t="shared" si="107"/>
        <v>2.2350000000000001E-4</v>
      </c>
      <c r="BD193" s="78">
        <f t="shared" si="108"/>
        <v>2.455E-4</v>
      </c>
      <c r="BE193" s="78">
        <f t="shared" si="109"/>
        <v>2.455E-4</v>
      </c>
      <c r="BF193" s="78">
        <f t="shared" si="110"/>
        <v>2.455E-4</v>
      </c>
      <c r="BG193" s="78">
        <f t="shared" si="111"/>
        <v>2.455E-4</v>
      </c>
      <c r="BH193" s="78">
        <f t="shared" si="112"/>
        <v>2.455E-4</v>
      </c>
      <c r="BI193" s="78">
        <f t="shared" si="113"/>
        <v>2.455E-4</v>
      </c>
      <c r="BJ193" s="78">
        <f t="shared" si="114"/>
        <v>2.455E-4</v>
      </c>
      <c r="BK193" s="78">
        <f t="shared" si="115"/>
        <v>2.455E-4</v>
      </c>
      <c r="BL193" s="78">
        <f t="shared" si="116"/>
        <v>2.455E-4</v>
      </c>
      <c r="BM193" s="78">
        <f t="shared" si="117"/>
        <v>2.455E-4</v>
      </c>
      <c r="BN193" s="78">
        <f t="shared" si="118"/>
        <v>2.455E-4</v>
      </c>
      <c r="BO193" s="78">
        <f t="shared" si="119"/>
        <v>2.455E-4</v>
      </c>
      <c r="BP193" s="78">
        <f t="shared" si="120"/>
        <v>2.455E-4</v>
      </c>
      <c r="BQ193" s="78">
        <f t="shared" si="121"/>
        <v>2.455E-4</v>
      </c>
      <c r="BR193" s="78">
        <f t="shared" si="122"/>
        <v>2.455E-4</v>
      </c>
      <c r="BS193" s="77"/>
      <c r="BT193" s="77"/>
    </row>
    <row r="194" spans="1:72" ht="14.1" customHeight="1" x14ac:dyDescent="0.2">
      <c r="A194" s="55" t="str">
        <f t="shared" si="93"/>
        <v>DS-4 (Large General Service)_Electric Environmental Adjustment Rate Zone I</v>
      </c>
      <c r="B194" s="80" t="s">
        <v>639</v>
      </c>
      <c r="C194" s="71" t="s">
        <v>772</v>
      </c>
      <c r="D194" s="150"/>
      <c r="E194" s="81"/>
      <c r="F194" s="73" t="s">
        <v>649</v>
      </c>
      <c r="G194" s="73">
        <v>0</v>
      </c>
      <c r="H194" s="73">
        <v>8</v>
      </c>
      <c r="I194" s="74" t="s">
        <v>773</v>
      </c>
      <c r="J194" s="75" t="s">
        <v>774</v>
      </c>
      <c r="K194" s="74"/>
      <c r="L194" s="82">
        <v>-4.5200000000000001E-5</v>
      </c>
      <c r="M194" s="138">
        <v>2.04E-4</v>
      </c>
      <c r="N194" s="138">
        <v>2.04E-4</v>
      </c>
      <c r="O194" s="138">
        <v>2.075E-4</v>
      </c>
      <c r="P194" s="138">
        <v>6.7500000000000001E-5</v>
      </c>
      <c r="Q194" s="138">
        <v>5.63E-5</v>
      </c>
      <c r="R194" s="138">
        <v>4.5300000000000003E-5</v>
      </c>
      <c r="S194" s="138">
        <v>5.0800000000000002E-5</v>
      </c>
      <c r="T194" s="138">
        <v>5.38E-5</v>
      </c>
      <c r="U194" s="138">
        <v>5.0099999999999998E-5</v>
      </c>
      <c r="V194" s="138">
        <v>6.1699999999999995E-5</v>
      </c>
      <c r="W194" s="138">
        <v>6.1699999999999995E-5</v>
      </c>
      <c r="X194" s="138">
        <v>6.1699999999999995E-5</v>
      </c>
      <c r="Y194" s="138">
        <f t="shared" si="123"/>
        <v>6.1699999999999995E-5</v>
      </c>
      <c r="Z194" s="138">
        <f t="shared" si="124"/>
        <v>6.1699999999999995E-5</v>
      </c>
      <c r="AA194" s="138">
        <f t="shared" si="125"/>
        <v>6.1699999999999995E-5</v>
      </c>
      <c r="AB194" s="138">
        <f t="shared" si="126"/>
        <v>6.1699999999999995E-5</v>
      </c>
      <c r="AC194" s="138">
        <f t="shared" si="127"/>
        <v>6.1699999999999995E-5</v>
      </c>
      <c r="AD194" s="138">
        <f t="shared" si="128"/>
        <v>6.1699999999999995E-5</v>
      </c>
      <c r="AE194" s="138">
        <f t="shared" si="129"/>
        <v>6.1699999999999995E-5</v>
      </c>
      <c r="AF194" s="138">
        <f t="shared" si="130"/>
        <v>6.1699999999999995E-5</v>
      </c>
      <c r="AG194" s="138">
        <f t="shared" si="131"/>
        <v>6.1699999999999995E-5</v>
      </c>
      <c r="AH194" s="138">
        <f t="shared" si="132"/>
        <v>6.1699999999999995E-5</v>
      </c>
      <c r="AI194" s="138">
        <f t="shared" si="133"/>
        <v>6.1699999999999995E-5</v>
      </c>
      <c r="AJ194" s="138">
        <f t="shared" si="134"/>
        <v>6.1699999999999995E-5</v>
      </c>
      <c r="AK194" s="138">
        <f t="shared" si="135"/>
        <v>6.1699999999999995E-5</v>
      </c>
      <c r="AL194" s="138">
        <f t="shared" si="136"/>
        <v>6.1700000000000009E-5</v>
      </c>
      <c r="AM194" s="138">
        <f t="shared" si="137"/>
        <v>7.1770833333333354E-5</v>
      </c>
      <c r="AO194" s="77" t="str">
        <f t="shared" si="94"/>
        <v>DS-4 (Large General Service)</v>
      </c>
      <c r="AP194" s="78" t="s">
        <v>642</v>
      </c>
      <c r="AQ194" s="77" t="str">
        <f t="shared" si="95"/>
        <v>Electric Environmental Adjustment Rate Zone I</v>
      </c>
      <c r="AR194" s="78" t="str">
        <f t="shared" si="96"/>
        <v>Billing Cycle</v>
      </c>
      <c r="AS194" s="79">
        <f t="shared" si="97"/>
        <v>8</v>
      </c>
      <c r="AT194" s="78">
        <f t="shared" si="98"/>
        <v>0</v>
      </c>
      <c r="AU194" s="78">
        <f t="shared" si="99"/>
        <v>2.04E-4</v>
      </c>
      <c r="AV194" s="78">
        <f t="shared" si="100"/>
        <v>2.04E-4</v>
      </c>
      <c r="AW194" s="78">
        <f t="shared" si="101"/>
        <v>2.075E-4</v>
      </c>
      <c r="AX194" s="78">
        <f t="shared" si="102"/>
        <v>6.7500000000000001E-5</v>
      </c>
      <c r="AY194" s="78">
        <f t="shared" si="103"/>
        <v>5.63E-5</v>
      </c>
      <c r="AZ194" s="78">
        <f t="shared" si="104"/>
        <v>4.5300000000000003E-5</v>
      </c>
      <c r="BA194" s="78">
        <f t="shared" si="105"/>
        <v>5.0800000000000002E-5</v>
      </c>
      <c r="BB194" s="78">
        <f t="shared" si="106"/>
        <v>5.38E-5</v>
      </c>
      <c r="BC194" s="78">
        <f t="shared" si="107"/>
        <v>5.0099999999999998E-5</v>
      </c>
      <c r="BD194" s="78">
        <f t="shared" si="108"/>
        <v>6.1699999999999995E-5</v>
      </c>
      <c r="BE194" s="78">
        <f t="shared" si="109"/>
        <v>6.1699999999999995E-5</v>
      </c>
      <c r="BF194" s="78">
        <f t="shared" si="110"/>
        <v>6.1699999999999995E-5</v>
      </c>
      <c r="BG194" s="78">
        <f t="shared" si="111"/>
        <v>6.1699999999999995E-5</v>
      </c>
      <c r="BH194" s="78">
        <f t="shared" si="112"/>
        <v>6.1699999999999995E-5</v>
      </c>
      <c r="BI194" s="78">
        <f t="shared" si="113"/>
        <v>6.1699999999999995E-5</v>
      </c>
      <c r="BJ194" s="78">
        <f t="shared" si="114"/>
        <v>6.1699999999999995E-5</v>
      </c>
      <c r="BK194" s="78">
        <f t="shared" si="115"/>
        <v>6.1699999999999995E-5</v>
      </c>
      <c r="BL194" s="78">
        <f t="shared" si="116"/>
        <v>6.1699999999999995E-5</v>
      </c>
      <c r="BM194" s="78">
        <f t="shared" si="117"/>
        <v>6.1699999999999995E-5</v>
      </c>
      <c r="BN194" s="78">
        <f t="shared" si="118"/>
        <v>6.1699999999999995E-5</v>
      </c>
      <c r="BO194" s="78">
        <f t="shared" si="119"/>
        <v>6.1699999999999995E-5</v>
      </c>
      <c r="BP194" s="78">
        <f t="shared" si="120"/>
        <v>6.1699999999999995E-5</v>
      </c>
      <c r="BQ194" s="78">
        <f t="shared" si="121"/>
        <v>6.1699999999999995E-5</v>
      </c>
      <c r="BR194" s="78">
        <f t="shared" si="122"/>
        <v>6.1699999999999995E-5</v>
      </c>
      <c r="BS194" s="77"/>
      <c r="BT194" s="77"/>
    </row>
    <row r="195" spans="1:72" ht="14.1" customHeight="1" x14ac:dyDescent="0.2">
      <c r="A195" s="55" t="str">
        <f t="shared" si="93"/>
        <v>DS-5 (Lighting Service)_Electric Environmental Adjustment Rate Zone I</v>
      </c>
      <c r="B195" s="80" t="s">
        <v>647</v>
      </c>
      <c r="C195" s="71" t="s">
        <v>772</v>
      </c>
      <c r="D195" s="150"/>
      <c r="E195" s="81"/>
      <c r="F195" s="73" t="s">
        <v>649</v>
      </c>
      <c r="G195" s="73">
        <v>0</v>
      </c>
      <c r="H195" s="73">
        <v>8</v>
      </c>
      <c r="I195" s="74" t="s">
        <v>773</v>
      </c>
      <c r="J195" s="75" t="s">
        <v>774</v>
      </c>
      <c r="K195" s="74"/>
      <c r="L195" s="82">
        <v>5.4889999999999995E-4</v>
      </c>
      <c r="M195" s="138">
        <v>2.3743000000000002E-3</v>
      </c>
      <c r="N195" s="138">
        <v>2.3743000000000002E-3</v>
      </c>
      <c r="O195" s="138">
        <v>2.4366000000000001E-3</v>
      </c>
      <c r="P195" s="138">
        <v>1.0283E-3</v>
      </c>
      <c r="Q195" s="138">
        <v>1.4721999999999999E-3</v>
      </c>
      <c r="R195" s="138">
        <v>5.1570000000000001E-4</v>
      </c>
      <c r="S195" s="138">
        <v>4.438E-4</v>
      </c>
      <c r="T195" s="138">
        <v>4.9910000000000004E-4</v>
      </c>
      <c r="U195" s="138">
        <v>5.5309999999999995E-4</v>
      </c>
      <c r="V195" s="138">
        <v>5.2780000000000004E-4</v>
      </c>
      <c r="W195" s="138">
        <v>5.2780000000000004E-4</v>
      </c>
      <c r="X195" s="138">
        <v>5.2780000000000004E-4</v>
      </c>
      <c r="Y195" s="138">
        <f t="shared" si="123"/>
        <v>5.2780000000000004E-4</v>
      </c>
      <c r="Z195" s="138">
        <f t="shared" si="124"/>
        <v>5.2780000000000004E-4</v>
      </c>
      <c r="AA195" s="138">
        <f t="shared" si="125"/>
        <v>5.2780000000000004E-4</v>
      </c>
      <c r="AB195" s="138">
        <f t="shared" si="126"/>
        <v>5.2780000000000004E-4</v>
      </c>
      <c r="AC195" s="138">
        <f t="shared" si="127"/>
        <v>5.2780000000000004E-4</v>
      </c>
      <c r="AD195" s="138">
        <f t="shared" si="128"/>
        <v>5.2780000000000004E-4</v>
      </c>
      <c r="AE195" s="138">
        <f t="shared" si="129"/>
        <v>5.2780000000000004E-4</v>
      </c>
      <c r="AF195" s="138">
        <f t="shared" si="130"/>
        <v>5.2780000000000004E-4</v>
      </c>
      <c r="AG195" s="138">
        <f t="shared" si="131"/>
        <v>5.2780000000000004E-4</v>
      </c>
      <c r="AH195" s="138">
        <f t="shared" si="132"/>
        <v>5.2780000000000004E-4</v>
      </c>
      <c r="AI195" s="138">
        <f t="shared" si="133"/>
        <v>5.2780000000000004E-4</v>
      </c>
      <c r="AJ195" s="138">
        <f t="shared" si="134"/>
        <v>5.2780000000000004E-4</v>
      </c>
      <c r="AK195" s="138">
        <f t="shared" si="135"/>
        <v>5.2780000000000004E-4</v>
      </c>
      <c r="AL195" s="138">
        <f t="shared" si="136"/>
        <v>5.2780000000000004E-4</v>
      </c>
      <c r="AM195" s="138">
        <f t="shared" si="137"/>
        <v>7.4032916666666654E-4</v>
      </c>
      <c r="AO195" s="77" t="str">
        <f t="shared" si="94"/>
        <v>DS-5 (Lighting Service)</v>
      </c>
      <c r="AP195" s="78" t="s">
        <v>650</v>
      </c>
      <c r="AQ195" s="77" t="str">
        <f t="shared" si="95"/>
        <v>Electric Environmental Adjustment Rate Zone I</v>
      </c>
      <c r="AR195" s="78" t="str">
        <f t="shared" si="96"/>
        <v>Billing Cycle</v>
      </c>
      <c r="AS195" s="79">
        <f t="shared" si="97"/>
        <v>8</v>
      </c>
      <c r="AT195" s="78">
        <f t="shared" si="98"/>
        <v>0</v>
      </c>
      <c r="AU195" s="78">
        <f t="shared" si="99"/>
        <v>2.3743000000000002E-3</v>
      </c>
      <c r="AV195" s="78">
        <f t="shared" si="100"/>
        <v>2.3743000000000002E-3</v>
      </c>
      <c r="AW195" s="78">
        <f t="shared" si="101"/>
        <v>2.4366000000000001E-3</v>
      </c>
      <c r="AX195" s="78">
        <f t="shared" si="102"/>
        <v>1.0283E-3</v>
      </c>
      <c r="AY195" s="78">
        <f t="shared" si="103"/>
        <v>1.4721999999999999E-3</v>
      </c>
      <c r="AZ195" s="78">
        <f t="shared" si="104"/>
        <v>5.1570000000000001E-4</v>
      </c>
      <c r="BA195" s="78">
        <f t="shared" si="105"/>
        <v>4.438E-4</v>
      </c>
      <c r="BB195" s="78">
        <f t="shared" si="106"/>
        <v>4.9910000000000004E-4</v>
      </c>
      <c r="BC195" s="78">
        <f t="shared" si="107"/>
        <v>5.5309999999999995E-4</v>
      </c>
      <c r="BD195" s="78">
        <f t="shared" si="108"/>
        <v>5.2780000000000004E-4</v>
      </c>
      <c r="BE195" s="78">
        <f t="shared" si="109"/>
        <v>5.2780000000000004E-4</v>
      </c>
      <c r="BF195" s="78">
        <f t="shared" si="110"/>
        <v>5.2780000000000004E-4</v>
      </c>
      <c r="BG195" s="78">
        <f t="shared" si="111"/>
        <v>5.2780000000000004E-4</v>
      </c>
      <c r="BH195" s="78">
        <f t="shared" si="112"/>
        <v>5.2780000000000004E-4</v>
      </c>
      <c r="BI195" s="78">
        <f t="shared" si="113"/>
        <v>5.2780000000000004E-4</v>
      </c>
      <c r="BJ195" s="78">
        <f t="shared" si="114"/>
        <v>5.2780000000000004E-4</v>
      </c>
      <c r="BK195" s="78">
        <f t="shared" si="115"/>
        <v>5.2780000000000004E-4</v>
      </c>
      <c r="BL195" s="78">
        <f t="shared" si="116"/>
        <v>5.2780000000000004E-4</v>
      </c>
      <c r="BM195" s="78">
        <f t="shared" si="117"/>
        <v>5.2780000000000004E-4</v>
      </c>
      <c r="BN195" s="78">
        <f t="shared" si="118"/>
        <v>5.2780000000000004E-4</v>
      </c>
      <c r="BO195" s="78">
        <f t="shared" si="119"/>
        <v>5.2780000000000004E-4</v>
      </c>
      <c r="BP195" s="78">
        <f t="shared" si="120"/>
        <v>5.2780000000000004E-4</v>
      </c>
      <c r="BQ195" s="78">
        <f t="shared" si="121"/>
        <v>5.2780000000000004E-4</v>
      </c>
      <c r="BR195" s="78">
        <f t="shared" si="122"/>
        <v>5.2780000000000004E-4</v>
      </c>
      <c r="BS195" s="77"/>
      <c r="BT195" s="77"/>
    </row>
    <row r="196" spans="1:72" ht="14.1" customHeight="1" x14ac:dyDescent="0.2">
      <c r="A196" s="55" t="str">
        <f t="shared" si="93"/>
        <v>DS-6 (DS-3) Temp. Sensitive DS_Electric Environmental Adjustment Rate Zone I</v>
      </c>
      <c r="B196" s="80" t="s">
        <v>643</v>
      </c>
      <c r="C196" s="71" t="s">
        <v>772</v>
      </c>
      <c r="D196" s="150"/>
      <c r="E196" s="81"/>
      <c r="F196" s="73" t="s">
        <v>649</v>
      </c>
      <c r="G196" s="73">
        <v>0</v>
      </c>
      <c r="H196" s="73">
        <v>8</v>
      </c>
      <c r="I196" s="74" t="s">
        <v>773</v>
      </c>
      <c r="J196" s="75" t="s">
        <v>774</v>
      </c>
      <c r="K196" s="74"/>
      <c r="L196" s="82">
        <v>-5.4999999999999999E-6</v>
      </c>
      <c r="M196" s="138">
        <v>7.0750000000000001E-4</v>
      </c>
      <c r="N196" s="138">
        <v>7.0750000000000001E-4</v>
      </c>
      <c r="O196" s="138">
        <v>6.8970000000000001E-4</v>
      </c>
      <c r="P196" s="138">
        <v>1.875E-4</v>
      </c>
      <c r="Q196" s="138">
        <v>2.1990000000000001E-4</v>
      </c>
      <c r="R196" s="138">
        <v>2.207E-4</v>
      </c>
      <c r="S196" s="138">
        <v>2.3460000000000001E-4</v>
      </c>
      <c r="T196" s="138">
        <v>2.4560000000000001E-4</v>
      </c>
      <c r="U196" s="138">
        <v>2.2350000000000001E-4</v>
      </c>
      <c r="V196" s="138">
        <v>2.455E-4</v>
      </c>
      <c r="W196" s="138">
        <v>2.455E-4</v>
      </c>
      <c r="X196" s="138">
        <v>2.455E-4</v>
      </c>
      <c r="Y196" s="138">
        <f t="shared" si="123"/>
        <v>2.455E-4</v>
      </c>
      <c r="Z196" s="138">
        <f t="shared" si="124"/>
        <v>2.455E-4</v>
      </c>
      <c r="AA196" s="138">
        <f t="shared" si="125"/>
        <v>2.455E-4</v>
      </c>
      <c r="AB196" s="138">
        <f t="shared" si="126"/>
        <v>2.455E-4</v>
      </c>
      <c r="AC196" s="138">
        <f t="shared" si="127"/>
        <v>2.455E-4</v>
      </c>
      <c r="AD196" s="138">
        <f t="shared" si="128"/>
        <v>2.455E-4</v>
      </c>
      <c r="AE196" s="138">
        <f t="shared" si="129"/>
        <v>2.455E-4</v>
      </c>
      <c r="AF196" s="138">
        <f t="shared" si="130"/>
        <v>2.455E-4</v>
      </c>
      <c r="AG196" s="138">
        <f t="shared" si="131"/>
        <v>2.455E-4</v>
      </c>
      <c r="AH196" s="138">
        <f t="shared" si="132"/>
        <v>2.455E-4</v>
      </c>
      <c r="AI196" s="138">
        <f t="shared" si="133"/>
        <v>2.455E-4</v>
      </c>
      <c r="AJ196" s="138">
        <f t="shared" si="134"/>
        <v>2.455E-4</v>
      </c>
      <c r="AK196" s="138">
        <f t="shared" si="135"/>
        <v>2.455E-4</v>
      </c>
      <c r="AL196" s="138">
        <f t="shared" si="136"/>
        <v>2.455E-4</v>
      </c>
      <c r="AM196" s="138">
        <f t="shared" si="137"/>
        <v>2.7737500000000001E-4</v>
      </c>
      <c r="AO196" s="77" t="str">
        <f t="shared" si="94"/>
        <v>DS-6 (DS-3) Temp. Sensitive DS</v>
      </c>
      <c r="AP196" s="78" t="s">
        <v>644</v>
      </c>
      <c r="AQ196" s="77" t="str">
        <f t="shared" si="95"/>
        <v>Electric Environmental Adjustment Rate Zone I</v>
      </c>
      <c r="AR196" s="78" t="str">
        <f t="shared" si="96"/>
        <v>Billing Cycle</v>
      </c>
      <c r="AS196" s="79">
        <f t="shared" si="97"/>
        <v>8</v>
      </c>
      <c r="AT196" s="78">
        <f t="shared" si="98"/>
        <v>0</v>
      </c>
      <c r="AU196" s="78">
        <f t="shared" si="99"/>
        <v>7.0750000000000001E-4</v>
      </c>
      <c r="AV196" s="78">
        <f t="shared" si="100"/>
        <v>7.0750000000000001E-4</v>
      </c>
      <c r="AW196" s="78">
        <f t="shared" si="101"/>
        <v>6.8970000000000001E-4</v>
      </c>
      <c r="AX196" s="78">
        <f t="shared" si="102"/>
        <v>1.875E-4</v>
      </c>
      <c r="AY196" s="78">
        <f t="shared" si="103"/>
        <v>2.1990000000000001E-4</v>
      </c>
      <c r="AZ196" s="78">
        <f t="shared" si="104"/>
        <v>2.207E-4</v>
      </c>
      <c r="BA196" s="78">
        <f t="shared" si="105"/>
        <v>2.3460000000000001E-4</v>
      </c>
      <c r="BB196" s="78">
        <f t="shared" si="106"/>
        <v>2.4560000000000001E-4</v>
      </c>
      <c r="BC196" s="78">
        <f t="shared" si="107"/>
        <v>2.2350000000000001E-4</v>
      </c>
      <c r="BD196" s="78">
        <f t="shared" si="108"/>
        <v>2.455E-4</v>
      </c>
      <c r="BE196" s="78">
        <f t="shared" si="109"/>
        <v>2.455E-4</v>
      </c>
      <c r="BF196" s="78">
        <f t="shared" si="110"/>
        <v>2.455E-4</v>
      </c>
      <c r="BG196" s="78">
        <f t="shared" si="111"/>
        <v>2.455E-4</v>
      </c>
      <c r="BH196" s="78">
        <f t="shared" si="112"/>
        <v>2.455E-4</v>
      </c>
      <c r="BI196" s="78">
        <f t="shared" si="113"/>
        <v>2.455E-4</v>
      </c>
      <c r="BJ196" s="78">
        <f t="shared" si="114"/>
        <v>2.455E-4</v>
      </c>
      <c r="BK196" s="78">
        <f t="shared" si="115"/>
        <v>2.455E-4</v>
      </c>
      <c r="BL196" s="78">
        <f t="shared" si="116"/>
        <v>2.455E-4</v>
      </c>
      <c r="BM196" s="78">
        <f t="shared" si="117"/>
        <v>2.455E-4</v>
      </c>
      <c r="BN196" s="78">
        <f t="shared" si="118"/>
        <v>2.455E-4</v>
      </c>
      <c r="BO196" s="78">
        <f t="shared" si="119"/>
        <v>2.455E-4</v>
      </c>
      <c r="BP196" s="78">
        <f t="shared" si="120"/>
        <v>2.455E-4</v>
      </c>
      <c r="BQ196" s="78">
        <f t="shared" si="121"/>
        <v>2.455E-4</v>
      </c>
      <c r="BR196" s="78">
        <f t="shared" si="122"/>
        <v>2.455E-4</v>
      </c>
      <c r="BS196" s="77"/>
      <c r="BT196" s="77"/>
    </row>
    <row r="197" spans="1:72" ht="14.1" customHeight="1" x14ac:dyDescent="0.2">
      <c r="A197" s="55" t="str">
        <f t="shared" si="93"/>
        <v>DS-6 (DS-4) Temp. Sensitive DS_Electric Environmental Adjustment Rate Zone I</v>
      </c>
      <c r="B197" s="80" t="s">
        <v>645</v>
      </c>
      <c r="C197" s="71" t="s">
        <v>772</v>
      </c>
      <c r="D197" s="150"/>
      <c r="E197" s="81"/>
      <c r="F197" s="73" t="s">
        <v>649</v>
      </c>
      <c r="G197" s="73">
        <v>0</v>
      </c>
      <c r="H197" s="73">
        <v>8</v>
      </c>
      <c r="I197" s="74" t="s">
        <v>773</v>
      </c>
      <c r="J197" s="75" t="s">
        <v>774</v>
      </c>
      <c r="K197" s="74"/>
      <c r="L197" s="82">
        <v>-4.5200000000000001E-5</v>
      </c>
      <c r="M197" s="138">
        <v>2.04E-4</v>
      </c>
      <c r="N197" s="138">
        <v>2.04E-4</v>
      </c>
      <c r="O197" s="138">
        <v>2.075E-4</v>
      </c>
      <c r="P197" s="138">
        <v>6.7500000000000001E-5</v>
      </c>
      <c r="Q197" s="138">
        <v>5.63E-5</v>
      </c>
      <c r="R197" s="138">
        <v>4.5300000000000003E-5</v>
      </c>
      <c r="S197" s="138">
        <v>5.0800000000000002E-5</v>
      </c>
      <c r="T197" s="138">
        <v>5.38E-5</v>
      </c>
      <c r="U197" s="138">
        <v>5.0099999999999998E-5</v>
      </c>
      <c r="V197" s="138">
        <v>6.1699999999999995E-5</v>
      </c>
      <c r="W197" s="138">
        <v>6.1699999999999995E-5</v>
      </c>
      <c r="X197" s="138">
        <v>6.1699999999999995E-5</v>
      </c>
      <c r="Y197" s="138">
        <f t="shared" si="123"/>
        <v>6.1699999999999995E-5</v>
      </c>
      <c r="Z197" s="138">
        <f t="shared" si="124"/>
        <v>6.1699999999999995E-5</v>
      </c>
      <c r="AA197" s="138">
        <f t="shared" si="125"/>
        <v>6.1699999999999995E-5</v>
      </c>
      <c r="AB197" s="138">
        <f t="shared" si="126"/>
        <v>6.1699999999999995E-5</v>
      </c>
      <c r="AC197" s="138">
        <f t="shared" si="127"/>
        <v>6.1699999999999995E-5</v>
      </c>
      <c r="AD197" s="138">
        <f t="shared" si="128"/>
        <v>6.1699999999999995E-5</v>
      </c>
      <c r="AE197" s="138">
        <f t="shared" si="129"/>
        <v>6.1699999999999995E-5</v>
      </c>
      <c r="AF197" s="138">
        <f t="shared" si="130"/>
        <v>6.1699999999999995E-5</v>
      </c>
      <c r="AG197" s="138">
        <f t="shared" si="131"/>
        <v>6.1699999999999995E-5</v>
      </c>
      <c r="AH197" s="138">
        <f t="shared" si="132"/>
        <v>6.1699999999999995E-5</v>
      </c>
      <c r="AI197" s="138">
        <f t="shared" si="133"/>
        <v>6.1699999999999995E-5</v>
      </c>
      <c r="AJ197" s="138">
        <f t="shared" si="134"/>
        <v>6.1699999999999995E-5</v>
      </c>
      <c r="AK197" s="138">
        <f t="shared" si="135"/>
        <v>6.1699999999999995E-5</v>
      </c>
      <c r="AL197" s="138">
        <f t="shared" si="136"/>
        <v>6.1700000000000009E-5</v>
      </c>
      <c r="AM197" s="138">
        <f t="shared" si="137"/>
        <v>7.1770833333333354E-5</v>
      </c>
      <c r="AO197" s="77" t="str">
        <f t="shared" si="94"/>
        <v>DS-6 (DS-4) Temp. Sensitive DS</v>
      </c>
      <c r="AP197" s="78" t="s">
        <v>646</v>
      </c>
      <c r="AQ197" s="77" t="str">
        <f t="shared" si="95"/>
        <v>Electric Environmental Adjustment Rate Zone I</v>
      </c>
      <c r="AR197" s="78" t="str">
        <f t="shared" si="96"/>
        <v>Billing Cycle</v>
      </c>
      <c r="AS197" s="79">
        <f t="shared" si="97"/>
        <v>8</v>
      </c>
      <c r="AT197" s="78">
        <f t="shared" si="98"/>
        <v>0</v>
      </c>
      <c r="AU197" s="78">
        <f t="shared" si="99"/>
        <v>2.04E-4</v>
      </c>
      <c r="AV197" s="78">
        <f t="shared" si="100"/>
        <v>2.04E-4</v>
      </c>
      <c r="AW197" s="78">
        <f t="shared" si="101"/>
        <v>2.075E-4</v>
      </c>
      <c r="AX197" s="78">
        <f t="shared" si="102"/>
        <v>6.7500000000000001E-5</v>
      </c>
      <c r="AY197" s="78">
        <f t="shared" si="103"/>
        <v>5.63E-5</v>
      </c>
      <c r="AZ197" s="78">
        <f t="shared" si="104"/>
        <v>4.5300000000000003E-5</v>
      </c>
      <c r="BA197" s="78">
        <f t="shared" si="105"/>
        <v>5.0800000000000002E-5</v>
      </c>
      <c r="BB197" s="78">
        <f t="shared" si="106"/>
        <v>5.38E-5</v>
      </c>
      <c r="BC197" s="78">
        <f t="shared" si="107"/>
        <v>5.0099999999999998E-5</v>
      </c>
      <c r="BD197" s="78">
        <f t="shared" si="108"/>
        <v>6.1699999999999995E-5</v>
      </c>
      <c r="BE197" s="78">
        <f t="shared" si="109"/>
        <v>6.1699999999999995E-5</v>
      </c>
      <c r="BF197" s="78">
        <f t="shared" si="110"/>
        <v>6.1699999999999995E-5</v>
      </c>
      <c r="BG197" s="78">
        <f t="shared" si="111"/>
        <v>6.1699999999999995E-5</v>
      </c>
      <c r="BH197" s="78">
        <f t="shared" si="112"/>
        <v>6.1699999999999995E-5</v>
      </c>
      <c r="BI197" s="78">
        <f t="shared" si="113"/>
        <v>6.1699999999999995E-5</v>
      </c>
      <c r="BJ197" s="78">
        <f t="shared" si="114"/>
        <v>6.1699999999999995E-5</v>
      </c>
      <c r="BK197" s="78">
        <f t="shared" si="115"/>
        <v>6.1699999999999995E-5</v>
      </c>
      <c r="BL197" s="78">
        <f t="shared" si="116"/>
        <v>6.1699999999999995E-5</v>
      </c>
      <c r="BM197" s="78">
        <f t="shared" si="117"/>
        <v>6.1699999999999995E-5</v>
      </c>
      <c r="BN197" s="78">
        <f t="shared" si="118"/>
        <v>6.1699999999999995E-5</v>
      </c>
      <c r="BO197" s="78">
        <f t="shared" si="119"/>
        <v>6.1699999999999995E-5</v>
      </c>
      <c r="BP197" s="78">
        <f t="shared" si="120"/>
        <v>6.1699999999999995E-5</v>
      </c>
      <c r="BQ197" s="78">
        <f t="shared" si="121"/>
        <v>6.1699999999999995E-5</v>
      </c>
      <c r="BR197" s="78">
        <f t="shared" si="122"/>
        <v>6.1699999999999995E-5</v>
      </c>
      <c r="BS197" s="77"/>
      <c r="BT197" s="77"/>
    </row>
    <row r="198" spans="1:72" ht="14.1" customHeight="1" x14ac:dyDescent="0.2">
      <c r="A198" s="55" t="str">
        <f t="shared" ref="A198:A261" si="138">B198&amp;"_"&amp;C198</f>
        <v>DS-1 (Residential)_Electric Environmental Adjustment Rate Zone III</v>
      </c>
      <c r="B198" s="80" t="s">
        <v>90</v>
      </c>
      <c r="C198" s="71" t="s">
        <v>775</v>
      </c>
      <c r="D198" s="150"/>
      <c r="E198" s="81"/>
      <c r="F198" s="73" t="s">
        <v>649</v>
      </c>
      <c r="G198" s="73">
        <v>0</v>
      </c>
      <c r="H198" s="73">
        <v>8</v>
      </c>
      <c r="I198" s="74" t="s">
        <v>773</v>
      </c>
      <c r="J198" s="75" t="s">
        <v>774</v>
      </c>
      <c r="K198" s="74"/>
      <c r="L198" s="82">
        <v>1.5721999999999999E-3</v>
      </c>
      <c r="M198" s="138">
        <v>2.173E-4</v>
      </c>
      <c r="N198" s="138">
        <v>2.173E-4</v>
      </c>
      <c r="O198" s="138">
        <v>2.028E-4</v>
      </c>
      <c r="P198" s="138">
        <v>7.7789999999999999E-4</v>
      </c>
      <c r="Q198" s="138">
        <v>7.8140000000000002E-4</v>
      </c>
      <c r="R198" s="138">
        <v>8.1800000000000004E-4</v>
      </c>
      <c r="S198" s="138">
        <v>7.6360000000000002E-4</v>
      </c>
      <c r="T198" s="138">
        <v>7.5779999999999999E-4</v>
      </c>
      <c r="U198" s="138">
        <v>7.1980000000000004E-4</v>
      </c>
      <c r="V198" s="138">
        <v>7.7559999999999999E-4</v>
      </c>
      <c r="W198" s="138">
        <v>7.7559999999999999E-4</v>
      </c>
      <c r="X198" s="138">
        <v>7.7559999999999999E-4</v>
      </c>
      <c r="Y198" s="138">
        <f t="shared" si="123"/>
        <v>7.7559999999999999E-4</v>
      </c>
      <c r="Z198" s="138">
        <f t="shared" si="124"/>
        <v>7.7559999999999999E-4</v>
      </c>
      <c r="AA198" s="138">
        <f t="shared" si="125"/>
        <v>7.7559999999999999E-4</v>
      </c>
      <c r="AB198" s="138">
        <f t="shared" si="126"/>
        <v>7.7559999999999999E-4</v>
      </c>
      <c r="AC198" s="138">
        <f t="shared" si="127"/>
        <v>7.7559999999999999E-4</v>
      </c>
      <c r="AD198" s="138">
        <f t="shared" si="128"/>
        <v>7.7559999999999999E-4</v>
      </c>
      <c r="AE198" s="138">
        <f t="shared" si="129"/>
        <v>7.7559999999999999E-4</v>
      </c>
      <c r="AF198" s="138">
        <f t="shared" si="130"/>
        <v>7.7559999999999999E-4</v>
      </c>
      <c r="AG198" s="138">
        <f t="shared" si="131"/>
        <v>7.7559999999999999E-4</v>
      </c>
      <c r="AH198" s="138">
        <f t="shared" si="132"/>
        <v>7.7559999999999999E-4</v>
      </c>
      <c r="AI198" s="138">
        <f t="shared" si="133"/>
        <v>7.7559999999999999E-4</v>
      </c>
      <c r="AJ198" s="138">
        <f t="shared" si="134"/>
        <v>7.7559999999999999E-4</v>
      </c>
      <c r="AK198" s="138">
        <f t="shared" si="135"/>
        <v>7.7559999999999999E-4</v>
      </c>
      <c r="AL198" s="138">
        <f t="shared" si="136"/>
        <v>7.7559999999999988E-4</v>
      </c>
      <c r="AM198" s="138">
        <f t="shared" si="137"/>
        <v>7.2700833333333317E-4</v>
      </c>
      <c r="AO198" s="77" t="str">
        <f t="shared" ref="AO198:AO261" si="139">IF(B198="","",B198)</f>
        <v>DS-1 (Residential)</v>
      </c>
      <c r="AP198" s="78" t="s">
        <v>662</v>
      </c>
      <c r="AQ198" s="77" t="str">
        <f t="shared" ref="AQ198:AQ261" si="140">IF(B198="","",C198)</f>
        <v>Electric Environmental Adjustment Rate Zone III</v>
      </c>
      <c r="AR198" s="78" t="str">
        <f t="shared" ref="AR198:AR261" si="141">IF(B198="","",F198)</f>
        <v>Billing Cycle</v>
      </c>
      <c r="AS198" s="79">
        <f t="shared" ref="AS198:AS261" si="142">IF(B198="","",H198)</f>
        <v>8</v>
      </c>
      <c r="AT198" s="78">
        <f t="shared" ref="AT198:AT261" si="143">IF(B198="","",ROUND(L198,$H$6))</f>
        <v>0</v>
      </c>
      <c r="AU198" s="78">
        <f t="shared" ref="AU198:AU261" si="144">IF($B198="","",ROUND(IF(M198="",AT198,M198),$H198))</f>
        <v>2.173E-4</v>
      </c>
      <c r="AV198" s="78">
        <f t="shared" ref="AV198:AV261" si="145">IF($B198="","",ROUND(IF(N198="",AU198,N198),$H198))</f>
        <v>2.173E-4</v>
      </c>
      <c r="AW198" s="78">
        <f t="shared" ref="AW198:AW261" si="146">IF($B198="","",ROUND(IF(O198="",AV198,O198),$H198))</f>
        <v>2.028E-4</v>
      </c>
      <c r="AX198" s="78">
        <f t="shared" ref="AX198:AX261" si="147">IF($B198="","",ROUND(IF(P198="",AW198,P198),$H198))</f>
        <v>7.7789999999999999E-4</v>
      </c>
      <c r="AY198" s="78">
        <f t="shared" ref="AY198:AY261" si="148">IF($B198="","",ROUND(IF(Q198="",AX198,Q198),$H198))</f>
        <v>7.8140000000000002E-4</v>
      </c>
      <c r="AZ198" s="78">
        <f t="shared" ref="AZ198:AZ261" si="149">IF($B198="","",ROUND(IF(R198="",AY198,R198),$H198))</f>
        <v>8.1800000000000004E-4</v>
      </c>
      <c r="BA198" s="78">
        <f t="shared" ref="BA198:BA261" si="150">IF($B198="","",ROUND(IF(S198="",AZ198,S198),$H198))</f>
        <v>7.6360000000000002E-4</v>
      </c>
      <c r="BB198" s="78">
        <f t="shared" ref="BB198:BB261" si="151">IF($B198="","",ROUND(IF(T198="",BA198,T198),$H198))</f>
        <v>7.5779999999999999E-4</v>
      </c>
      <c r="BC198" s="78">
        <f t="shared" ref="BC198:BC261" si="152">IF($B198="","",ROUND(IF(U198="",BB198,U198),$H198))</f>
        <v>7.1980000000000004E-4</v>
      </c>
      <c r="BD198" s="78">
        <f t="shared" ref="BD198:BD261" si="153">IF($B198="","",ROUND(IF(V198="",BC198,V198),$H198))</f>
        <v>7.7559999999999999E-4</v>
      </c>
      <c r="BE198" s="78">
        <f t="shared" ref="BE198:BE261" si="154">IF($B198="","",ROUND(IF(W198="",BD198,W198),$H198))</f>
        <v>7.7559999999999999E-4</v>
      </c>
      <c r="BF198" s="78">
        <f t="shared" ref="BF198:BF261" si="155">IF($B198="","",ROUND(IF(X198="",BE198,X198),$H198))</f>
        <v>7.7559999999999999E-4</v>
      </c>
      <c r="BG198" s="78">
        <f t="shared" ref="BG198:BG261" si="156">IF($B198="","",ROUND(IF(Y198="",BF198,Y198),$H198))</f>
        <v>7.7559999999999999E-4</v>
      </c>
      <c r="BH198" s="78">
        <f t="shared" ref="BH198:BH261" si="157">IF($B198="","",ROUND(IF(Z198="",BG198,Z198),$H198))</f>
        <v>7.7559999999999999E-4</v>
      </c>
      <c r="BI198" s="78">
        <f t="shared" ref="BI198:BI261" si="158">IF($B198="","",ROUND(IF(AA198="",BH198,AA198),$H198))</f>
        <v>7.7559999999999999E-4</v>
      </c>
      <c r="BJ198" s="78">
        <f t="shared" ref="BJ198:BJ261" si="159">IF($B198="","",ROUND(IF(AB198="",BI198,AB198),$H198))</f>
        <v>7.7559999999999999E-4</v>
      </c>
      <c r="BK198" s="78">
        <f t="shared" ref="BK198:BK261" si="160">IF($B198="","",ROUND(IF(AC198="",BJ198,AC198),$H198))</f>
        <v>7.7559999999999999E-4</v>
      </c>
      <c r="BL198" s="78">
        <f t="shared" ref="BL198:BL261" si="161">IF($B198="","",ROUND(IF(AD198="",BK198,AD198),$H198))</f>
        <v>7.7559999999999999E-4</v>
      </c>
      <c r="BM198" s="78">
        <f t="shared" ref="BM198:BM261" si="162">IF($B198="","",ROUND(IF(AE198="",BL198,AE198),$H198))</f>
        <v>7.7559999999999999E-4</v>
      </c>
      <c r="BN198" s="78">
        <f t="shared" ref="BN198:BN261" si="163">IF($B198="","",ROUND(IF(AF198="",BM198,AF198),$H198))</f>
        <v>7.7559999999999999E-4</v>
      </c>
      <c r="BO198" s="78">
        <f t="shared" ref="BO198:BO261" si="164">IF($B198="","",ROUND(IF(AG198="",BN198,AG198),$H198))</f>
        <v>7.7559999999999999E-4</v>
      </c>
      <c r="BP198" s="78">
        <f t="shared" ref="BP198:BP261" si="165">IF($B198="","",ROUND(IF(AH198="",BO198,AH198),$H198))</f>
        <v>7.7559999999999999E-4</v>
      </c>
      <c r="BQ198" s="78">
        <f t="shared" ref="BQ198:BQ261" si="166">IF($B198="","",ROUND(IF(AI198="",BP198,AI198),$H198))</f>
        <v>7.7559999999999999E-4</v>
      </c>
      <c r="BR198" s="78">
        <f t="shared" ref="BR198:BR261" si="167">IF($B198="","",ROUND(IF(AJ198="",BQ198,AJ198),$H198))</f>
        <v>7.7559999999999999E-4</v>
      </c>
      <c r="BS198" s="77"/>
      <c r="BT198" s="77"/>
    </row>
    <row r="199" spans="1:72" ht="14.1" customHeight="1" x14ac:dyDescent="0.2">
      <c r="A199" s="55" t="str">
        <f t="shared" si="138"/>
        <v>DS-2 (Small General Service)_Electric Environmental Adjustment Rate Zone III</v>
      </c>
      <c r="B199" s="80" t="s">
        <v>665</v>
      </c>
      <c r="C199" s="71" t="s">
        <v>775</v>
      </c>
      <c r="D199" s="150"/>
      <c r="E199" s="81"/>
      <c r="F199" s="73" t="s">
        <v>649</v>
      </c>
      <c r="G199" s="73">
        <v>0</v>
      </c>
      <c r="H199" s="73">
        <v>8</v>
      </c>
      <c r="I199" s="74" t="s">
        <v>773</v>
      </c>
      <c r="J199" s="75" t="s">
        <v>774</v>
      </c>
      <c r="K199" s="74"/>
      <c r="L199" s="82">
        <v>1.1544999999999999E-3</v>
      </c>
      <c r="M199" s="138">
        <v>1.5909999999999999E-4</v>
      </c>
      <c r="N199" s="138">
        <v>1.5909999999999999E-4</v>
      </c>
      <c r="O199" s="138">
        <v>1.5330000000000001E-4</v>
      </c>
      <c r="P199" s="138">
        <v>5.8449999999999995E-4</v>
      </c>
      <c r="Q199" s="138">
        <v>5.7180000000000002E-4</v>
      </c>
      <c r="R199" s="138">
        <v>5.4920000000000001E-4</v>
      </c>
      <c r="S199" s="138">
        <v>5.3910000000000004E-4</v>
      </c>
      <c r="T199" s="138">
        <v>5.3240000000000004E-4</v>
      </c>
      <c r="U199" s="138">
        <v>4.8569999999999999E-4</v>
      </c>
      <c r="V199" s="138">
        <v>5.6950000000000002E-4</v>
      </c>
      <c r="W199" s="138">
        <v>5.6950000000000002E-4</v>
      </c>
      <c r="X199" s="138">
        <v>5.6950000000000002E-4</v>
      </c>
      <c r="Y199" s="138">
        <f t="shared" ref="Y199:Y262" si="168">X199</f>
        <v>5.6950000000000002E-4</v>
      </c>
      <c r="Z199" s="138">
        <f t="shared" ref="Z199:Z262" si="169">Y199</f>
        <v>5.6950000000000002E-4</v>
      </c>
      <c r="AA199" s="138">
        <f t="shared" ref="AA199:AA262" si="170">Z199</f>
        <v>5.6950000000000002E-4</v>
      </c>
      <c r="AB199" s="138">
        <f t="shared" ref="AB199:AB262" si="171">AA199</f>
        <v>5.6950000000000002E-4</v>
      </c>
      <c r="AC199" s="138">
        <f t="shared" ref="AC199:AC262" si="172">AB199</f>
        <v>5.6950000000000002E-4</v>
      </c>
      <c r="AD199" s="138">
        <f t="shared" ref="AD199:AD262" si="173">AC199</f>
        <v>5.6950000000000002E-4</v>
      </c>
      <c r="AE199" s="138">
        <f t="shared" ref="AE199:AE262" si="174">AD199</f>
        <v>5.6950000000000002E-4</v>
      </c>
      <c r="AF199" s="138">
        <f t="shared" ref="AF199:AF262" si="175">AE199</f>
        <v>5.6950000000000002E-4</v>
      </c>
      <c r="AG199" s="138">
        <f t="shared" ref="AG199:AG262" si="176">AF199</f>
        <v>5.6950000000000002E-4</v>
      </c>
      <c r="AH199" s="138">
        <f t="shared" ref="AH199:AH262" si="177">AG199</f>
        <v>5.6950000000000002E-4</v>
      </c>
      <c r="AI199" s="138">
        <f t="shared" ref="AI199:AI262" si="178">AH199</f>
        <v>5.6950000000000002E-4</v>
      </c>
      <c r="AJ199" s="138">
        <f t="shared" ref="AJ199:AJ262" si="179">AI199</f>
        <v>5.6950000000000002E-4</v>
      </c>
      <c r="AK199" s="138">
        <f t="shared" ref="AK199:AK262" si="180">AJ199</f>
        <v>5.6950000000000002E-4</v>
      </c>
      <c r="AL199" s="138">
        <f t="shared" ref="AL199:AL262" si="181">AVERAGE(Z199:AK199)</f>
        <v>5.6949999999999991E-4</v>
      </c>
      <c r="AM199" s="138">
        <f t="shared" ref="AM199:AM262" si="182">AVERAGE(N199:AK199)</f>
        <v>5.2862916666666677E-4</v>
      </c>
      <c r="AO199" s="77" t="str">
        <f t="shared" si="139"/>
        <v>DS-2 (Small General Service)</v>
      </c>
      <c r="AP199" s="78" t="s">
        <v>664</v>
      </c>
      <c r="AQ199" s="77" t="str">
        <f t="shared" si="140"/>
        <v>Electric Environmental Adjustment Rate Zone III</v>
      </c>
      <c r="AR199" s="78" t="str">
        <f t="shared" si="141"/>
        <v>Billing Cycle</v>
      </c>
      <c r="AS199" s="79">
        <f t="shared" si="142"/>
        <v>8</v>
      </c>
      <c r="AT199" s="78">
        <f t="shared" si="143"/>
        <v>0</v>
      </c>
      <c r="AU199" s="78">
        <f t="shared" si="144"/>
        <v>1.5909999999999999E-4</v>
      </c>
      <c r="AV199" s="78">
        <f t="shared" si="145"/>
        <v>1.5909999999999999E-4</v>
      </c>
      <c r="AW199" s="78">
        <f t="shared" si="146"/>
        <v>1.5330000000000001E-4</v>
      </c>
      <c r="AX199" s="78">
        <f t="shared" si="147"/>
        <v>5.8449999999999995E-4</v>
      </c>
      <c r="AY199" s="78">
        <f t="shared" si="148"/>
        <v>5.7180000000000002E-4</v>
      </c>
      <c r="AZ199" s="78">
        <f t="shared" si="149"/>
        <v>5.4920000000000001E-4</v>
      </c>
      <c r="BA199" s="78">
        <f t="shared" si="150"/>
        <v>5.3910000000000004E-4</v>
      </c>
      <c r="BB199" s="78">
        <f t="shared" si="151"/>
        <v>5.3240000000000004E-4</v>
      </c>
      <c r="BC199" s="78">
        <f t="shared" si="152"/>
        <v>4.8569999999999999E-4</v>
      </c>
      <c r="BD199" s="78">
        <f t="shared" si="153"/>
        <v>5.6950000000000002E-4</v>
      </c>
      <c r="BE199" s="78">
        <f t="shared" si="154"/>
        <v>5.6950000000000002E-4</v>
      </c>
      <c r="BF199" s="78">
        <f t="shared" si="155"/>
        <v>5.6950000000000002E-4</v>
      </c>
      <c r="BG199" s="78">
        <f t="shared" si="156"/>
        <v>5.6950000000000002E-4</v>
      </c>
      <c r="BH199" s="78">
        <f t="shared" si="157"/>
        <v>5.6950000000000002E-4</v>
      </c>
      <c r="BI199" s="78">
        <f t="shared" si="158"/>
        <v>5.6950000000000002E-4</v>
      </c>
      <c r="BJ199" s="78">
        <f t="shared" si="159"/>
        <v>5.6950000000000002E-4</v>
      </c>
      <c r="BK199" s="78">
        <f t="shared" si="160"/>
        <v>5.6950000000000002E-4</v>
      </c>
      <c r="BL199" s="78">
        <f t="shared" si="161"/>
        <v>5.6950000000000002E-4</v>
      </c>
      <c r="BM199" s="78">
        <f t="shared" si="162"/>
        <v>5.6950000000000002E-4</v>
      </c>
      <c r="BN199" s="78">
        <f t="shared" si="163"/>
        <v>5.6950000000000002E-4</v>
      </c>
      <c r="BO199" s="78">
        <f t="shared" si="164"/>
        <v>5.6950000000000002E-4</v>
      </c>
      <c r="BP199" s="78">
        <f t="shared" si="165"/>
        <v>5.6950000000000002E-4</v>
      </c>
      <c r="BQ199" s="78">
        <f t="shared" si="166"/>
        <v>5.6950000000000002E-4</v>
      </c>
      <c r="BR199" s="78">
        <f t="shared" si="167"/>
        <v>5.6950000000000002E-4</v>
      </c>
      <c r="BS199" s="77"/>
      <c r="BT199" s="77"/>
    </row>
    <row r="200" spans="1:72" ht="14.1" customHeight="1" x14ac:dyDescent="0.2">
      <c r="A200" s="55" t="str">
        <f t="shared" si="138"/>
        <v>DS-3 (General Delivery Service)_Electric Environmental Adjustment Rate Zone III</v>
      </c>
      <c r="B200" s="80" t="s">
        <v>666</v>
      </c>
      <c r="C200" s="71" t="s">
        <v>775</v>
      </c>
      <c r="D200" s="150"/>
      <c r="E200" s="81"/>
      <c r="F200" s="73" t="s">
        <v>649</v>
      </c>
      <c r="G200" s="73">
        <v>0</v>
      </c>
      <c r="H200" s="73">
        <v>8</v>
      </c>
      <c r="I200" s="74" t="s">
        <v>773</v>
      </c>
      <c r="J200" s="75" t="s">
        <v>774</v>
      </c>
      <c r="K200" s="74"/>
      <c r="L200" s="82">
        <v>7.4759999999999996E-4</v>
      </c>
      <c r="M200" s="138">
        <v>1.0170000000000001E-4</v>
      </c>
      <c r="N200" s="138">
        <v>1.0170000000000001E-4</v>
      </c>
      <c r="O200" s="138">
        <v>1.0069999999999999E-4</v>
      </c>
      <c r="P200" s="138">
        <v>3.391E-4</v>
      </c>
      <c r="Q200" s="138">
        <v>3.388E-4</v>
      </c>
      <c r="R200" s="138">
        <v>3.436E-4</v>
      </c>
      <c r="S200" s="138">
        <v>3.6400000000000001E-4</v>
      </c>
      <c r="T200" s="138">
        <v>3.9609999999999998E-4</v>
      </c>
      <c r="U200" s="138">
        <v>3.4380000000000001E-4</v>
      </c>
      <c r="V200" s="138">
        <v>3.724E-4</v>
      </c>
      <c r="W200" s="138">
        <v>3.724E-4</v>
      </c>
      <c r="X200" s="138">
        <v>3.724E-4</v>
      </c>
      <c r="Y200" s="138">
        <f t="shared" si="168"/>
        <v>3.724E-4</v>
      </c>
      <c r="Z200" s="138">
        <f t="shared" si="169"/>
        <v>3.724E-4</v>
      </c>
      <c r="AA200" s="138">
        <f t="shared" si="170"/>
        <v>3.724E-4</v>
      </c>
      <c r="AB200" s="138">
        <f t="shared" si="171"/>
        <v>3.724E-4</v>
      </c>
      <c r="AC200" s="138">
        <f t="shared" si="172"/>
        <v>3.724E-4</v>
      </c>
      <c r="AD200" s="138">
        <f t="shared" si="173"/>
        <v>3.724E-4</v>
      </c>
      <c r="AE200" s="138">
        <f t="shared" si="174"/>
        <v>3.724E-4</v>
      </c>
      <c r="AF200" s="138">
        <f t="shared" si="175"/>
        <v>3.724E-4</v>
      </c>
      <c r="AG200" s="138">
        <f t="shared" si="176"/>
        <v>3.724E-4</v>
      </c>
      <c r="AH200" s="138">
        <f t="shared" si="177"/>
        <v>3.724E-4</v>
      </c>
      <c r="AI200" s="138">
        <f t="shared" si="178"/>
        <v>3.724E-4</v>
      </c>
      <c r="AJ200" s="138">
        <f t="shared" si="179"/>
        <v>3.724E-4</v>
      </c>
      <c r="AK200" s="138">
        <f t="shared" si="180"/>
        <v>3.724E-4</v>
      </c>
      <c r="AL200" s="138">
        <f t="shared" si="181"/>
        <v>3.7240000000000011E-4</v>
      </c>
      <c r="AM200" s="138">
        <f t="shared" si="182"/>
        <v>3.4525833333333341E-4</v>
      </c>
      <c r="AO200" s="77" t="str">
        <f t="shared" si="139"/>
        <v>DS-3 (General Delivery Service)</v>
      </c>
      <c r="AP200" s="78" t="s">
        <v>667</v>
      </c>
      <c r="AQ200" s="77" t="str">
        <f t="shared" si="140"/>
        <v>Electric Environmental Adjustment Rate Zone III</v>
      </c>
      <c r="AR200" s="78" t="str">
        <f t="shared" si="141"/>
        <v>Billing Cycle</v>
      </c>
      <c r="AS200" s="79">
        <f t="shared" si="142"/>
        <v>8</v>
      </c>
      <c r="AT200" s="78">
        <f t="shared" si="143"/>
        <v>0</v>
      </c>
      <c r="AU200" s="78">
        <f t="shared" si="144"/>
        <v>1.0170000000000001E-4</v>
      </c>
      <c r="AV200" s="78">
        <f t="shared" si="145"/>
        <v>1.0170000000000001E-4</v>
      </c>
      <c r="AW200" s="78">
        <f t="shared" si="146"/>
        <v>1.0069999999999999E-4</v>
      </c>
      <c r="AX200" s="78">
        <f t="shared" si="147"/>
        <v>3.391E-4</v>
      </c>
      <c r="AY200" s="78">
        <f t="shared" si="148"/>
        <v>3.388E-4</v>
      </c>
      <c r="AZ200" s="78">
        <f t="shared" si="149"/>
        <v>3.436E-4</v>
      </c>
      <c r="BA200" s="78">
        <f t="shared" si="150"/>
        <v>3.6400000000000001E-4</v>
      </c>
      <c r="BB200" s="78">
        <f t="shared" si="151"/>
        <v>3.9609999999999998E-4</v>
      </c>
      <c r="BC200" s="78">
        <f t="shared" si="152"/>
        <v>3.4380000000000001E-4</v>
      </c>
      <c r="BD200" s="78">
        <f t="shared" si="153"/>
        <v>3.724E-4</v>
      </c>
      <c r="BE200" s="78">
        <f t="shared" si="154"/>
        <v>3.724E-4</v>
      </c>
      <c r="BF200" s="78">
        <f t="shared" si="155"/>
        <v>3.724E-4</v>
      </c>
      <c r="BG200" s="78">
        <f t="shared" si="156"/>
        <v>3.724E-4</v>
      </c>
      <c r="BH200" s="78">
        <f t="shared" si="157"/>
        <v>3.724E-4</v>
      </c>
      <c r="BI200" s="78">
        <f t="shared" si="158"/>
        <v>3.724E-4</v>
      </c>
      <c r="BJ200" s="78">
        <f t="shared" si="159"/>
        <v>3.724E-4</v>
      </c>
      <c r="BK200" s="78">
        <f t="shared" si="160"/>
        <v>3.724E-4</v>
      </c>
      <c r="BL200" s="78">
        <f t="shared" si="161"/>
        <v>3.724E-4</v>
      </c>
      <c r="BM200" s="78">
        <f t="shared" si="162"/>
        <v>3.724E-4</v>
      </c>
      <c r="BN200" s="78">
        <f t="shared" si="163"/>
        <v>3.724E-4</v>
      </c>
      <c r="BO200" s="78">
        <f t="shared" si="164"/>
        <v>3.724E-4</v>
      </c>
      <c r="BP200" s="78">
        <f t="shared" si="165"/>
        <v>3.724E-4</v>
      </c>
      <c r="BQ200" s="78">
        <f t="shared" si="166"/>
        <v>3.724E-4</v>
      </c>
      <c r="BR200" s="78">
        <f t="shared" si="167"/>
        <v>3.724E-4</v>
      </c>
      <c r="BS200" s="77"/>
      <c r="BT200" s="77"/>
    </row>
    <row r="201" spans="1:72" ht="14.1" customHeight="1" x14ac:dyDescent="0.2">
      <c r="A201" s="55" t="str">
        <f t="shared" si="138"/>
        <v>DS-4 (Large General Service)_Electric Environmental Adjustment Rate Zone III</v>
      </c>
      <c r="B201" s="80" t="s">
        <v>639</v>
      </c>
      <c r="C201" s="71" t="s">
        <v>775</v>
      </c>
      <c r="D201" s="150"/>
      <c r="E201" s="81"/>
      <c r="F201" s="73" t="s">
        <v>649</v>
      </c>
      <c r="G201" s="73">
        <v>0</v>
      </c>
      <c r="H201" s="73">
        <v>8</v>
      </c>
      <c r="I201" s="74" t="s">
        <v>773</v>
      </c>
      <c r="J201" s="75" t="s">
        <v>774</v>
      </c>
      <c r="K201" s="74"/>
      <c r="L201" s="82">
        <v>2.441E-4</v>
      </c>
      <c r="M201" s="138">
        <v>3.1600000000000002E-5</v>
      </c>
      <c r="N201" s="138">
        <v>3.1600000000000002E-5</v>
      </c>
      <c r="O201" s="138">
        <v>2.0299999999999999E-5</v>
      </c>
      <c r="P201" s="138">
        <v>6.5400000000000004E-5</v>
      </c>
      <c r="Q201" s="138">
        <v>7.8300000000000006E-5</v>
      </c>
      <c r="R201" s="138">
        <v>9.4199999999999999E-5</v>
      </c>
      <c r="S201" s="138">
        <v>1.065E-4</v>
      </c>
      <c r="T201" s="138">
        <v>1.102E-4</v>
      </c>
      <c r="U201" s="138">
        <v>1.167E-4</v>
      </c>
      <c r="V201" s="138">
        <v>1.2120000000000001E-4</v>
      </c>
      <c r="W201" s="138">
        <v>1.2120000000000001E-4</v>
      </c>
      <c r="X201" s="138">
        <v>1.2120000000000001E-4</v>
      </c>
      <c r="Y201" s="138">
        <f t="shared" si="168"/>
        <v>1.2120000000000001E-4</v>
      </c>
      <c r="Z201" s="138">
        <f t="shared" si="169"/>
        <v>1.2120000000000001E-4</v>
      </c>
      <c r="AA201" s="138">
        <f t="shared" si="170"/>
        <v>1.2120000000000001E-4</v>
      </c>
      <c r="AB201" s="138">
        <f t="shared" si="171"/>
        <v>1.2120000000000001E-4</v>
      </c>
      <c r="AC201" s="138">
        <f t="shared" si="172"/>
        <v>1.2120000000000001E-4</v>
      </c>
      <c r="AD201" s="138">
        <f t="shared" si="173"/>
        <v>1.2120000000000001E-4</v>
      </c>
      <c r="AE201" s="138">
        <f t="shared" si="174"/>
        <v>1.2120000000000001E-4</v>
      </c>
      <c r="AF201" s="138">
        <f t="shared" si="175"/>
        <v>1.2120000000000001E-4</v>
      </c>
      <c r="AG201" s="138">
        <f t="shared" si="176"/>
        <v>1.2120000000000001E-4</v>
      </c>
      <c r="AH201" s="138">
        <f t="shared" si="177"/>
        <v>1.2120000000000001E-4</v>
      </c>
      <c r="AI201" s="138">
        <f t="shared" si="178"/>
        <v>1.2120000000000001E-4</v>
      </c>
      <c r="AJ201" s="138">
        <f t="shared" si="179"/>
        <v>1.2120000000000001E-4</v>
      </c>
      <c r="AK201" s="138">
        <f t="shared" si="180"/>
        <v>1.2120000000000001E-4</v>
      </c>
      <c r="AL201" s="138">
        <f t="shared" si="181"/>
        <v>1.2119999999999998E-4</v>
      </c>
      <c r="AM201" s="138">
        <f t="shared" si="182"/>
        <v>1.0676666666666666E-4</v>
      </c>
      <c r="AO201" s="77" t="str">
        <f t="shared" si="139"/>
        <v>DS-4 (Large General Service)</v>
      </c>
      <c r="AP201" s="78" t="s">
        <v>642</v>
      </c>
      <c r="AQ201" s="77" t="str">
        <f t="shared" si="140"/>
        <v>Electric Environmental Adjustment Rate Zone III</v>
      </c>
      <c r="AR201" s="78" t="str">
        <f t="shared" si="141"/>
        <v>Billing Cycle</v>
      </c>
      <c r="AS201" s="79">
        <f t="shared" si="142"/>
        <v>8</v>
      </c>
      <c r="AT201" s="78">
        <f t="shared" si="143"/>
        <v>0</v>
      </c>
      <c r="AU201" s="78">
        <f t="shared" si="144"/>
        <v>3.1600000000000002E-5</v>
      </c>
      <c r="AV201" s="78">
        <f t="shared" si="145"/>
        <v>3.1600000000000002E-5</v>
      </c>
      <c r="AW201" s="78">
        <f t="shared" si="146"/>
        <v>2.0299999999999999E-5</v>
      </c>
      <c r="AX201" s="78">
        <f t="shared" si="147"/>
        <v>6.5400000000000004E-5</v>
      </c>
      <c r="AY201" s="78">
        <f t="shared" si="148"/>
        <v>7.8300000000000006E-5</v>
      </c>
      <c r="AZ201" s="78">
        <f t="shared" si="149"/>
        <v>9.4199999999999999E-5</v>
      </c>
      <c r="BA201" s="78">
        <f t="shared" si="150"/>
        <v>1.065E-4</v>
      </c>
      <c r="BB201" s="78">
        <f t="shared" si="151"/>
        <v>1.102E-4</v>
      </c>
      <c r="BC201" s="78">
        <f t="shared" si="152"/>
        <v>1.167E-4</v>
      </c>
      <c r="BD201" s="78">
        <f t="shared" si="153"/>
        <v>1.2120000000000001E-4</v>
      </c>
      <c r="BE201" s="78">
        <f t="shared" si="154"/>
        <v>1.2120000000000001E-4</v>
      </c>
      <c r="BF201" s="78">
        <f t="shared" si="155"/>
        <v>1.2120000000000001E-4</v>
      </c>
      <c r="BG201" s="78">
        <f t="shared" si="156"/>
        <v>1.2120000000000001E-4</v>
      </c>
      <c r="BH201" s="78">
        <f t="shared" si="157"/>
        <v>1.2120000000000001E-4</v>
      </c>
      <c r="BI201" s="78">
        <f t="shared" si="158"/>
        <v>1.2120000000000001E-4</v>
      </c>
      <c r="BJ201" s="78">
        <f t="shared" si="159"/>
        <v>1.2120000000000001E-4</v>
      </c>
      <c r="BK201" s="78">
        <f t="shared" si="160"/>
        <v>1.2120000000000001E-4</v>
      </c>
      <c r="BL201" s="78">
        <f t="shared" si="161"/>
        <v>1.2120000000000001E-4</v>
      </c>
      <c r="BM201" s="78">
        <f t="shared" si="162"/>
        <v>1.2120000000000001E-4</v>
      </c>
      <c r="BN201" s="78">
        <f t="shared" si="163"/>
        <v>1.2120000000000001E-4</v>
      </c>
      <c r="BO201" s="78">
        <f t="shared" si="164"/>
        <v>1.2120000000000001E-4</v>
      </c>
      <c r="BP201" s="78">
        <f t="shared" si="165"/>
        <v>1.2120000000000001E-4</v>
      </c>
      <c r="BQ201" s="78">
        <f t="shared" si="166"/>
        <v>1.2120000000000001E-4</v>
      </c>
      <c r="BR201" s="78">
        <f t="shared" si="167"/>
        <v>1.2120000000000001E-4</v>
      </c>
      <c r="BS201" s="77"/>
      <c r="BT201" s="77"/>
    </row>
    <row r="202" spans="1:72" ht="14.1" customHeight="1" x14ac:dyDescent="0.2">
      <c r="A202" s="55" t="str">
        <f t="shared" si="138"/>
        <v>DS-5 (Lighting Service)_Electric Environmental Adjustment Rate Zone III</v>
      </c>
      <c r="B202" s="80" t="s">
        <v>647</v>
      </c>
      <c r="C202" s="71" t="s">
        <v>775</v>
      </c>
      <c r="D202" s="150"/>
      <c r="E202" s="81"/>
      <c r="F202" s="73" t="s">
        <v>649</v>
      </c>
      <c r="G202" s="73">
        <v>0</v>
      </c>
      <c r="H202" s="73">
        <v>8</v>
      </c>
      <c r="I202" s="74" t="s">
        <v>773</v>
      </c>
      <c r="J202" s="75" t="s">
        <v>774</v>
      </c>
      <c r="K202" s="74"/>
      <c r="L202" s="82">
        <v>2.3492000000000001E-3</v>
      </c>
      <c r="M202" s="138">
        <v>3.7530000000000002E-4</v>
      </c>
      <c r="N202" s="138">
        <v>3.7530000000000002E-4</v>
      </c>
      <c r="O202" s="138">
        <v>3.882E-4</v>
      </c>
      <c r="P202" s="138">
        <v>1.4873E-3</v>
      </c>
      <c r="Q202" s="138">
        <v>1.7668E-3</v>
      </c>
      <c r="R202" s="138">
        <v>1.4533E-3</v>
      </c>
      <c r="S202" s="138">
        <v>1.3439999999999999E-3</v>
      </c>
      <c r="T202" s="138">
        <v>1.2053000000000001E-3</v>
      </c>
      <c r="U202" s="138">
        <v>1.2717E-3</v>
      </c>
      <c r="V202" s="138">
        <v>1.2482999999999999E-3</v>
      </c>
      <c r="W202" s="138">
        <v>1.2482999999999999E-3</v>
      </c>
      <c r="X202" s="138">
        <v>1.2482999999999999E-3</v>
      </c>
      <c r="Y202" s="138">
        <f t="shared" si="168"/>
        <v>1.2482999999999999E-3</v>
      </c>
      <c r="Z202" s="138">
        <f t="shared" si="169"/>
        <v>1.2482999999999999E-3</v>
      </c>
      <c r="AA202" s="138">
        <f t="shared" si="170"/>
        <v>1.2482999999999999E-3</v>
      </c>
      <c r="AB202" s="138">
        <f t="shared" si="171"/>
        <v>1.2482999999999999E-3</v>
      </c>
      <c r="AC202" s="138">
        <f t="shared" si="172"/>
        <v>1.2482999999999999E-3</v>
      </c>
      <c r="AD202" s="138">
        <f t="shared" si="173"/>
        <v>1.2482999999999999E-3</v>
      </c>
      <c r="AE202" s="138">
        <f t="shared" si="174"/>
        <v>1.2482999999999999E-3</v>
      </c>
      <c r="AF202" s="138">
        <f t="shared" si="175"/>
        <v>1.2482999999999999E-3</v>
      </c>
      <c r="AG202" s="138">
        <f t="shared" si="176"/>
        <v>1.2482999999999999E-3</v>
      </c>
      <c r="AH202" s="138">
        <f t="shared" si="177"/>
        <v>1.2482999999999999E-3</v>
      </c>
      <c r="AI202" s="138">
        <f t="shared" si="178"/>
        <v>1.2482999999999999E-3</v>
      </c>
      <c r="AJ202" s="138">
        <f t="shared" si="179"/>
        <v>1.2482999999999999E-3</v>
      </c>
      <c r="AK202" s="138">
        <f t="shared" si="180"/>
        <v>1.2482999999999999E-3</v>
      </c>
      <c r="AL202" s="138">
        <f t="shared" si="181"/>
        <v>1.2483000000000001E-3</v>
      </c>
      <c r="AM202" s="138">
        <f t="shared" si="182"/>
        <v>1.2193625000000005E-3</v>
      </c>
      <c r="AO202" s="77" t="str">
        <f t="shared" si="139"/>
        <v>DS-5 (Lighting Service)</v>
      </c>
      <c r="AP202" s="78" t="s">
        <v>650</v>
      </c>
      <c r="AQ202" s="77" t="str">
        <f t="shared" si="140"/>
        <v>Electric Environmental Adjustment Rate Zone III</v>
      </c>
      <c r="AR202" s="78" t="str">
        <f t="shared" si="141"/>
        <v>Billing Cycle</v>
      </c>
      <c r="AS202" s="79">
        <f t="shared" si="142"/>
        <v>8</v>
      </c>
      <c r="AT202" s="78">
        <f t="shared" si="143"/>
        <v>0</v>
      </c>
      <c r="AU202" s="78">
        <f t="shared" si="144"/>
        <v>3.7530000000000002E-4</v>
      </c>
      <c r="AV202" s="78">
        <f t="shared" si="145"/>
        <v>3.7530000000000002E-4</v>
      </c>
      <c r="AW202" s="78">
        <f t="shared" si="146"/>
        <v>3.882E-4</v>
      </c>
      <c r="AX202" s="78">
        <f t="shared" si="147"/>
        <v>1.4873E-3</v>
      </c>
      <c r="AY202" s="78">
        <f t="shared" si="148"/>
        <v>1.7668E-3</v>
      </c>
      <c r="AZ202" s="78">
        <f t="shared" si="149"/>
        <v>1.4533E-3</v>
      </c>
      <c r="BA202" s="78">
        <f t="shared" si="150"/>
        <v>1.3439999999999999E-3</v>
      </c>
      <c r="BB202" s="78">
        <f t="shared" si="151"/>
        <v>1.2053000000000001E-3</v>
      </c>
      <c r="BC202" s="78">
        <f t="shared" si="152"/>
        <v>1.2717E-3</v>
      </c>
      <c r="BD202" s="78">
        <f t="shared" si="153"/>
        <v>1.2482999999999999E-3</v>
      </c>
      <c r="BE202" s="78">
        <f t="shared" si="154"/>
        <v>1.2482999999999999E-3</v>
      </c>
      <c r="BF202" s="78">
        <f t="shared" si="155"/>
        <v>1.2482999999999999E-3</v>
      </c>
      <c r="BG202" s="78">
        <f t="shared" si="156"/>
        <v>1.2482999999999999E-3</v>
      </c>
      <c r="BH202" s="78">
        <f t="shared" si="157"/>
        <v>1.2482999999999999E-3</v>
      </c>
      <c r="BI202" s="78">
        <f t="shared" si="158"/>
        <v>1.2482999999999999E-3</v>
      </c>
      <c r="BJ202" s="78">
        <f t="shared" si="159"/>
        <v>1.2482999999999999E-3</v>
      </c>
      <c r="BK202" s="78">
        <f t="shared" si="160"/>
        <v>1.2482999999999999E-3</v>
      </c>
      <c r="BL202" s="78">
        <f t="shared" si="161"/>
        <v>1.2482999999999999E-3</v>
      </c>
      <c r="BM202" s="78">
        <f t="shared" si="162"/>
        <v>1.2482999999999999E-3</v>
      </c>
      <c r="BN202" s="78">
        <f t="shared" si="163"/>
        <v>1.2482999999999999E-3</v>
      </c>
      <c r="BO202" s="78">
        <f t="shared" si="164"/>
        <v>1.2482999999999999E-3</v>
      </c>
      <c r="BP202" s="78">
        <f t="shared" si="165"/>
        <v>1.2482999999999999E-3</v>
      </c>
      <c r="BQ202" s="78">
        <f t="shared" si="166"/>
        <v>1.2482999999999999E-3</v>
      </c>
      <c r="BR202" s="78">
        <f t="shared" si="167"/>
        <v>1.2482999999999999E-3</v>
      </c>
      <c r="BS202" s="77"/>
      <c r="BT202" s="77"/>
    </row>
    <row r="203" spans="1:72" ht="14.1" customHeight="1" x14ac:dyDescent="0.2">
      <c r="A203" s="55" t="str">
        <f t="shared" si="138"/>
        <v>DS-6 (DS-3) Temp. Sensitive DS_Electric Environmental Adjustment Rate Zone III</v>
      </c>
      <c r="B203" s="80" t="s">
        <v>643</v>
      </c>
      <c r="C203" s="71" t="s">
        <v>775</v>
      </c>
      <c r="D203" s="150"/>
      <c r="E203" s="81"/>
      <c r="F203" s="73" t="s">
        <v>649</v>
      </c>
      <c r="G203" s="73">
        <v>0</v>
      </c>
      <c r="H203" s="73">
        <v>8</v>
      </c>
      <c r="I203" s="74" t="s">
        <v>773</v>
      </c>
      <c r="J203" s="75" t="s">
        <v>774</v>
      </c>
      <c r="K203" s="74"/>
      <c r="L203" s="82">
        <v>7.4759999999999996E-4</v>
      </c>
      <c r="M203" s="138">
        <v>1.0170000000000001E-4</v>
      </c>
      <c r="N203" s="138">
        <v>1.0170000000000001E-4</v>
      </c>
      <c r="O203" s="138">
        <v>1.0069999999999999E-4</v>
      </c>
      <c r="P203" s="138">
        <v>3.391E-4</v>
      </c>
      <c r="Q203" s="138">
        <v>3.388E-4</v>
      </c>
      <c r="R203" s="138">
        <v>3.436E-4</v>
      </c>
      <c r="S203" s="138">
        <v>3.6400000000000001E-4</v>
      </c>
      <c r="T203" s="138">
        <v>3.9609999999999998E-4</v>
      </c>
      <c r="U203" s="138">
        <v>3.4380000000000001E-4</v>
      </c>
      <c r="V203" s="138">
        <v>3.724E-4</v>
      </c>
      <c r="W203" s="138">
        <v>3.724E-4</v>
      </c>
      <c r="X203" s="138">
        <v>3.724E-4</v>
      </c>
      <c r="Y203" s="138">
        <f t="shared" si="168"/>
        <v>3.724E-4</v>
      </c>
      <c r="Z203" s="138">
        <f t="shared" si="169"/>
        <v>3.724E-4</v>
      </c>
      <c r="AA203" s="138">
        <f t="shared" si="170"/>
        <v>3.724E-4</v>
      </c>
      <c r="AB203" s="138">
        <f t="shared" si="171"/>
        <v>3.724E-4</v>
      </c>
      <c r="AC203" s="138">
        <f t="shared" si="172"/>
        <v>3.724E-4</v>
      </c>
      <c r="AD203" s="138">
        <f t="shared" si="173"/>
        <v>3.724E-4</v>
      </c>
      <c r="AE203" s="138">
        <f t="shared" si="174"/>
        <v>3.724E-4</v>
      </c>
      <c r="AF203" s="138">
        <f t="shared" si="175"/>
        <v>3.724E-4</v>
      </c>
      <c r="AG203" s="138">
        <f t="shared" si="176"/>
        <v>3.724E-4</v>
      </c>
      <c r="AH203" s="138">
        <f t="shared" si="177"/>
        <v>3.724E-4</v>
      </c>
      <c r="AI203" s="138">
        <f t="shared" si="178"/>
        <v>3.724E-4</v>
      </c>
      <c r="AJ203" s="138">
        <f t="shared" si="179"/>
        <v>3.724E-4</v>
      </c>
      <c r="AK203" s="138">
        <f t="shared" si="180"/>
        <v>3.724E-4</v>
      </c>
      <c r="AL203" s="138">
        <f t="shared" si="181"/>
        <v>3.7240000000000011E-4</v>
      </c>
      <c r="AM203" s="138">
        <f t="shared" si="182"/>
        <v>3.4525833333333341E-4</v>
      </c>
      <c r="AO203" s="77" t="str">
        <f t="shared" si="139"/>
        <v>DS-6 (DS-3) Temp. Sensitive DS</v>
      </c>
      <c r="AP203" s="78" t="s">
        <v>644</v>
      </c>
      <c r="AQ203" s="77" t="str">
        <f t="shared" si="140"/>
        <v>Electric Environmental Adjustment Rate Zone III</v>
      </c>
      <c r="AR203" s="78" t="str">
        <f t="shared" si="141"/>
        <v>Billing Cycle</v>
      </c>
      <c r="AS203" s="79">
        <f t="shared" si="142"/>
        <v>8</v>
      </c>
      <c r="AT203" s="78">
        <f t="shared" si="143"/>
        <v>0</v>
      </c>
      <c r="AU203" s="78">
        <f t="shared" si="144"/>
        <v>1.0170000000000001E-4</v>
      </c>
      <c r="AV203" s="78">
        <f t="shared" si="145"/>
        <v>1.0170000000000001E-4</v>
      </c>
      <c r="AW203" s="78">
        <f t="shared" si="146"/>
        <v>1.0069999999999999E-4</v>
      </c>
      <c r="AX203" s="78">
        <f t="shared" si="147"/>
        <v>3.391E-4</v>
      </c>
      <c r="AY203" s="78">
        <f t="shared" si="148"/>
        <v>3.388E-4</v>
      </c>
      <c r="AZ203" s="78">
        <f t="shared" si="149"/>
        <v>3.436E-4</v>
      </c>
      <c r="BA203" s="78">
        <f t="shared" si="150"/>
        <v>3.6400000000000001E-4</v>
      </c>
      <c r="BB203" s="78">
        <f t="shared" si="151"/>
        <v>3.9609999999999998E-4</v>
      </c>
      <c r="BC203" s="78">
        <f t="shared" si="152"/>
        <v>3.4380000000000001E-4</v>
      </c>
      <c r="BD203" s="78">
        <f t="shared" si="153"/>
        <v>3.724E-4</v>
      </c>
      <c r="BE203" s="78">
        <f t="shared" si="154"/>
        <v>3.724E-4</v>
      </c>
      <c r="BF203" s="78">
        <f t="shared" si="155"/>
        <v>3.724E-4</v>
      </c>
      <c r="BG203" s="78">
        <f t="shared" si="156"/>
        <v>3.724E-4</v>
      </c>
      <c r="BH203" s="78">
        <f t="shared" si="157"/>
        <v>3.724E-4</v>
      </c>
      <c r="BI203" s="78">
        <f t="shared" si="158"/>
        <v>3.724E-4</v>
      </c>
      <c r="BJ203" s="78">
        <f t="shared" si="159"/>
        <v>3.724E-4</v>
      </c>
      <c r="BK203" s="78">
        <f t="shared" si="160"/>
        <v>3.724E-4</v>
      </c>
      <c r="BL203" s="78">
        <f t="shared" si="161"/>
        <v>3.724E-4</v>
      </c>
      <c r="BM203" s="78">
        <f t="shared" si="162"/>
        <v>3.724E-4</v>
      </c>
      <c r="BN203" s="78">
        <f t="shared" si="163"/>
        <v>3.724E-4</v>
      </c>
      <c r="BO203" s="78">
        <f t="shared" si="164"/>
        <v>3.724E-4</v>
      </c>
      <c r="BP203" s="78">
        <f t="shared" si="165"/>
        <v>3.724E-4</v>
      </c>
      <c r="BQ203" s="78">
        <f t="shared" si="166"/>
        <v>3.724E-4</v>
      </c>
      <c r="BR203" s="78">
        <f t="shared" si="167"/>
        <v>3.724E-4</v>
      </c>
      <c r="BS203" s="77"/>
      <c r="BT203" s="77"/>
    </row>
    <row r="204" spans="1:72" ht="14.1" customHeight="1" x14ac:dyDescent="0.2">
      <c r="A204" s="55" t="str">
        <f t="shared" si="138"/>
        <v>DS-6 (DS-4) Temp. Sensitive DS_Electric Environmental Adjustment Rate Zone III</v>
      </c>
      <c r="B204" s="80" t="s">
        <v>645</v>
      </c>
      <c r="C204" s="71" t="s">
        <v>775</v>
      </c>
      <c r="D204" s="150"/>
      <c r="E204" s="81"/>
      <c r="F204" s="73" t="s">
        <v>649</v>
      </c>
      <c r="G204" s="73">
        <v>0</v>
      </c>
      <c r="H204" s="73">
        <v>8</v>
      </c>
      <c r="I204" s="74" t="s">
        <v>773</v>
      </c>
      <c r="J204" s="75" t="s">
        <v>774</v>
      </c>
      <c r="K204" s="74"/>
      <c r="L204" s="82">
        <v>2.441E-4</v>
      </c>
      <c r="M204" s="138">
        <v>3.1600000000000002E-5</v>
      </c>
      <c r="N204" s="138">
        <v>3.1600000000000002E-5</v>
      </c>
      <c r="O204" s="138">
        <v>2.0299999999999999E-5</v>
      </c>
      <c r="P204" s="138">
        <v>6.5400000000000004E-5</v>
      </c>
      <c r="Q204" s="138">
        <v>7.8300000000000006E-5</v>
      </c>
      <c r="R204" s="138">
        <v>9.4199999999999999E-5</v>
      </c>
      <c r="S204" s="138">
        <v>1.065E-4</v>
      </c>
      <c r="T204" s="138">
        <v>1.102E-4</v>
      </c>
      <c r="U204" s="138">
        <v>1.167E-4</v>
      </c>
      <c r="V204" s="138">
        <v>1.2120000000000001E-4</v>
      </c>
      <c r="W204" s="138">
        <v>1.2120000000000001E-4</v>
      </c>
      <c r="X204" s="138">
        <v>1.2120000000000001E-4</v>
      </c>
      <c r="Y204" s="138">
        <f t="shared" si="168"/>
        <v>1.2120000000000001E-4</v>
      </c>
      <c r="Z204" s="138">
        <f t="shared" si="169"/>
        <v>1.2120000000000001E-4</v>
      </c>
      <c r="AA204" s="138">
        <f t="shared" si="170"/>
        <v>1.2120000000000001E-4</v>
      </c>
      <c r="AB204" s="138">
        <f t="shared" si="171"/>
        <v>1.2120000000000001E-4</v>
      </c>
      <c r="AC204" s="138">
        <f t="shared" si="172"/>
        <v>1.2120000000000001E-4</v>
      </c>
      <c r="AD204" s="138">
        <f t="shared" si="173"/>
        <v>1.2120000000000001E-4</v>
      </c>
      <c r="AE204" s="138">
        <f t="shared" si="174"/>
        <v>1.2120000000000001E-4</v>
      </c>
      <c r="AF204" s="138">
        <f t="shared" si="175"/>
        <v>1.2120000000000001E-4</v>
      </c>
      <c r="AG204" s="138">
        <f t="shared" si="176"/>
        <v>1.2120000000000001E-4</v>
      </c>
      <c r="AH204" s="138">
        <f t="shared" si="177"/>
        <v>1.2120000000000001E-4</v>
      </c>
      <c r="AI204" s="138">
        <f t="shared" si="178"/>
        <v>1.2120000000000001E-4</v>
      </c>
      <c r="AJ204" s="138">
        <f t="shared" si="179"/>
        <v>1.2120000000000001E-4</v>
      </c>
      <c r="AK204" s="138">
        <f t="shared" si="180"/>
        <v>1.2120000000000001E-4</v>
      </c>
      <c r="AL204" s="138">
        <f t="shared" si="181"/>
        <v>1.2119999999999998E-4</v>
      </c>
      <c r="AM204" s="138">
        <f t="shared" si="182"/>
        <v>1.0676666666666666E-4</v>
      </c>
      <c r="AO204" s="77" t="str">
        <f t="shared" si="139"/>
        <v>DS-6 (DS-4) Temp. Sensitive DS</v>
      </c>
      <c r="AP204" s="78" t="s">
        <v>646</v>
      </c>
      <c r="AQ204" s="77" t="str">
        <f t="shared" si="140"/>
        <v>Electric Environmental Adjustment Rate Zone III</v>
      </c>
      <c r="AR204" s="78" t="str">
        <f t="shared" si="141"/>
        <v>Billing Cycle</v>
      </c>
      <c r="AS204" s="79">
        <f t="shared" si="142"/>
        <v>8</v>
      </c>
      <c r="AT204" s="78">
        <f t="shared" si="143"/>
        <v>0</v>
      </c>
      <c r="AU204" s="78">
        <f t="shared" si="144"/>
        <v>3.1600000000000002E-5</v>
      </c>
      <c r="AV204" s="78">
        <f t="shared" si="145"/>
        <v>3.1600000000000002E-5</v>
      </c>
      <c r="AW204" s="78">
        <f t="shared" si="146"/>
        <v>2.0299999999999999E-5</v>
      </c>
      <c r="AX204" s="78">
        <f t="shared" si="147"/>
        <v>6.5400000000000004E-5</v>
      </c>
      <c r="AY204" s="78">
        <f t="shared" si="148"/>
        <v>7.8300000000000006E-5</v>
      </c>
      <c r="AZ204" s="78">
        <f t="shared" si="149"/>
        <v>9.4199999999999999E-5</v>
      </c>
      <c r="BA204" s="78">
        <f t="shared" si="150"/>
        <v>1.065E-4</v>
      </c>
      <c r="BB204" s="78">
        <f t="shared" si="151"/>
        <v>1.102E-4</v>
      </c>
      <c r="BC204" s="78">
        <f t="shared" si="152"/>
        <v>1.167E-4</v>
      </c>
      <c r="BD204" s="78">
        <f t="shared" si="153"/>
        <v>1.2120000000000001E-4</v>
      </c>
      <c r="BE204" s="78">
        <f t="shared" si="154"/>
        <v>1.2120000000000001E-4</v>
      </c>
      <c r="BF204" s="78">
        <f t="shared" si="155"/>
        <v>1.2120000000000001E-4</v>
      </c>
      <c r="BG204" s="78">
        <f t="shared" si="156"/>
        <v>1.2120000000000001E-4</v>
      </c>
      <c r="BH204" s="78">
        <f t="shared" si="157"/>
        <v>1.2120000000000001E-4</v>
      </c>
      <c r="BI204" s="78">
        <f t="shared" si="158"/>
        <v>1.2120000000000001E-4</v>
      </c>
      <c r="BJ204" s="78">
        <f t="shared" si="159"/>
        <v>1.2120000000000001E-4</v>
      </c>
      <c r="BK204" s="78">
        <f t="shared" si="160"/>
        <v>1.2120000000000001E-4</v>
      </c>
      <c r="BL204" s="78">
        <f t="shared" si="161"/>
        <v>1.2120000000000001E-4</v>
      </c>
      <c r="BM204" s="78">
        <f t="shared" si="162"/>
        <v>1.2120000000000001E-4</v>
      </c>
      <c r="BN204" s="78">
        <f t="shared" si="163"/>
        <v>1.2120000000000001E-4</v>
      </c>
      <c r="BO204" s="78">
        <f t="shared" si="164"/>
        <v>1.2120000000000001E-4</v>
      </c>
      <c r="BP204" s="78">
        <f t="shared" si="165"/>
        <v>1.2120000000000001E-4</v>
      </c>
      <c r="BQ204" s="78">
        <f t="shared" si="166"/>
        <v>1.2120000000000001E-4</v>
      </c>
      <c r="BR204" s="78">
        <f t="shared" si="167"/>
        <v>1.2120000000000001E-4</v>
      </c>
      <c r="BS204" s="77"/>
      <c r="BT204" s="77"/>
    </row>
    <row r="205" spans="1:72" ht="14.1" customHeight="1" x14ac:dyDescent="0.2">
      <c r="A205" s="55" t="str">
        <f t="shared" si="138"/>
        <v>DS-1 (Residential)_Energy Assistance Adder Charge</v>
      </c>
      <c r="B205" s="80" t="s">
        <v>90</v>
      </c>
      <c r="C205" s="83" t="s">
        <v>776</v>
      </c>
      <c r="D205" s="150" t="s">
        <v>557</v>
      </c>
      <c r="E205" s="81"/>
      <c r="F205" s="73" t="s">
        <v>649</v>
      </c>
      <c r="G205" s="73">
        <v>0</v>
      </c>
      <c r="H205" s="73">
        <v>6</v>
      </c>
      <c r="I205" s="74" t="s">
        <v>641</v>
      </c>
      <c r="J205" s="75" t="s">
        <v>634</v>
      </c>
      <c r="K205" s="74"/>
      <c r="L205" s="82">
        <v>0</v>
      </c>
      <c r="M205" s="138">
        <v>0</v>
      </c>
      <c r="N205" s="138">
        <v>0</v>
      </c>
      <c r="O205" s="138">
        <v>0</v>
      </c>
      <c r="P205" s="138">
        <v>0</v>
      </c>
      <c r="Q205" s="138">
        <v>0</v>
      </c>
      <c r="R205" s="138">
        <v>0</v>
      </c>
      <c r="S205" s="138">
        <v>0</v>
      </c>
      <c r="T205" s="138">
        <v>0</v>
      </c>
      <c r="U205" s="138">
        <v>0</v>
      </c>
      <c r="V205" s="138">
        <v>0</v>
      </c>
      <c r="W205" s="138">
        <v>0</v>
      </c>
      <c r="X205" s="138">
        <v>0</v>
      </c>
      <c r="Y205" s="138">
        <f t="shared" si="168"/>
        <v>0</v>
      </c>
      <c r="Z205" s="138">
        <f t="shared" si="169"/>
        <v>0</v>
      </c>
      <c r="AA205" s="138">
        <f t="shared" si="170"/>
        <v>0</v>
      </c>
      <c r="AB205" s="138">
        <f t="shared" si="171"/>
        <v>0</v>
      </c>
      <c r="AC205" s="138">
        <f t="shared" si="172"/>
        <v>0</v>
      </c>
      <c r="AD205" s="138">
        <f t="shared" si="173"/>
        <v>0</v>
      </c>
      <c r="AE205" s="138">
        <f t="shared" si="174"/>
        <v>0</v>
      </c>
      <c r="AF205" s="138">
        <f t="shared" si="175"/>
        <v>0</v>
      </c>
      <c r="AG205" s="138">
        <f t="shared" si="176"/>
        <v>0</v>
      </c>
      <c r="AH205" s="138">
        <f t="shared" si="177"/>
        <v>0</v>
      </c>
      <c r="AI205" s="138">
        <f t="shared" si="178"/>
        <v>0</v>
      </c>
      <c r="AJ205" s="138">
        <f t="shared" si="179"/>
        <v>0</v>
      </c>
      <c r="AK205" s="138">
        <f t="shared" si="180"/>
        <v>0</v>
      </c>
      <c r="AL205" s="138">
        <f t="shared" si="181"/>
        <v>0</v>
      </c>
      <c r="AM205" s="138">
        <f t="shared" si="182"/>
        <v>0</v>
      </c>
      <c r="AO205" s="77" t="str">
        <f t="shared" si="139"/>
        <v>DS-1 (Residential)</v>
      </c>
      <c r="AP205" s="78" t="s">
        <v>662</v>
      </c>
      <c r="AQ205" s="77" t="str">
        <f t="shared" si="140"/>
        <v>Energy Assistance Adder Charge</v>
      </c>
      <c r="AR205" s="78" t="str">
        <f t="shared" si="141"/>
        <v>Billing Cycle</v>
      </c>
      <c r="AS205" s="79">
        <f t="shared" si="142"/>
        <v>6</v>
      </c>
      <c r="AT205" s="78">
        <f t="shared" si="143"/>
        <v>0</v>
      </c>
      <c r="AU205" s="78">
        <f t="shared" si="144"/>
        <v>0</v>
      </c>
      <c r="AV205" s="78">
        <f t="shared" si="145"/>
        <v>0</v>
      </c>
      <c r="AW205" s="78">
        <f t="shared" si="146"/>
        <v>0</v>
      </c>
      <c r="AX205" s="78">
        <f t="shared" si="147"/>
        <v>0</v>
      </c>
      <c r="AY205" s="78">
        <f t="shared" si="148"/>
        <v>0</v>
      </c>
      <c r="AZ205" s="78">
        <f t="shared" si="149"/>
        <v>0</v>
      </c>
      <c r="BA205" s="78">
        <f t="shared" si="150"/>
        <v>0</v>
      </c>
      <c r="BB205" s="78">
        <f t="shared" si="151"/>
        <v>0</v>
      </c>
      <c r="BC205" s="78">
        <f t="shared" si="152"/>
        <v>0</v>
      </c>
      <c r="BD205" s="78">
        <f t="shared" si="153"/>
        <v>0</v>
      </c>
      <c r="BE205" s="78">
        <f t="shared" si="154"/>
        <v>0</v>
      </c>
      <c r="BF205" s="78">
        <f t="shared" si="155"/>
        <v>0</v>
      </c>
      <c r="BG205" s="78">
        <f t="shared" si="156"/>
        <v>0</v>
      </c>
      <c r="BH205" s="78">
        <f t="shared" si="157"/>
        <v>0</v>
      </c>
      <c r="BI205" s="78">
        <f t="shared" si="158"/>
        <v>0</v>
      </c>
      <c r="BJ205" s="78">
        <f t="shared" si="159"/>
        <v>0</v>
      </c>
      <c r="BK205" s="78">
        <f t="shared" si="160"/>
        <v>0</v>
      </c>
      <c r="BL205" s="78">
        <f t="shared" si="161"/>
        <v>0</v>
      </c>
      <c r="BM205" s="78">
        <f t="shared" si="162"/>
        <v>0</v>
      </c>
      <c r="BN205" s="78">
        <f t="shared" si="163"/>
        <v>0</v>
      </c>
      <c r="BO205" s="78">
        <f t="shared" si="164"/>
        <v>0</v>
      </c>
      <c r="BP205" s="78">
        <f t="shared" si="165"/>
        <v>0</v>
      </c>
      <c r="BQ205" s="78">
        <f t="shared" si="166"/>
        <v>0</v>
      </c>
      <c r="BR205" s="78">
        <f t="shared" si="167"/>
        <v>0</v>
      </c>
      <c r="BS205" s="77"/>
      <c r="BT205" s="77"/>
    </row>
    <row r="206" spans="1:72" ht="14.1" customHeight="1" x14ac:dyDescent="0.2">
      <c r="A206" s="55" t="str">
        <f t="shared" si="138"/>
        <v>DS-2 (Small General Service)_Energy Assistance Adder Charge</v>
      </c>
      <c r="B206" s="80" t="s">
        <v>665</v>
      </c>
      <c r="C206" s="83" t="s">
        <v>776</v>
      </c>
      <c r="D206" s="150"/>
      <c r="E206" s="81"/>
      <c r="F206" s="73" t="s">
        <v>649</v>
      </c>
      <c r="G206" s="73">
        <v>0</v>
      </c>
      <c r="H206" s="73">
        <v>6</v>
      </c>
      <c r="I206" s="74" t="s">
        <v>641</v>
      </c>
      <c r="J206" s="75" t="s">
        <v>634</v>
      </c>
      <c r="K206" s="74"/>
      <c r="L206" s="82">
        <v>1</v>
      </c>
      <c r="M206" s="138">
        <v>1</v>
      </c>
      <c r="N206" s="138">
        <v>1</v>
      </c>
      <c r="O206" s="138">
        <v>1</v>
      </c>
      <c r="P206" s="138">
        <v>1</v>
      </c>
      <c r="Q206" s="138">
        <v>1</v>
      </c>
      <c r="R206" s="138">
        <v>1</v>
      </c>
      <c r="S206" s="138">
        <v>1</v>
      </c>
      <c r="T206" s="138">
        <v>1</v>
      </c>
      <c r="U206" s="138">
        <v>1</v>
      </c>
      <c r="V206" s="138">
        <v>1</v>
      </c>
      <c r="W206" s="138">
        <v>1</v>
      </c>
      <c r="X206" s="138">
        <v>1</v>
      </c>
      <c r="Y206" s="138">
        <f t="shared" si="168"/>
        <v>1</v>
      </c>
      <c r="Z206" s="138">
        <f t="shared" si="169"/>
        <v>1</v>
      </c>
      <c r="AA206" s="138">
        <f t="shared" si="170"/>
        <v>1</v>
      </c>
      <c r="AB206" s="138">
        <f t="shared" si="171"/>
        <v>1</v>
      </c>
      <c r="AC206" s="138">
        <f t="shared" si="172"/>
        <v>1</v>
      </c>
      <c r="AD206" s="138">
        <f t="shared" si="173"/>
        <v>1</v>
      </c>
      <c r="AE206" s="138">
        <f t="shared" si="174"/>
        <v>1</v>
      </c>
      <c r="AF206" s="138">
        <f t="shared" si="175"/>
        <v>1</v>
      </c>
      <c r="AG206" s="138">
        <f t="shared" si="176"/>
        <v>1</v>
      </c>
      <c r="AH206" s="138">
        <f t="shared" si="177"/>
        <v>1</v>
      </c>
      <c r="AI206" s="138">
        <f t="shared" si="178"/>
        <v>1</v>
      </c>
      <c r="AJ206" s="138">
        <f t="shared" si="179"/>
        <v>1</v>
      </c>
      <c r="AK206" s="138">
        <f t="shared" si="180"/>
        <v>1</v>
      </c>
      <c r="AL206" s="138">
        <f t="shared" si="181"/>
        <v>1</v>
      </c>
      <c r="AM206" s="138">
        <f t="shared" si="182"/>
        <v>1</v>
      </c>
      <c r="AO206" s="77" t="str">
        <f t="shared" si="139"/>
        <v>DS-2 (Small General Service)</v>
      </c>
      <c r="AP206" s="78" t="s">
        <v>664</v>
      </c>
      <c r="AQ206" s="77" t="str">
        <f t="shared" si="140"/>
        <v>Energy Assistance Adder Charge</v>
      </c>
      <c r="AR206" s="78" t="str">
        <f t="shared" si="141"/>
        <v>Billing Cycle</v>
      </c>
      <c r="AS206" s="79">
        <f t="shared" si="142"/>
        <v>6</v>
      </c>
      <c r="AT206" s="78">
        <f t="shared" si="143"/>
        <v>1</v>
      </c>
      <c r="AU206" s="78">
        <f t="shared" si="144"/>
        <v>1</v>
      </c>
      <c r="AV206" s="78">
        <f t="shared" si="145"/>
        <v>1</v>
      </c>
      <c r="AW206" s="78">
        <f t="shared" si="146"/>
        <v>1</v>
      </c>
      <c r="AX206" s="78">
        <f t="shared" si="147"/>
        <v>1</v>
      </c>
      <c r="AY206" s="78">
        <f t="shared" si="148"/>
        <v>1</v>
      </c>
      <c r="AZ206" s="78">
        <f t="shared" si="149"/>
        <v>1</v>
      </c>
      <c r="BA206" s="78">
        <f t="shared" si="150"/>
        <v>1</v>
      </c>
      <c r="BB206" s="78">
        <f t="shared" si="151"/>
        <v>1</v>
      </c>
      <c r="BC206" s="78">
        <f t="shared" si="152"/>
        <v>1</v>
      </c>
      <c r="BD206" s="78">
        <f t="shared" si="153"/>
        <v>1</v>
      </c>
      <c r="BE206" s="78">
        <f t="shared" si="154"/>
        <v>1</v>
      </c>
      <c r="BF206" s="78">
        <f t="shared" si="155"/>
        <v>1</v>
      </c>
      <c r="BG206" s="78">
        <f t="shared" si="156"/>
        <v>1</v>
      </c>
      <c r="BH206" s="78">
        <f t="shared" si="157"/>
        <v>1</v>
      </c>
      <c r="BI206" s="78">
        <f t="shared" si="158"/>
        <v>1</v>
      </c>
      <c r="BJ206" s="78">
        <f t="shared" si="159"/>
        <v>1</v>
      </c>
      <c r="BK206" s="78">
        <f t="shared" si="160"/>
        <v>1</v>
      </c>
      <c r="BL206" s="78">
        <f t="shared" si="161"/>
        <v>1</v>
      </c>
      <c r="BM206" s="78">
        <f t="shared" si="162"/>
        <v>1</v>
      </c>
      <c r="BN206" s="78">
        <f t="shared" si="163"/>
        <v>1</v>
      </c>
      <c r="BO206" s="78">
        <f t="shared" si="164"/>
        <v>1</v>
      </c>
      <c r="BP206" s="78">
        <f t="shared" si="165"/>
        <v>1</v>
      </c>
      <c r="BQ206" s="78">
        <f t="shared" si="166"/>
        <v>1</v>
      </c>
      <c r="BR206" s="78">
        <f t="shared" si="167"/>
        <v>1</v>
      </c>
      <c r="BS206" s="77"/>
      <c r="BT206" s="77"/>
    </row>
    <row r="207" spans="1:72" ht="14.1" customHeight="1" x14ac:dyDescent="0.2">
      <c r="A207" s="55" t="str">
        <f t="shared" si="138"/>
        <v>DS-3 (General Delivery Service)_Energy Assistance Adder Charge</v>
      </c>
      <c r="B207" s="80" t="s">
        <v>666</v>
      </c>
      <c r="C207" s="83" t="s">
        <v>776</v>
      </c>
      <c r="D207" s="150"/>
      <c r="E207" s="81"/>
      <c r="F207" s="73" t="s">
        <v>649</v>
      </c>
      <c r="G207" s="73">
        <v>0</v>
      </c>
      <c r="H207" s="73">
        <v>6</v>
      </c>
      <c r="I207" s="74" t="s">
        <v>641</v>
      </c>
      <c r="J207" s="75" t="s">
        <v>634</v>
      </c>
      <c r="K207" s="74"/>
      <c r="L207" s="82">
        <v>1</v>
      </c>
      <c r="M207" s="138">
        <v>1</v>
      </c>
      <c r="N207" s="138">
        <v>1</v>
      </c>
      <c r="O207" s="138">
        <v>1</v>
      </c>
      <c r="P207" s="138">
        <v>1</v>
      </c>
      <c r="Q207" s="138">
        <v>1</v>
      </c>
      <c r="R207" s="138">
        <v>1</v>
      </c>
      <c r="S207" s="138">
        <v>1</v>
      </c>
      <c r="T207" s="138">
        <v>1</v>
      </c>
      <c r="U207" s="138">
        <v>1</v>
      </c>
      <c r="V207" s="138">
        <v>1</v>
      </c>
      <c r="W207" s="138">
        <v>1</v>
      </c>
      <c r="X207" s="138">
        <v>1</v>
      </c>
      <c r="Y207" s="138">
        <f t="shared" si="168"/>
        <v>1</v>
      </c>
      <c r="Z207" s="138">
        <f t="shared" si="169"/>
        <v>1</v>
      </c>
      <c r="AA207" s="138">
        <f t="shared" si="170"/>
        <v>1</v>
      </c>
      <c r="AB207" s="138">
        <f t="shared" si="171"/>
        <v>1</v>
      </c>
      <c r="AC207" s="138">
        <f t="shared" si="172"/>
        <v>1</v>
      </c>
      <c r="AD207" s="138">
        <f t="shared" si="173"/>
        <v>1</v>
      </c>
      <c r="AE207" s="138">
        <f t="shared" si="174"/>
        <v>1</v>
      </c>
      <c r="AF207" s="138">
        <f t="shared" si="175"/>
        <v>1</v>
      </c>
      <c r="AG207" s="138">
        <f t="shared" si="176"/>
        <v>1</v>
      </c>
      <c r="AH207" s="138">
        <f t="shared" si="177"/>
        <v>1</v>
      </c>
      <c r="AI207" s="138">
        <f t="shared" si="178"/>
        <v>1</v>
      </c>
      <c r="AJ207" s="138">
        <f t="shared" si="179"/>
        <v>1</v>
      </c>
      <c r="AK207" s="138">
        <f t="shared" si="180"/>
        <v>1</v>
      </c>
      <c r="AL207" s="138">
        <f t="shared" si="181"/>
        <v>1</v>
      </c>
      <c r="AM207" s="138">
        <f t="shared" si="182"/>
        <v>1</v>
      </c>
      <c r="AO207" s="77" t="str">
        <f t="shared" si="139"/>
        <v>DS-3 (General Delivery Service)</v>
      </c>
      <c r="AP207" s="78" t="s">
        <v>667</v>
      </c>
      <c r="AQ207" s="77" t="str">
        <f t="shared" si="140"/>
        <v>Energy Assistance Adder Charge</v>
      </c>
      <c r="AR207" s="78" t="str">
        <f t="shared" si="141"/>
        <v>Billing Cycle</v>
      </c>
      <c r="AS207" s="79">
        <f t="shared" si="142"/>
        <v>6</v>
      </c>
      <c r="AT207" s="78">
        <f t="shared" si="143"/>
        <v>1</v>
      </c>
      <c r="AU207" s="78">
        <f t="shared" si="144"/>
        <v>1</v>
      </c>
      <c r="AV207" s="78">
        <f t="shared" si="145"/>
        <v>1</v>
      </c>
      <c r="AW207" s="78">
        <f t="shared" si="146"/>
        <v>1</v>
      </c>
      <c r="AX207" s="78">
        <f t="shared" si="147"/>
        <v>1</v>
      </c>
      <c r="AY207" s="78">
        <f t="shared" si="148"/>
        <v>1</v>
      </c>
      <c r="AZ207" s="78">
        <f t="shared" si="149"/>
        <v>1</v>
      </c>
      <c r="BA207" s="78">
        <f t="shared" si="150"/>
        <v>1</v>
      </c>
      <c r="BB207" s="78">
        <f t="shared" si="151"/>
        <v>1</v>
      </c>
      <c r="BC207" s="78">
        <f t="shared" si="152"/>
        <v>1</v>
      </c>
      <c r="BD207" s="78">
        <f t="shared" si="153"/>
        <v>1</v>
      </c>
      <c r="BE207" s="78">
        <f t="shared" si="154"/>
        <v>1</v>
      </c>
      <c r="BF207" s="78">
        <f t="shared" si="155"/>
        <v>1</v>
      </c>
      <c r="BG207" s="78">
        <f t="shared" si="156"/>
        <v>1</v>
      </c>
      <c r="BH207" s="78">
        <f t="shared" si="157"/>
        <v>1</v>
      </c>
      <c r="BI207" s="78">
        <f t="shared" si="158"/>
        <v>1</v>
      </c>
      <c r="BJ207" s="78">
        <f t="shared" si="159"/>
        <v>1</v>
      </c>
      <c r="BK207" s="78">
        <f t="shared" si="160"/>
        <v>1</v>
      </c>
      <c r="BL207" s="78">
        <f t="shared" si="161"/>
        <v>1</v>
      </c>
      <c r="BM207" s="78">
        <f t="shared" si="162"/>
        <v>1</v>
      </c>
      <c r="BN207" s="78">
        <f t="shared" si="163"/>
        <v>1</v>
      </c>
      <c r="BO207" s="78">
        <f t="shared" si="164"/>
        <v>1</v>
      </c>
      <c r="BP207" s="78">
        <f t="shared" si="165"/>
        <v>1</v>
      </c>
      <c r="BQ207" s="78">
        <f t="shared" si="166"/>
        <v>1</v>
      </c>
      <c r="BR207" s="78">
        <f t="shared" si="167"/>
        <v>1</v>
      </c>
      <c r="BS207" s="77"/>
      <c r="BT207" s="77"/>
    </row>
    <row r="208" spans="1:72" ht="14.1" customHeight="1" x14ac:dyDescent="0.2">
      <c r="A208" s="55" t="str">
        <f t="shared" si="138"/>
        <v>DS-4 (Large General Service)_Energy Assistance Adder Charge</v>
      </c>
      <c r="B208" s="85" t="s">
        <v>639</v>
      </c>
      <c r="C208" s="83" t="s">
        <v>776</v>
      </c>
      <c r="D208" s="150"/>
      <c r="E208" s="81"/>
      <c r="F208" s="73" t="s">
        <v>649</v>
      </c>
      <c r="G208" s="73">
        <v>0</v>
      </c>
      <c r="H208" s="73">
        <v>6</v>
      </c>
      <c r="I208" s="74" t="s">
        <v>641</v>
      </c>
      <c r="J208" s="75" t="s">
        <v>634</v>
      </c>
      <c r="K208" s="74"/>
      <c r="L208" s="82">
        <v>1</v>
      </c>
      <c r="M208" s="138">
        <v>1</v>
      </c>
      <c r="N208" s="138">
        <v>1</v>
      </c>
      <c r="O208" s="138">
        <v>1</v>
      </c>
      <c r="P208" s="138">
        <v>1</v>
      </c>
      <c r="Q208" s="138">
        <v>1</v>
      </c>
      <c r="R208" s="138">
        <v>1</v>
      </c>
      <c r="S208" s="138">
        <v>1</v>
      </c>
      <c r="T208" s="138">
        <v>1</v>
      </c>
      <c r="U208" s="138">
        <v>1</v>
      </c>
      <c r="V208" s="138">
        <v>1</v>
      </c>
      <c r="W208" s="138">
        <v>1</v>
      </c>
      <c r="X208" s="138">
        <v>1</v>
      </c>
      <c r="Y208" s="138">
        <f t="shared" si="168"/>
        <v>1</v>
      </c>
      <c r="Z208" s="138">
        <f t="shared" si="169"/>
        <v>1</v>
      </c>
      <c r="AA208" s="138">
        <f t="shared" si="170"/>
        <v>1</v>
      </c>
      <c r="AB208" s="138">
        <f t="shared" si="171"/>
        <v>1</v>
      </c>
      <c r="AC208" s="138">
        <f t="shared" si="172"/>
        <v>1</v>
      </c>
      <c r="AD208" s="138">
        <f t="shared" si="173"/>
        <v>1</v>
      </c>
      <c r="AE208" s="138">
        <f t="shared" si="174"/>
        <v>1</v>
      </c>
      <c r="AF208" s="138">
        <f t="shared" si="175"/>
        <v>1</v>
      </c>
      <c r="AG208" s="138">
        <f t="shared" si="176"/>
        <v>1</v>
      </c>
      <c r="AH208" s="138">
        <f t="shared" si="177"/>
        <v>1</v>
      </c>
      <c r="AI208" s="138">
        <f t="shared" si="178"/>
        <v>1</v>
      </c>
      <c r="AJ208" s="138">
        <f t="shared" si="179"/>
        <v>1</v>
      </c>
      <c r="AK208" s="138">
        <f t="shared" si="180"/>
        <v>1</v>
      </c>
      <c r="AL208" s="138">
        <f t="shared" si="181"/>
        <v>1</v>
      </c>
      <c r="AM208" s="138">
        <f t="shared" si="182"/>
        <v>1</v>
      </c>
      <c r="AO208" s="77" t="str">
        <f t="shared" si="139"/>
        <v>DS-4 (Large General Service)</v>
      </c>
      <c r="AP208" s="78" t="s">
        <v>642</v>
      </c>
      <c r="AQ208" s="77" t="str">
        <f t="shared" si="140"/>
        <v>Energy Assistance Adder Charge</v>
      </c>
      <c r="AR208" s="78" t="str">
        <f t="shared" si="141"/>
        <v>Billing Cycle</v>
      </c>
      <c r="AS208" s="79">
        <f t="shared" si="142"/>
        <v>6</v>
      </c>
      <c r="AT208" s="78">
        <f t="shared" si="143"/>
        <v>1</v>
      </c>
      <c r="AU208" s="78">
        <f t="shared" si="144"/>
        <v>1</v>
      </c>
      <c r="AV208" s="78">
        <f t="shared" si="145"/>
        <v>1</v>
      </c>
      <c r="AW208" s="78">
        <f t="shared" si="146"/>
        <v>1</v>
      </c>
      <c r="AX208" s="78">
        <f t="shared" si="147"/>
        <v>1</v>
      </c>
      <c r="AY208" s="78">
        <f t="shared" si="148"/>
        <v>1</v>
      </c>
      <c r="AZ208" s="78">
        <f t="shared" si="149"/>
        <v>1</v>
      </c>
      <c r="BA208" s="78">
        <f t="shared" si="150"/>
        <v>1</v>
      </c>
      <c r="BB208" s="78">
        <f t="shared" si="151"/>
        <v>1</v>
      </c>
      <c r="BC208" s="78">
        <f t="shared" si="152"/>
        <v>1</v>
      </c>
      <c r="BD208" s="78">
        <f t="shared" si="153"/>
        <v>1</v>
      </c>
      <c r="BE208" s="78">
        <f t="shared" si="154"/>
        <v>1</v>
      </c>
      <c r="BF208" s="78">
        <f t="shared" si="155"/>
        <v>1</v>
      </c>
      <c r="BG208" s="78">
        <f t="shared" si="156"/>
        <v>1</v>
      </c>
      <c r="BH208" s="78">
        <f t="shared" si="157"/>
        <v>1</v>
      </c>
      <c r="BI208" s="78">
        <f t="shared" si="158"/>
        <v>1</v>
      </c>
      <c r="BJ208" s="78">
        <f t="shared" si="159"/>
        <v>1</v>
      </c>
      <c r="BK208" s="78">
        <f t="shared" si="160"/>
        <v>1</v>
      </c>
      <c r="BL208" s="78">
        <f t="shared" si="161"/>
        <v>1</v>
      </c>
      <c r="BM208" s="78">
        <f t="shared" si="162"/>
        <v>1</v>
      </c>
      <c r="BN208" s="78">
        <f t="shared" si="163"/>
        <v>1</v>
      </c>
      <c r="BO208" s="78">
        <f t="shared" si="164"/>
        <v>1</v>
      </c>
      <c r="BP208" s="78">
        <f t="shared" si="165"/>
        <v>1</v>
      </c>
      <c r="BQ208" s="78">
        <f t="shared" si="166"/>
        <v>1</v>
      </c>
      <c r="BR208" s="78">
        <f t="shared" si="167"/>
        <v>1</v>
      </c>
      <c r="BS208" s="77"/>
      <c r="BT208" s="77"/>
    </row>
    <row r="209" spans="1:72" ht="14.1" customHeight="1" x14ac:dyDescent="0.2">
      <c r="A209" s="55" t="str">
        <f t="shared" si="138"/>
        <v>DS-5 (Lighting Service)_Energy Assistance Adder Charge</v>
      </c>
      <c r="B209" s="85" t="s">
        <v>647</v>
      </c>
      <c r="C209" s="83" t="s">
        <v>776</v>
      </c>
      <c r="D209" s="150"/>
      <c r="E209" s="81"/>
      <c r="F209" s="73" t="s">
        <v>649</v>
      </c>
      <c r="G209" s="73">
        <v>0</v>
      </c>
      <c r="H209" s="73">
        <v>6</v>
      </c>
      <c r="I209" s="74" t="s">
        <v>641</v>
      </c>
      <c r="J209" s="75" t="s">
        <v>634</v>
      </c>
      <c r="K209" s="74"/>
      <c r="L209" s="82">
        <v>1</v>
      </c>
      <c r="M209" s="138">
        <v>1</v>
      </c>
      <c r="N209" s="138">
        <v>1</v>
      </c>
      <c r="O209" s="138">
        <v>1</v>
      </c>
      <c r="P209" s="138">
        <v>1</v>
      </c>
      <c r="Q209" s="138">
        <v>1</v>
      </c>
      <c r="R209" s="138">
        <v>1</v>
      </c>
      <c r="S209" s="138">
        <v>1</v>
      </c>
      <c r="T209" s="138">
        <v>1</v>
      </c>
      <c r="U209" s="138">
        <v>1</v>
      </c>
      <c r="V209" s="138">
        <v>1</v>
      </c>
      <c r="W209" s="138">
        <v>1</v>
      </c>
      <c r="X209" s="138">
        <v>1</v>
      </c>
      <c r="Y209" s="138">
        <f t="shared" si="168"/>
        <v>1</v>
      </c>
      <c r="Z209" s="138">
        <f t="shared" si="169"/>
        <v>1</v>
      </c>
      <c r="AA209" s="138">
        <f t="shared" si="170"/>
        <v>1</v>
      </c>
      <c r="AB209" s="138">
        <f t="shared" si="171"/>
        <v>1</v>
      </c>
      <c r="AC209" s="138">
        <f t="shared" si="172"/>
        <v>1</v>
      </c>
      <c r="AD209" s="138">
        <f t="shared" si="173"/>
        <v>1</v>
      </c>
      <c r="AE209" s="138">
        <f t="shared" si="174"/>
        <v>1</v>
      </c>
      <c r="AF209" s="138">
        <f t="shared" si="175"/>
        <v>1</v>
      </c>
      <c r="AG209" s="138">
        <f t="shared" si="176"/>
        <v>1</v>
      </c>
      <c r="AH209" s="138">
        <f t="shared" si="177"/>
        <v>1</v>
      </c>
      <c r="AI209" s="138">
        <f t="shared" si="178"/>
        <v>1</v>
      </c>
      <c r="AJ209" s="138">
        <f t="shared" si="179"/>
        <v>1</v>
      </c>
      <c r="AK209" s="138">
        <f t="shared" si="180"/>
        <v>1</v>
      </c>
      <c r="AL209" s="138">
        <f t="shared" si="181"/>
        <v>1</v>
      </c>
      <c r="AM209" s="138">
        <f t="shared" si="182"/>
        <v>1</v>
      </c>
      <c r="AO209" s="77" t="str">
        <f t="shared" si="139"/>
        <v>DS-5 (Lighting Service)</v>
      </c>
      <c r="AP209" s="78" t="s">
        <v>650</v>
      </c>
      <c r="AQ209" s="77" t="str">
        <f t="shared" si="140"/>
        <v>Energy Assistance Adder Charge</v>
      </c>
      <c r="AR209" s="78" t="str">
        <f t="shared" si="141"/>
        <v>Billing Cycle</v>
      </c>
      <c r="AS209" s="79">
        <f t="shared" si="142"/>
        <v>6</v>
      </c>
      <c r="AT209" s="78">
        <f t="shared" si="143"/>
        <v>1</v>
      </c>
      <c r="AU209" s="78">
        <f t="shared" si="144"/>
        <v>1</v>
      </c>
      <c r="AV209" s="78">
        <f t="shared" si="145"/>
        <v>1</v>
      </c>
      <c r="AW209" s="78">
        <f t="shared" si="146"/>
        <v>1</v>
      </c>
      <c r="AX209" s="78">
        <f t="shared" si="147"/>
        <v>1</v>
      </c>
      <c r="AY209" s="78">
        <f t="shared" si="148"/>
        <v>1</v>
      </c>
      <c r="AZ209" s="78">
        <f t="shared" si="149"/>
        <v>1</v>
      </c>
      <c r="BA209" s="78">
        <f t="shared" si="150"/>
        <v>1</v>
      </c>
      <c r="BB209" s="78">
        <f t="shared" si="151"/>
        <v>1</v>
      </c>
      <c r="BC209" s="78">
        <f t="shared" si="152"/>
        <v>1</v>
      </c>
      <c r="BD209" s="78">
        <f t="shared" si="153"/>
        <v>1</v>
      </c>
      <c r="BE209" s="78">
        <f t="shared" si="154"/>
        <v>1</v>
      </c>
      <c r="BF209" s="78">
        <f t="shared" si="155"/>
        <v>1</v>
      </c>
      <c r="BG209" s="78">
        <f t="shared" si="156"/>
        <v>1</v>
      </c>
      <c r="BH209" s="78">
        <f t="shared" si="157"/>
        <v>1</v>
      </c>
      <c r="BI209" s="78">
        <f t="shared" si="158"/>
        <v>1</v>
      </c>
      <c r="BJ209" s="78">
        <f t="shared" si="159"/>
        <v>1</v>
      </c>
      <c r="BK209" s="78">
        <f t="shared" si="160"/>
        <v>1</v>
      </c>
      <c r="BL209" s="78">
        <f t="shared" si="161"/>
        <v>1</v>
      </c>
      <c r="BM209" s="78">
        <f t="shared" si="162"/>
        <v>1</v>
      </c>
      <c r="BN209" s="78">
        <f t="shared" si="163"/>
        <v>1</v>
      </c>
      <c r="BO209" s="78">
        <f t="shared" si="164"/>
        <v>1</v>
      </c>
      <c r="BP209" s="78">
        <f t="shared" si="165"/>
        <v>1</v>
      </c>
      <c r="BQ209" s="78">
        <f t="shared" si="166"/>
        <v>1</v>
      </c>
      <c r="BR209" s="78">
        <f t="shared" si="167"/>
        <v>1</v>
      </c>
      <c r="BS209" s="77"/>
      <c r="BT209" s="77"/>
    </row>
    <row r="210" spans="1:72" ht="14.1" customHeight="1" x14ac:dyDescent="0.2">
      <c r="A210" s="55" t="str">
        <f t="shared" si="138"/>
        <v>DS-6 (DS-3) Temp. Sensitive DS_Energy Assistance Adder Charge</v>
      </c>
      <c r="B210" s="80" t="s">
        <v>643</v>
      </c>
      <c r="C210" s="83" t="s">
        <v>776</v>
      </c>
      <c r="D210" s="150"/>
      <c r="E210" s="81"/>
      <c r="F210" s="73" t="s">
        <v>649</v>
      </c>
      <c r="G210" s="73">
        <v>0</v>
      </c>
      <c r="H210" s="73">
        <v>6</v>
      </c>
      <c r="I210" s="74" t="s">
        <v>641</v>
      </c>
      <c r="J210" s="75" t="s">
        <v>634</v>
      </c>
      <c r="K210" s="74"/>
      <c r="L210" s="82">
        <v>1</v>
      </c>
      <c r="M210" s="138">
        <v>1</v>
      </c>
      <c r="N210" s="138">
        <v>1</v>
      </c>
      <c r="O210" s="138">
        <v>1</v>
      </c>
      <c r="P210" s="138">
        <v>1</v>
      </c>
      <c r="Q210" s="138">
        <v>1</v>
      </c>
      <c r="R210" s="138">
        <v>1</v>
      </c>
      <c r="S210" s="138">
        <v>1</v>
      </c>
      <c r="T210" s="138">
        <v>1</v>
      </c>
      <c r="U210" s="138">
        <v>1</v>
      </c>
      <c r="V210" s="138">
        <v>1</v>
      </c>
      <c r="W210" s="138">
        <v>1</v>
      </c>
      <c r="X210" s="138">
        <v>1</v>
      </c>
      <c r="Y210" s="138">
        <f t="shared" si="168"/>
        <v>1</v>
      </c>
      <c r="Z210" s="138">
        <f t="shared" si="169"/>
        <v>1</v>
      </c>
      <c r="AA210" s="138">
        <f t="shared" si="170"/>
        <v>1</v>
      </c>
      <c r="AB210" s="138">
        <f t="shared" si="171"/>
        <v>1</v>
      </c>
      <c r="AC210" s="138">
        <f t="shared" si="172"/>
        <v>1</v>
      </c>
      <c r="AD210" s="138">
        <f t="shared" si="173"/>
        <v>1</v>
      </c>
      <c r="AE210" s="138">
        <f t="shared" si="174"/>
        <v>1</v>
      </c>
      <c r="AF210" s="138">
        <f t="shared" si="175"/>
        <v>1</v>
      </c>
      <c r="AG210" s="138">
        <f t="shared" si="176"/>
        <v>1</v>
      </c>
      <c r="AH210" s="138">
        <f t="shared" si="177"/>
        <v>1</v>
      </c>
      <c r="AI210" s="138">
        <f t="shared" si="178"/>
        <v>1</v>
      </c>
      <c r="AJ210" s="138">
        <f t="shared" si="179"/>
        <v>1</v>
      </c>
      <c r="AK210" s="138">
        <f t="shared" si="180"/>
        <v>1</v>
      </c>
      <c r="AL210" s="138">
        <f t="shared" si="181"/>
        <v>1</v>
      </c>
      <c r="AM210" s="138">
        <f t="shared" si="182"/>
        <v>1</v>
      </c>
      <c r="AO210" s="77" t="str">
        <f t="shared" si="139"/>
        <v>DS-6 (DS-3) Temp. Sensitive DS</v>
      </c>
      <c r="AP210" s="78" t="s">
        <v>644</v>
      </c>
      <c r="AQ210" s="77" t="str">
        <f t="shared" si="140"/>
        <v>Energy Assistance Adder Charge</v>
      </c>
      <c r="AR210" s="78" t="str">
        <f t="shared" si="141"/>
        <v>Billing Cycle</v>
      </c>
      <c r="AS210" s="79">
        <f t="shared" si="142"/>
        <v>6</v>
      </c>
      <c r="AT210" s="78">
        <f t="shared" si="143"/>
        <v>1</v>
      </c>
      <c r="AU210" s="78">
        <f t="shared" si="144"/>
        <v>1</v>
      </c>
      <c r="AV210" s="78">
        <f t="shared" si="145"/>
        <v>1</v>
      </c>
      <c r="AW210" s="78">
        <f t="shared" si="146"/>
        <v>1</v>
      </c>
      <c r="AX210" s="78">
        <f t="shared" si="147"/>
        <v>1</v>
      </c>
      <c r="AY210" s="78">
        <f t="shared" si="148"/>
        <v>1</v>
      </c>
      <c r="AZ210" s="78">
        <f t="shared" si="149"/>
        <v>1</v>
      </c>
      <c r="BA210" s="78">
        <f t="shared" si="150"/>
        <v>1</v>
      </c>
      <c r="BB210" s="78">
        <f t="shared" si="151"/>
        <v>1</v>
      </c>
      <c r="BC210" s="78">
        <f t="shared" si="152"/>
        <v>1</v>
      </c>
      <c r="BD210" s="78">
        <f t="shared" si="153"/>
        <v>1</v>
      </c>
      <c r="BE210" s="78">
        <f t="shared" si="154"/>
        <v>1</v>
      </c>
      <c r="BF210" s="78">
        <f t="shared" si="155"/>
        <v>1</v>
      </c>
      <c r="BG210" s="78">
        <f t="shared" si="156"/>
        <v>1</v>
      </c>
      <c r="BH210" s="78">
        <f t="shared" si="157"/>
        <v>1</v>
      </c>
      <c r="BI210" s="78">
        <f t="shared" si="158"/>
        <v>1</v>
      </c>
      <c r="BJ210" s="78">
        <f t="shared" si="159"/>
        <v>1</v>
      </c>
      <c r="BK210" s="78">
        <f t="shared" si="160"/>
        <v>1</v>
      </c>
      <c r="BL210" s="78">
        <f t="shared" si="161"/>
        <v>1</v>
      </c>
      <c r="BM210" s="78">
        <f t="shared" si="162"/>
        <v>1</v>
      </c>
      <c r="BN210" s="78">
        <f t="shared" si="163"/>
        <v>1</v>
      </c>
      <c r="BO210" s="78">
        <f t="shared" si="164"/>
        <v>1</v>
      </c>
      <c r="BP210" s="78">
        <f t="shared" si="165"/>
        <v>1</v>
      </c>
      <c r="BQ210" s="78">
        <f t="shared" si="166"/>
        <v>1</v>
      </c>
      <c r="BR210" s="78">
        <f t="shared" si="167"/>
        <v>1</v>
      </c>
      <c r="BS210" s="77"/>
      <c r="BT210" s="77"/>
    </row>
    <row r="211" spans="1:72" ht="14.1" customHeight="1" x14ac:dyDescent="0.2">
      <c r="A211" s="55" t="str">
        <f t="shared" si="138"/>
        <v>DS-6 (DS-4) Temp. Sensitive DS_Energy Assistance Adder Charge</v>
      </c>
      <c r="B211" s="80" t="s">
        <v>645</v>
      </c>
      <c r="C211" s="83" t="s">
        <v>776</v>
      </c>
      <c r="D211" s="150"/>
      <c r="E211" s="81"/>
      <c r="F211" s="73" t="s">
        <v>649</v>
      </c>
      <c r="G211" s="73">
        <v>0</v>
      </c>
      <c r="H211" s="73">
        <v>6</v>
      </c>
      <c r="I211" s="74" t="s">
        <v>641</v>
      </c>
      <c r="J211" s="75" t="s">
        <v>634</v>
      </c>
      <c r="K211" s="74"/>
      <c r="L211" s="82">
        <v>1</v>
      </c>
      <c r="M211" s="138">
        <v>1</v>
      </c>
      <c r="N211" s="138">
        <v>1</v>
      </c>
      <c r="O211" s="138">
        <v>1</v>
      </c>
      <c r="P211" s="138">
        <v>1</v>
      </c>
      <c r="Q211" s="138">
        <v>1</v>
      </c>
      <c r="R211" s="138">
        <v>1</v>
      </c>
      <c r="S211" s="138">
        <v>1</v>
      </c>
      <c r="T211" s="138">
        <v>1</v>
      </c>
      <c r="U211" s="138">
        <v>1</v>
      </c>
      <c r="V211" s="138">
        <v>1</v>
      </c>
      <c r="W211" s="138">
        <v>1</v>
      </c>
      <c r="X211" s="138">
        <v>1</v>
      </c>
      <c r="Y211" s="138">
        <f t="shared" si="168"/>
        <v>1</v>
      </c>
      <c r="Z211" s="138">
        <f t="shared" si="169"/>
        <v>1</v>
      </c>
      <c r="AA211" s="138">
        <f t="shared" si="170"/>
        <v>1</v>
      </c>
      <c r="AB211" s="138">
        <f t="shared" si="171"/>
        <v>1</v>
      </c>
      <c r="AC211" s="138">
        <f t="shared" si="172"/>
        <v>1</v>
      </c>
      <c r="AD211" s="138">
        <f t="shared" si="173"/>
        <v>1</v>
      </c>
      <c r="AE211" s="138">
        <f t="shared" si="174"/>
        <v>1</v>
      </c>
      <c r="AF211" s="138">
        <f t="shared" si="175"/>
        <v>1</v>
      </c>
      <c r="AG211" s="138">
        <f t="shared" si="176"/>
        <v>1</v>
      </c>
      <c r="AH211" s="138">
        <f t="shared" si="177"/>
        <v>1</v>
      </c>
      <c r="AI211" s="138">
        <f t="shared" si="178"/>
        <v>1</v>
      </c>
      <c r="AJ211" s="138">
        <f t="shared" si="179"/>
        <v>1</v>
      </c>
      <c r="AK211" s="138">
        <f t="shared" si="180"/>
        <v>1</v>
      </c>
      <c r="AL211" s="138">
        <f t="shared" si="181"/>
        <v>1</v>
      </c>
      <c r="AM211" s="138">
        <f t="shared" si="182"/>
        <v>1</v>
      </c>
      <c r="AO211" s="77" t="str">
        <f t="shared" si="139"/>
        <v>DS-6 (DS-4) Temp. Sensitive DS</v>
      </c>
      <c r="AP211" s="78" t="s">
        <v>646</v>
      </c>
      <c r="AQ211" s="77" t="str">
        <f t="shared" si="140"/>
        <v>Energy Assistance Adder Charge</v>
      </c>
      <c r="AR211" s="78" t="str">
        <f t="shared" si="141"/>
        <v>Billing Cycle</v>
      </c>
      <c r="AS211" s="79">
        <f t="shared" si="142"/>
        <v>6</v>
      </c>
      <c r="AT211" s="78">
        <f t="shared" si="143"/>
        <v>1</v>
      </c>
      <c r="AU211" s="78">
        <f t="shared" si="144"/>
        <v>1</v>
      </c>
      <c r="AV211" s="78">
        <f t="shared" si="145"/>
        <v>1</v>
      </c>
      <c r="AW211" s="78">
        <f t="shared" si="146"/>
        <v>1</v>
      </c>
      <c r="AX211" s="78">
        <f t="shared" si="147"/>
        <v>1</v>
      </c>
      <c r="AY211" s="78">
        <f t="shared" si="148"/>
        <v>1</v>
      </c>
      <c r="AZ211" s="78">
        <f t="shared" si="149"/>
        <v>1</v>
      </c>
      <c r="BA211" s="78">
        <f t="shared" si="150"/>
        <v>1</v>
      </c>
      <c r="BB211" s="78">
        <f t="shared" si="151"/>
        <v>1</v>
      </c>
      <c r="BC211" s="78">
        <f t="shared" si="152"/>
        <v>1</v>
      </c>
      <c r="BD211" s="78">
        <f t="shared" si="153"/>
        <v>1</v>
      </c>
      <c r="BE211" s="78">
        <f t="shared" si="154"/>
        <v>1</v>
      </c>
      <c r="BF211" s="78">
        <f t="shared" si="155"/>
        <v>1</v>
      </c>
      <c r="BG211" s="78">
        <f t="shared" si="156"/>
        <v>1</v>
      </c>
      <c r="BH211" s="78">
        <f t="shared" si="157"/>
        <v>1</v>
      </c>
      <c r="BI211" s="78">
        <f t="shared" si="158"/>
        <v>1</v>
      </c>
      <c r="BJ211" s="78">
        <f t="shared" si="159"/>
        <v>1</v>
      </c>
      <c r="BK211" s="78">
        <f t="shared" si="160"/>
        <v>1</v>
      </c>
      <c r="BL211" s="78">
        <f t="shared" si="161"/>
        <v>1</v>
      </c>
      <c r="BM211" s="78">
        <f t="shared" si="162"/>
        <v>1</v>
      </c>
      <c r="BN211" s="78">
        <f t="shared" si="163"/>
        <v>1</v>
      </c>
      <c r="BO211" s="78">
        <f t="shared" si="164"/>
        <v>1</v>
      </c>
      <c r="BP211" s="78">
        <f t="shared" si="165"/>
        <v>1</v>
      </c>
      <c r="BQ211" s="78">
        <f t="shared" si="166"/>
        <v>1</v>
      </c>
      <c r="BR211" s="78">
        <f t="shared" si="167"/>
        <v>1</v>
      </c>
      <c r="BS211" s="77"/>
      <c r="BT211" s="77"/>
    </row>
    <row r="212" spans="1:72" ht="14.1" customHeight="1" x14ac:dyDescent="0.2">
      <c r="A212" s="55" t="str">
        <f t="shared" si="138"/>
        <v>GDS-1 (Residential)_Energy Assistance Adder Charge</v>
      </c>
      <c r="B212" s="80" t="s">
        <v>95</v>
      </c>
      <c r="C212" s="83" t="s">
        <v>776</v>
      </c>
      <c r="D212" s="150" t="s">
        <v>557</v>
      </c>
      <c r="E212" s="81"/>
      <c r="F212" s="73" t="s">
        <v>649</v>
      </c>
      <c r="G212" s="73">
        <v>0</v>
      </c>
      <c r="H212" s="73">
        <v>6</v>
      </c>
      <c r="I212" s="74" t="s">
        <v>641</v>
      </c>
      <c r="J212" s="75" t="s">
        <v>634</v>
      </c>
      <c r="K212" s="74"/>
      <c r="L212" s="82">
        <v>0</v>
      </c>
      <c r="M212" s="138">
        <v>0</v>
      </c>
      <c r="N212" s="138">
        <v>0</v>
      </c>
      <c r="O212" s="138">
        <v>0</v>
      </c>
      <c r="P212" s="138">
        <v>0</v>
      </c>
      <c r="Q212" s="138">
        <v>0</v>
      </c>
      <c r="R212" s="138">
        <v>0</v>
      </c>
      <c r="S212" s="138">
        <v>0</v>
      </c>
      <c r="T212" s="138">
        <v>0</v>
      </c>
      <c r="U212" s="138">
        <v>0</v>
      </c>
      <c r="V212" s="138">
        <v>0</v>
      </c>
      <c r="W212" s="138">
        <v>0</v>
      </c>
      <c r="X212" s="138">
        <v>0</v>
      </c>
      <c r="Y212" s="138">
        <f t="shared" si="168"/>
        <v>0</v>
      </c>
      <c r="Z212" s="138">
        <f t="shared" si="169"/>
        <v>0</v>
      </c>
      <c r="AA212" s="138">
        <f t="shared" si="170"/>
        <v>0</v>
      </c>
      <c r="AB212" s="138">
        <f t="shared" si="171"/>
        <v>0</v>
      </c>
      <c r="AC212" s="138">
        <f t="shared" si="172"/>
        <v>0</v>
      </c>
      <c r="AD212" s="138">
        <f t="shared" si="173"/>
        <v>0</v>
      </c>
      <c r="AE212" s="138">
        <f t="shared" si="174"/>
        <v>0</v>
      </c>
      <c r="AF212" s="138">
        <f t="shared" si="175"/>
        <v>0</v>
      </c>
      <c r="AG212" s="138">
        <f t="shared" si="176"/>
        <v>0</v>
      </c>
      <c r="AH212" s="138">
        <f t="shared" si="177"/>
        <v>0</v>
      </c>
      <c r="AI212" s="138">
        <f t="shared" si="178"/>
        <v>0</v>
      </c>
      <c r="AJ212" s="138">
        <f t="shared" si="179"/>
        <v>0</v>
      </c>
      <c r="AK212" s="138">
        <f t="shared" si="180"/>
        <v>0</v>
      </c>
      <c r="AL212" s="138">
        <f t="shared" si="181"/>
        <v>0</v>
      </c>
      <c r="AM212" s="138">
        <f t="shared" si="182"/>
        <v>0</v>
      </c>
      <c r="AO212" s="77" t="str">
        <f t="shared" si="139"/>
        <v>GDS-1 (Residential)</v>
      </c>
      <c r="AP212" s="78" t="s">
        <v>668</v>
      </c>
      <c r="AQ212" s="77" t="str">
        <f t="shared" si="140"/>
        <v>Energy Assistance Adder Charge</v>
      </c>
      <c r="AR212" s="78" t="str">
        <f t="shared" si="141"/>
        <v>Billing Cycle</v>
      </c>
      <c r="AS212" s="79">
        <f t="shared" si="142"/>
        <v>6</v>
      </c>
      <c r="AT212" s="78">
        <f t="shared" si="143"/>
        <v>0</v>
      </c>
      <c r="AU212" s="78">
        <f t="shared" si="144"/>
        <v>0</v>
      </c>
      <c r="AV212" s="78">
        <f t="shared" si="145"/>
        <v>0</v>
      </c>
      <c r="AW212" s="78">
        <f t="shared" si="146"/>
        <v>0</v>
      </c>
      <c r="AX212" s="78">
        <f t="shared" si="147"/>
        <v>0</v>
      </c>
      <c r="AY212" s="78">
        <f t="shared" si="148"/>
        <v>0</v>
      </c>
      <c r="AZ212" s="78">
        <f t="shared" si="149"/>
        <v>0</v>
      </c>
      <c r="BA212" s="78">
        <f t="shared" si="150"/>
        <v>0</v>
      </c>
      <c r="BB212" s="78">
        <f t="shared" si="151"/>
        <v>0</v>
      </c>
      <c r="BC212" s="78">
        <f t="shared" si="152"/>
        <v>0</v>
      </c>
      <c r="BD212" s="78">
        <f t="shared" si="153"/>
        <v>0</v>
      </c>
      <c r="BE212" s="78">
        <f t="shared" si="154"/>
        <v>0</v>
      </c>
      <c r="BF212" s="78">
        <f t="shared" si="155"/>
        <v>0</v>
      </c>
      <c r="BG212" s="78">
        <f t="shared" si="156"/>
        <v>0</v>
      </c>
      <c r="BH212" s="78">
        <f t="shared" si="157"/>
        <v>0</v>
      </c>
      <c r="BI212" s="78">
        <f t="shared" si="158"/>
        <v>0</v>
      </c>
      <c r="BJ212" s="78">
        <f t="shared" si="159"/>
        <v>0</v>
      </c>
      <c r="BK212" s="78">
        <f t="shared" si="160"/>
        <v>0</v>
      </c>
      <c r="BL212" s="78">
        <f t="shared" si="161"/>
        <v>0</v>
      </c>
      <c r="BM212" s="78">
        <f t="shared" si="162"/>
        <v>0</v>
      </c>
      <c r="BN212" s="78">
        <f t="shared" si="163"/>
        <v>0</v>
      </c>
      <c r="BO212" s="78">
        <f t="shared" si="164"/>
        <v>0</v>
      </c>
      <c r="BP212" s="78">
        <f t="shared" si="165"/>
        <v>0</v>
      </c>
      <c r="BQ212" s="78">
        <f t="shared" si="166"/>
        <v>0</v>
      </c>
      <c r="BR212" s="78">
        <f t="shared" si="167"/>
        <v>0</v>
      </c>
      <c r="BS212" s="77"/>
      <c r="BT212" s="77"/>
    </row>
    <row r="213" spans="1:72" ht="14.1" customHeight="1" x14ac:dyDescent="0.2">
      <c r="A213" s="55" t="str">
        <f t="shared" si="138"/>
        <v>GDS-2 (Small General Delivery)_Energy Assistance Adder Charge</v>
      </c>
      <c r="B213" s="80" t="s">
        <v>669</v>
      </c>
      <c r="C213" s="83" t="s">
        <v>776</v>
      </c>
      <c r="D213" s="150"/>
      <c r="E213" s="81"/>
      <c r="F213" s="73" t="s">
        <v>649</v>
      </c>
      <c r="G213" s="73">
        <v>0</v>
      </c>
      <c r="H213" s="73">
        <v>6</v>
      </c>
      <c r="I213" s="74" t="s">
        <v>641</v>
      </c>
      <c r="J213" s="75" t="s">
        <v>634</v>
      </c>
      <c r="K213" s="74"/>
      <c r="L213" s="82">
        <v>1</v>
      </c>
      <c r="M213" s="138">
        <v>1</v>
      </c>
      <c r="N213" s="138">
        <v>1</v>
      </c>
      <c r="O213" s="138">
        <v>1</v>
      </c>
      <c r="P213" s="138">
        <v>1</v>
      </c>
      <c r="Q213" s="138">
        <v>1</v>
      </c>
      <c r="R213" s="138">
        <v>1</v>
      </c>
      <c r="S213" s="138">
        <v>1</v>
      </c>
      <c r="T213" s="138">
        <v>1</v>
      </c>
      <c r="U213" s="138">
        <v>1</v>
      </c>
      <c r="V213" s="138">
        <v>1</v>
      </c>
      <c r="W213" s="138">
        <v>1</v>
      </c>
      <c r="X213" s="138">
        <v>1</v>
      </c>
      <c r="Y213" s="138">
        <f t="shared" si="168"/>
        <v>1</v>
      </c>
      <c r="Z213" s="138">
        <f t="shared" si="169"/>
        <v>1</v>
      </c>
      <c r="AA213" s="138">
        <f t="shared" si="170"/>
        <v>1</v>
      </c>
      <c r="AB213" s="138">
        <f t="shared" si="171"/>
        <v>1</v>
      </c>
      <c r="AC213" s="138">
        <f t="shared" si="172"/>
        <v>1</v>
      </c>
      <c r="AD213" s="138">
        <f t="shared" si="173"/>
        <v>1</v>
      </c>
      <c r="AE213" s="138">
        <f t="shared" si="174"/>
        <v>1</v>
      </c>
      <c r="AF213" s="138">
        <f t="shared" si="175"/>
        <v>1</v>
      </c>
      <c r="AG213" s="138">
        <f t="shared" si="176"/>
        <v>1</v>
      </c>
      <c r="AH213" s="138">
        <f t="shared" si="177"/>
        <v>1</v>
      </c>
      <c r="AI213" s="138">
        <f t="shared" si="178"/>
        <v>1</v>
      </c>
      <c r="AJ213" s="138">
        <f t="shared" si="179"/>
        <v>1</v>
      </c>
      <c r="AK213" s="138">
        <f t="shared" si="180"/>
        <v>1</v>
      </c>
      <c r="AL213" s="138">
        <f t="shared" si="181"/>
        <v>1</v>
      </c>
      <c r="AM213" s="138">
        <f t="shared" si="182"/>
        <v>1</v>
      </c>
      <c r="AO213" s="77" t="str">
        <f t="shared" si="139"/>
        <v>GDS-2 (Small General Delivery)</v>
      </c>
      <c r="AP213" s="78" t="s">
        <v>670</v>
      </c>
      <c r="AQ213" s="77" t="str">
        <f t="shared" si="140"/>
        <v>Energy Assistance Adder Charge</v>
      </c>
      <c r="AR213" s="78" t="str">
        <f t="shared" si="141"/>
        <v>Billing Cycle</v>
      </c>
      <c r="AS213" s="79">
        <f t="shared" si="142"/>
        <v>6</v>
      </c>
      <c r="AT213" s="78">
        <f t="shared" si="143"/>
        <v>1</v>
      </c>
      <c r="AU213" s="78">
        <f t="shared" si="144"/>
        <v>1</v>
      </c>
      <c r="AV213" s="78">
        <f t="shared" si="145"/>
        <v>1</v>
      </c>
      <c r="AW213" s="78">
        <f t="shared" si="146"/>
        <v>1</v>
      </c>
      <c r="AX213" s="78">
        <f t="shared" si="147"/>
        <v>1</v>
      </c>
      <c r="AY213" s="78">
        <f t="shared" si="148"/>
        <v>1</v>
      </c>
      <c r="AZ213" s="78">
        <f t="shared" si="149"/>
        <v>1</v>
      </c>
      <c r="BA213" s="78">
        <f t="shared" si="150"/>
        <v>1</v>
      </c>
      <c r="BB213" s="78">
        <f t="shared" si="151"/>
        <v>1</v>
      </c>
      <c r="BC213" s="78">
        <f t="shared" si="152"/>
        <v>1</v>
      </c>
      <c r="BD213" s="78">
        <f t="shared" si="153"/>
        <v>1</v>
      </c>
      <c r="BE213" s="78">
        <f t="shared" si="154"/>
        <v>1</v>
      </c>
      <c r="BF213" s="78">
        <f t="shared" si="155"/>
        <v>1</v>
      </c>
      <c r="BG213" s="78">
        <f t="shared" si="156"/>
        <v>1</v>
      </c>
      <c r="BH213" s="78">
        <f t="shared" si="157"/>
        <v>1</v>
      </c>
      <c r="BI213" s="78">
        <f t="shared" si="158"/>
        <v>1</v>
      </c>
      <c r="BJ213" s="78">
        <f t="shared" si="159"/>
        <v>1</v>
      </c>
      <c r="BK213" s="78">
        <f t="shared" si="160"/>
        <v>1</v>
      </c>
      <c r="BL213" s="78">
        <f t="shared" si="161"/>
        <v>1</v>
      </c>
      <c r="BM213" s="78">
        <f t="shared" si="162"/>
        <v>1</v>
      </c>
      <c r="BN213" s="78">
        <f t="shared" si="163"/>
        <v>1</v>
      </c>
      <c r="BO213" s="78">
        <f t="shared" si="164"/>
        <v>1</v>
      </c>
      <c r="BP213" s="78">
        <f t="shared" si="165"/>
        <v>1</v>
      </c>
      <c r="BQ213" s="78">
        <f t="shared" si="166"/>
        <v>1</v>
      </c>
      <c r="BR213" s="78">
        <f t="shared" si="167"/>
        <v>1</v>
      </c>
      <c r="BS213" s="77"/>
      <c r="BT213" s="77"/>
    </row>
    <row r="214" spans="1:72" ht="14.1" customHeight="1" x14ac:dyDescent="0.2">
      <c r="A214" s="55" t="str">
        <f t="shared" si="138"/>
        <v>GDS-3 (Intermediate General Delivery)_Energy Assistance Adder Charge</v>
      </c>
      <c r="B214" s="80" t="s">
        <v>671</v>
      </c>
      <c r="C214" s="83" t="s">
        <v>776</v>
      </c>
      <c r="D214" s="150"/>
      <c r="E214" s="81"/>
      <c r="F214" s="73" t="s">
        <v>649</v>
      </c>
      <c r="G214" s="73">
        <v>0</v>
      </c>
      <c r="H214" s="73">
        <v>6</v>
      </c>
      <c r="I214" s="74" t="s">
        <v>641</v>
      </c>
      <c r="J214" s="75" t="s">
        <v>634</v>
      </c>
      <c r="K214" s="74"/>
      <c r="L214" s="82">
        <v>1</v>
      </c>
      <c r="M214" s="138">
        <v>1</v>
      </c>
      <c r="N214" s="138">
        <v>1</v>
      </c>
      <c r="O214" s="138">
        <v>1</v>
      </c>
      <c r="P214" s="138">
        <v>1</v>
      </c>
      <c r="Q214" s="138">
        <v>1</v>
      </c>
      <c r="R214" s="138">
        <v>1</v>
      </c>
      <c r="S214" s="138">
        <v>1</v>
      </c>
      <c r="T214" s="138">
        <v>1</v>
      </c>
      <c r="U214" s="138">
        <v>1</v>
      </c>
      <c r="V214" s="138">
        <v>1</v>
      </c>
      <c r="W214" s="138">
        <v>1</v>
      </c>
      <c r="X214" s="138">
        <v>1</v>
      </c>
      <c r="Y214" s="138">
        <f t="shared" si="168"/>
        <v>1</v>
      </c>
      <c r="Z214" s="138">
        <f t="shared" si="169"/>
        <v>1</v>
      </c>
      <c r="AA214" s="138">
        <f t="shared" si="170"/>
        <v>1</v>
      </c>
      <c r="AB214" s="138">
        <f t="shared" si="171"/>
        <v>1</v>
      </c>
      <c r="AC214" s="138">
        <f t="shared" si="172"/>
        <v>1</v>
      </c>
      <c r="AD214" s="138">
        <f t="shared" si="173"/>
        <v>1</v>
      </c>
      <c r="AE214" s="138">
        <f t="shared" si="174"/>
        <v>1</v>
      </c>
      <c r="AF214" s="138">
        <f t="shared" si="175"/>
        <v>1</v>
      </c>
      <c r="AG214" s="138">
        <f t="shared" si="176"/>
        <v>1</v>
      </c>
      <c r="AH214" s="138">
        <f t="shared" si="177"/>
        <v>1</v>
      </c>
      <c r="AI214" s="138">
        <f t="shared" si="178"/>
        <v>1</v>
      </c>
      <c r="AJ214" s="138">
        <f t="shared" si="179"/>
        <v>1</v>
      </c>
      <c r="AK214" s="138">
        <f t="shared" si="180"/>
        <v>1</v>
      </c>
      <c r="AL214" s="138">
        <f t="shared" si="181"/>
        <v>1</v>
      </c>
      <c r="AM214" s="138">
        <f t="shared" si="182"/>
        <v>1</v>
      </c>
      <c r="AO214" s="77" t="str">
        <f t="shared" si="139"/>
        <v>GDS-3 (Intermediate General Delivery)</v>
      </c>
      <c r="AP214" s="78" t="s">
        <v>672</v>
      </c>
      <c r="AQ214" s="77" t="str">
        <f t="shared" si="140"/>
        <v>Energy Assistance Adder Charge</v>
      </c>
      <c r="AR214" s="78" t="str">
        <f t="shared" si="141"/>
        <v>Billing Cycle</v>
      </c>
      <c r="AS214" s="79">
        <f t="shared" si="142"/>
        <v>6</v>
      </c>
      <c r="AT214" s="78">
        <f t="shared" si="143"/>
        <v>1</v>
      </c>
      <c r="AU214" s="78">
        <f t="shared" si="144"/>
        <v>1</v>
      </c>
      <c r="AV214" s="78">
        <f t="shared" si="145"/>
        <v>1</v>
      </c>
      <c r="AW214" s="78">
        <f t="shared" si="146"/>
        <v>1</v>
      </c>
      <c r="AX214" s="78">
        <f t="shared" si="147"/>
        <v>1</v>
      </c>
      <c r="AY214" s="78">
        <f t="shared" si="148"/>
        <v>1</v>
      </c>
      <c r="AZ214" s="78">
        <f t="shared" si="149"/>
        <v>1</v>
      </c>
      <c r="BA214" s="78">
        <f t="shared" si="150"/>
        <v>1</v>
      </c>
      <c r="BB214" s="78">
        <f t="shared" si="151"/>
        <v>1</v>
      </c>
      <c r="BC214" s="78">
        <f t="shared" si="152"/>
        <v>1</v>
      </c>
      <c r="BD214" s="78">
        <f t="shared" si="153"/>
        <v>1</v>
      </c>
      <c r="BE214" s="78">
        <f t="shared" si="154"/>
        <v>1</v>
      </c>
      <c r="BF214" s="78">
        <f t="shared" si="155"/>
        <v>1</v>
      </c>
      <c r="BG214" s="78">
        <f t="shared" si="156"/>
        <v>1</v>
      </c>
      <c r="BH214" s="78">
        <f t="shared" si="157"/>
        <v>1</v>
      </c>
      <c r="BI214" s="78">
        <f t="shared" si="158"/>
        <v>1</v>
      </c>
      <c r="BJ214" s="78">
        <f t="shared" si="159"/>
        <v>1</v>
      </c>
      <c r="BK214" s="78">
        <f t="shared" si="160"/>
        <v>1</v>
      </c>
      <c r="BL214" s="78">
        <f t="shared" si="161"/>
        <v>1</v>
      </c>
      <c r="BM214" s="78">
        <f t="shared" si="162"/>
        <v>1</v>
      </c>
      <c r="BN214" s="78">
        <f t="shared" si="163"/>
        <v>1</v>
      </c>
      <c r="BO214" s="78">
        <f t="shared" si="164"/>
        <v>1</v>
      </c>
      <c r="BP214" s="78">
        <f t="shared" si="165"/>
        <v>1</v>
      </c>
      <c r="BQ214" s="78">
        <f t="shared" si="166"/>
        <v>1</v>
      </c>
      <c r="BR214" s="78">
        <f t="shared" si="167"/>
        <v>1</v>
      </c>
      <c r="BS214" s="77"/>
      <c r="BT214" s="77"/>
    </row>
    <row r="215" spans="1:72" ht="14.1" customHeight="1" x14ac:dyDescent="0.2">
      <c r="A215" s="55" t="str">
        <f t="shared" si="138"/>
        <v>GDS-4 (Large General Delivery)_Energy Assistance Adder Charge</v>
      </c>
      <c r="B215" s="80" t="s">
        <v>673</v>
      </c>
      <c r="C215" s="83" t="s">
        <v>776</v>
      </c>
      <c r="D215" s="150"/>
      <c r="E215" s="81"/>
      <c r="F215" s="73" t="s">
        <v>649</v>
      </c>
      <c r="G215" s="73">
        <v>0</v>
      </c>
      <c r="H215" s="73">
        <v>6</v>
      </c>
      <c r="I215" s="74" t="s">
        <v>641</v>
      </c>
      <c r="J215" s="75" t="s">
        <v>634</v>
      </c>
      <c r="K215" s="74"/>
      <c r="L215" s="82">
        <v>1</v>
      </c>
      <c r="M215" s="138">
        <v>1</v>
      </c>
      <c r="N215" s="138">
        <v>1</v>
      </c>
      <c r="O215" s="138">
        <v>1</v>
      </c>
      <c r="P215" s="138">
        <v>1</v>
      </c>
      <c r="Q215" s="138">
        <v>1</v>
      </c>
      <c r="R215" s="138">
        <v>1</v>
      </c>
      <c r="S215" s="138">
        <v>1</v>
      </c>
      <c r="T215" s="138">
        <v>1</v>
      </c>
      <c r="U215" s="138">
        <v>1</v>
      </c>
      <c r="V215" s="138">
        <v>1</v>
      </c>
      <c r="W215" s="138">
        <v>1</v>
      </c>
      <c r="X215" s="138">
        <v>1</v>
      </c>
      <c r="Y215" s="138">
        <f t="shared" si="168"/>
        <v>1</v>
      </c>
      <c r="Z215" s="138">
        <f t="shared" si="169"/>
        <v>1</v>
      </c>
      <c r="AA215" s="138">
        <f t="shared" si="170"/>
        <v>1</v>
      </c>
      <c r="AB215" s="138">
        <f t="shared" si="171"/>
        <v>1</v>
      </c>
      <c r="AC215" s="138">
        <f t="shared" si="172"/>
        <v>1</v>
      </c>
      <c r="AD215" s="138">
        <f t="shared" si="173"/>
        <v>1</v>
      </c>
      <c r="AE215" s="138">
        <f t="shared" si="174"/>
        <v>1</v>
      </c>
      <c r="AF215" s="138">
        <f t="shared" si="175"/>
        <v>1</v>
      </c>
      <c r="AG215" s="138">
        <f t="shared" si="176"/>
        <v>1</v>
      </c>
      <c r="AH215" s="138">
        <f t="shared" si="177"/>
        <v>1</v>
      </c>
      <c r="AI215" s="138">
        <f t="shared" si="178"/>
        <v>1</v>
      </c>
      <c r="AJ215" s="138">
        <f t="shared" si="179"/>
        <v>1</v>
      </c>
      <c r="AK215" s="138">
        <f t="shared" si="180"/>
        <v>1</v>
      </c>
      <c r="AL215" s="138">
        <f t="shared" si="181"/>
        <v>1</v>
      </c>
      <c r="AM215" s="138">
        <f t="shared" si="182"/>
        <v>1</v>
      </c>
      <c r="AO215" s="77" t="str">
        <f t="shared" si="139"/>
        <v>GDS-4 (Large General Delivery)</v>
      </c>
      <c r="AP215" s="78" t="s">
        <v>674</v>
      </c>
      <c r="AQ215" s="77" t="str">
        <f t="shared" si="140"/>
        <v>Energy Assistance Adder Charge</v>
      </c>
      <c r="AR215" s="78" t="str">
        <f t="shared" si="141"/>
        <v>Billing Cycle</v>
      </c>
      <c r="AS215" s="79">
        <f t="shared" si="142"/>
        <v>6</v>
      </c>
      <c r="AT215" s="78">
        <f t="shared" si="143"/>
        <v>1</v>
      </c>
      <c r="AU215" s="78">
        <f t="shared" si="144"/>
        <v>1</v>
      </c>
      <c r="AV215" s="78">
        <f t="shared" si="145"/>
        <v>1</v>
      </c>
      <c r="AW215" s="78">
        <f t="shared" si="146"/>
        <v>1</v>
      </c>
      <c r="AX215" s="78">
        <f t="shared" si="147"/>
        <v>1</v>
      </c>
      <c r="AY215" s="78">
        <f t="shared" si="148"/>
        <v>1</v>
      </c>
      <c r="AZ215" s="78">
        <f t="shared" si="149"/>
        <v>1</v>
      </c>
      <c r="BA215" s="78">
        <f t="shared" si="150"/>
        <v>1</v>
      </c>
      <c r="BB215" s="78">
        <f t="shared" si="151"/>
        <v>1</v>
      </c>
      <c r="BC215" s="78">
        <f t="shared" si="152"/>
        <v>1</v>
      </c>
      <c r="BD215" s="78">
        <f t="shared" si="153"/>
        <v>1</v>
      </c>
      <c r="BE215" s="78">
        <f t="shared" si="154"/>
        <v>1</v>
      </c>
      <c r="BF215" s="78">
        <f t="shared" si="155"/>
        <v>1</v>
      </c>
      <c r="BG215" s="78">
        <f t="shared" si="156"/>
        <v>1</v>
      </c>
      <c r="BH215" s="78">
        <f t="shared" si="157"/>
        <v>1</v>
      </c>
      <c r="BI215" s="78">
        <f t="shared" si="158"/>
        <v>1</v>
      </c>
      <c r="BJ215" s="78">
        <f t="shared" si="159"/>
        <v>1</v>
      </c>
      <c r="BK215" s="78">
        <f t="shared" si="160"/>
        <v>1</v>
      </c>
      <c r="BL215" s="78">
        <f t="shared" si="161"/>
        <v>1</v>
      </c>
      <c r="BM215" s="78">
        <f t="shared" si="162"/>
        <v>1</v>
      </c>
      <c r="BN215" s="78">
        <f t="shared" si="163"/>
        <v>1</v>
      </c>
      <c r="BO215" s="78">
        <f t="shared" si="164"/>
        <v>1</v>
      </c>
      <c r="BP215" s="78">
        <f t="shared" si="165"/>
        <v>1</v>
      </c>
      <c r="BQ215" s="78">
        <f t="shared" si="166"/>
        <v>1</v>
      </c>
      <c r="BR215" s="78">
        <f t="shared" si="167"/>
        <v>1</v>
      </c>
      <c r="BS215" s="77"/>
      <c r="BT215" s="77"/>
    </row>
    <row r="216" spans="1:72" ht="14.1" customHeight="1" x14ac:dyDescent="0.2">
      <c r="A216" s="55" t="str">
        <f t="shared" si="138"/>
        <v>GDS-5 (Seasonal)_Energy Assistance Adder Charge</v>
      </c>
      <c r="B216" s="80" t="s">
        <v>675</v>
      </c>
      <c r="C216" s="83" t="s">
        <v>776</v>
      </c>
      <c r="D216" s="150"/>
      <c r="E216" s="81"/>
      <c r="F216" s="73" t="s">
        <v>649</v>
      </c>
      <c r="G216" s="73">
        <v>0</v>
      </c>
      <c r="H216" s="73">
        <v>6</v>
      </c>
      <c r="I216" s="74" t="s">
        <v>641</v>
      </c>
      <c r="J216" s="75" t="s">
        <v>634</v>
      </c>
      <c r="K216" s="74"/>
      <c r="L216" s="82">
        <v>1</v>
      </c>
      <c r="M216" s="138">
        <v>1</v>
      </c>
      <c r="N216" s="138">
        <v>1</v>
      </c>
      <c r="O216" s="138">
        <v>1</v>
      </c>
      <c r="P216" s="138">
        <v>1</v>
      </c>
      <c r="Q216" s="138">
        <v>1</v>
      </c>
      <c r="R216" s="138">
        <v>1</v>
      </c>
      <c r="S216" s="138">
        <v>1</v>
      </c>
      <c r="T216" s="138">
        <v>1</v>
      </c>
      <c r="U216" s="138">
        <v>1</v>
      </c>
      <c r="V216" s="138">
        <v>1</v>
      </c>
      <c r="W216" s="138">
        <v>1</v>
      </c>
      <c r="X216" s="138">
        <v>1</v>
      </c>
      <c r="Y216" s="138">
        <f t="shared" si="168"/>
        <v>1</v>
      </c>
      <c r="Z216" s="138">
        <f t="shared" si="169"/>
        <v>1</v>
      </c>
      <c r="AA216" s="138">
        <f t="shared" si="170"/>
        <v>1</v>
      </c>
      <c r="AB216" s="138">
        <f t="shared" si="171"/>
        <v>1</v>
      </c>
      <c r="AC216" s="138">
        <f t="shared" si="172"/>
        <v>1</v>
      </c>
      <c r="AD216" s="138">
        <f t="shared" si="173"/>
        <v>1</v>
      </c>
      <c r="AE216" s="138">
        <f t="shared" si="174"/>
        <v>1</v>
      </c>
      <c r="AF216" s="138">
        <f t="shared" si="175"/>
        <v>1</v>
      </c>
      <c r="AG216" s="138">
        <f t="shared" si="176"/>
        <v>1</v>
      </c>
      <c r="AH216" s="138">
        <f t="shared" si="177"/>
        <v>1</v>
      </c>
      <c r="AI216" s="138">
        <f t="shared" si="178"/>
        <v>1</v>
      </c>
      <c r="AJ216" s="138">
        <f t="shared" si="179"/>
        <v>1</v>
      </c>
      <c r="AK216" s="138">
        <f t="shared" si="180"/>
        <v>1</v>
      </c>
      <c r="AL216" s="138">
        <f t="shared" si="181"/>
        <v>1</v>
      </c>
      <c r="AM216" s="138">
        <f t="shared" si="182"/>
        <v>1</v>
      </c>
      <c r="AO216" s="77" t="str">
        <f t="shared" si="139"/>
        <v>GDS-5 (Seasonal)</v>
      </c>
      <c r="AP216" s="78" t="s">
        <v>676</v>
      </c>
      <c r="AQ216" s="77" t="str">
        <f t="shared" si="140"/>
        <v>Energy Assistance Adder Charge</v>
      </c>
      <c r="AR216" s="78" t="str">
        <f t="shared" si="141"/>
        <v>Billing Cycle</v>
      </c>
      <c r="AS216" s="79">
        <f t="shared" si="142"/>
        <v>6</v>
      </c>
      <c r="AT216" s="78">
        <f t="shared" si="143"/>
        <v>1</v>
      </c>
      <c r="AU216" s="78">
        <f t="shared" si="144"/>
        <v>1</v>
      </c>
      <c r="AV216" s="78">
        <f t="shared" si="145"/>
        <v>1</v>
      </c>
      <c r="AW216" s="78">
        <f t="shared" si="146"/>
        <v>1</v>
      </c>
      <c r="AX216" s="78">
        <f t="shared" si="147"/>
        <v>1</v>
      </c>
      <c r="AY216" s="78">
        <f t="shared" si="148"/>
        <v>1</v>
      </c>
      <c r="AZ216" s="78">
        <f t="shared" si="149"/>
        <v>1</v>
      </c>
      <c r="BA216" s="78">
        <f t="shared" si="150"/>
        <v>1</v>
      </c>
      <c r="BB216" s="78">
        <f t="shared" si="151"/>
        <v>1</v>
      </c>
      <c r="BC216" s="78">
        <f t="shared" si="152"/>
        <v>1</v>
      </c>
      <c r="BD216" s="78">
        <f t="shared" si="153"/>
        <v>1</v>
      </c>
      <c r="BE216" s="78">
        <f t="shared" si="154"/>
        <v>1</v>
      </c>
      <c r="BF216" s="78">
        <f t="shared" si="155"/>
        <v>1</v>
      </c>
      <c r="BG216" s="78">
        <f t="shared" si="156"/>
        <v>1</v>
      </c>
      <c r="BH216" s="78">
        <f t="shared" si="157"/>
        <v>1</v>
      </c>
      <c r="BI216" s="78">
        <f t="shared" si="158"/>
        <v>1</v>
      </c>
      <c r="BJ216" s="78">
        <f t="shared" si="159"/>
        <v>1</v>
      </c>
      <c r="BK216" s="78">
        <f t="shared" si="160"/>
        <v>1</v>
      </c>
      <c r="BL216" s="78">
        <f t="shared" si="161"/>
        <v>1</v>
      </c>
      <c r="BM216" s="78">
        <f t="shared" si="162"/>
        <v>1</v>
      </c>
      <c r="BN216" s="78">
        <f t="shared" si="163"/>
        <v>1</v>
      </c>
      <c r="BO216" s="78">
        <f t="shared" si="164"/>
        <v>1</v>
      </c>
      <c r="BP216" s="78">
        <f t="shared" si="165"/>
        <v>1</v>
      </c>
      <c r="BQ216" s="78">
        <f t="shared" si="166"/>
        <v>1</v>
      </c>
      <c r="BR216" s="78">
        <f t="shared" si="167"/>
        <v>1</v>
      </c>
      <c r="BS216" s="77"/>
      <c r="BT216" s="77"/>
    </row>
    <row r="217" spans="1:72" ht="14.1" customHeight="1" x14ac:dyDescent="0.2">
      <c r="A217" s="55" t="str">
        <f t="shared" si="138"/>
        <v>DS-3 (General Delivery Service)_Energy Assistance Adder Charge - Tier 3</v>
      </c>
      <c r="B217" s="80" t="s">
        <v>666</v>
      </c>
      <c r="C217" s="83" t="s">
        <v>777</v>
      </c>
      <c r="D217" s="150"/>
      <c r="E217" s="81"/>
      <c r="F217" s="73" t="s">
        <v>649</v>
      </c>
      <c r="G217" s="73">
        <v>0</v>
      </c>
      <c r="H217" s="73">
        <v>6</v>
      </c>
      <c r="I217" s="74" t="s">
        <v>641</v>
      </c>
      <c r="J217" s="75" t="s">
        <v>634</v>
      </c>
      <c r="K217" s="74"/>
      <c r="L217" s="82">
        <v>30</v>
      </c>
      <c r="M217" s="138">
        <v>30</v>
      </c>
      <c r="N217" s="138">
        <v>30</v>
      </c>
      <c r="O217" s="138">
        <v>30</v>
      </c>
      <c r="P217" s="138">
        <v>30</v>
      </c>
      <c r="Q217" s="138">
        <v>30</v>
      </c>
      <c r="R217" s="138">
        <v>30</v>
      </c>
      <c r="S217" s="138">
        <v>30</v>
      </c>
      <c r="T217" s="138">
        <v>30</v>
      </c>
      <c r="U217" s="138">
        <v>30</v>
      </c>
      <c r="V217" s="138">
        <v>30</v>
      </c>
      <c r="W217" s="138">
        <v>30</v>
      </c>
      <c r="X217" s="138">
        <v>30</v>
      </c>
      <c r="Y217" s="138">
        <f t="shared" si="168"/>
        <v>30</v>
      </c>
      <c r="Z217" s="138">
        <f t="shared" si="169"/>
        <v>30</v>
      </c>
      <c r="AA217" s="138">
        <f t="shared" si="170"/>
        <v>30</v>
      </c>
      <c r="AB217" s="138">
        <f t="shared" si="171"/>
        <v>30</v>
      </c>
      <c r="AC217" s="138">
        <f t="shared" si="172"/>
        <v>30</v>
      </c>
      <c r="AD217" s="138">
        <f t="shared" si="173"/>
        <v>30</v>
      </c>
      <c r="AE217" s="138">
        <f t="shared" si="174"/>
        <v>30</v>
      </c>
      <c r="AF217" s="138">
        <f t="shared" si="175"/>
        <v>30</v>
      </c>
      <c r="AG217" s="138">
        <f t="shared" si="176"/>
        <v>30</v>
      </c>
      <c r="AH217" s="138">
        <f t="shared" si="177"/>
        <v>30</v>
      </c>
      <c r="AI217" s="138">
        <f t="shared" si="178"/>
        <v>30</v>
      </c>
      <c r="AJ217" s="138">
        <f t="shared" si="179"/>
        <v>30</v>
      </c>
      <c r="AK217" s="138">
        <f t="shared" si="180"/>
        <v>30</v>
      </c>
      <c r="AL217" s="138">
        <f t="shared" si="181"/>
        <v>30</v>
      </c>
      <c r="AM217" s="138">
        <f t="shared" si="182"/>
        <v>30</v>
      </c>
      <c r="AO217" s="77" t="str">
        <f t="shared" si="139"/>
        <v>DS-3 (General Delivery Service)</v>
      </c>
      <c r="AP217" s="78" t="s">
        <v>667</v>
      </c>
      <c r="AQ217" s="77" t="str">
        <f t="shared" si="140"/>
        <v>Energy Assistance Adder Charge - Tier 3</v>
      </c>
      <c r="AR217" s="78" t="str">
        <f t="shared" si="141"/>
        <v>Billing Cycle</v>
      </c>
      <c r="AS217" s="79">
        <f t="shared" si="142"/>
        <v>6</v>
      </c>
      <c r="AT217" s="78">
        <f t="shared" si="143"/>
        <v>30</v>
      </c>
      <c r="AU217" s="78">
        <f t="shared" si="144"/>
        <v>30</v>
      </c>
      <c r="AV217" s="78">
        <f t="shared" si="145"/>
        <v>30</v>
      </c>
      <c r="AW217" s="78">
        <f t="shared" si="146"/>
        <v>30</v>
      </c>
      <c r="AX217" s="78">
        <f t="shared" si="147"/>
        <v>30</v>
      </c>
      <c r="AY217" s="78">
        <f t="shared" si="148"/>
        <v>30</v>
      </c>
      <c r="AZ217" s="78">
        <f t="shared" si="149"/>
        <v>30</v>
      </c>
      <c r="BA217" s="78">
        <f t="shared" si="150"/>
        <v>30</v>
      </c>
      <c r="BB217" s="78">
        <f t="shared" si="151"/>
        <v>30</v>
      </c>
      <c r="BC217" s="78">
        <f t="shared" si="152"/>
        <v>30</v>
      </c>
      <c r="BD217" s="78">
        <f t="shared" si="153"/>
        <v>30</v>
      </c>
      <c r="BE217" s="78">
        <f t="shared" si="154"/>
        <v>30</v>
      </c>
      <c r="BF217" s="78">
        <f t="shared" si="155"/>
        <v>30</v>
      </c>
      <c r="BG217" s="78">
        <f t="shared" si="156"/>
        <v>30</v>
      </c>
      <c r="BH217" s="78">
        <f t="shared" si="157"/>
        <v>30</v>
      </c>
      <c r="BI217" s="78">
        <f t="shared" si="158"/>
        <v>30</v>
      </c>
      <c r="BJ217" s="78">
        <f t="shared" si="159"/>
        <v>30</v>
      </c>
      <c r="BK217" s="78">
        <f t="shared" si="160"/>
        <v>30</v>
      </c>
      <c r="BL217" s="78">
        <f t="shared" si="161"/>
        <v>30</v>
      </c>
      <c r="BM217" s="78">
        <f t="shared" si="162"/>
        <v>30</v>
      </c>
      <c r="BN217" s="78">
        <f t="shared" si="163"/>
        <v>30</v>
      </c>
      <c r="BO217" s="78">
        <f t="shared" si="164"/>
        <v>30</v>
      </c>
      <c r="BP217" s="78">
        <f t="shared" si="165"/>
        <v>30</v>
      </c>
      <c r="BQ217" s="78">
        <f t="shared" si="166"/>
        <v>30</v>
      </c>
      <c r="BR217" s="78">
        <f t="shared" si="167"/>
        <v>30</v>
      </c>
      <c r="BS217" s="77"/>
      <c r="BT217" s="77"/>
    </row>
    <row r="218" spans="1:72" ht="14.1" customHeight="1" x14ac:dyDescent="0.2">
      <c r="A218" s="55" t="str">
        <f t="shared" si="138"/>
        <v>DS-4 (Large General Service)_Energy Assistance Adder Charge - Tier 3</v>
      </c>
      <c r="B218" s="85" t="s">
        <v>639</v>
      </c>
      <c r="C218" s="83" t="s">
        <v>777</v>
      </c>
      <c r="D218" s="150"/>
      <c r="E218" s="81"/>
      <c r="F218" s="73" t="s">
        <v>649</v>
      </c>
      <c r="G218" s="73">
        <v>0</v>
      </c>
      <c r="H218" s="73">
        <v>6</v>
      </c>
      <c r="I218" s="74" t="s">
        <v>641</v>
      </c>
      <c r="J218" s="75" t="s">
        <v>634</v>
      </c>
      <c r="K218" s="74"/>
      <c r="L218" s="82">
        <v>30</v>
      </c>
      <c r="M218" s="138">
        <v>30</v>
      </c>
      <c r="N218" s="138">
        <v>30</v>
      </c>
      <c r="O218" s="138">
        <v>30</v>
      </c>
      <c r="P218" s="138">
        <v>30</v>
      </c>
      <c r="Q218" s="138">
        <v>30</v>
      </c>
      <c r="R218" s="138">
        <v>30</v>
      </c>
      <c r="S218" s="138">
        <v>30</v>
      </c>
      <c r="T218" s="138">
        <v>30</v>
      </c>
      <c r="U218" s="138">
        <v>30</v>
      </c>
      <c r="V218" s="138">
        <v>30</v>
      </c>
      <c r="W218" s="138">
        <v>30</v>
      </c>
      <c r="X218" s="138">
        <v>30</v>
      </c>
      <c r="Y218" s="138">
        <f t="shared" si="168"/>
        <v>30</v>
      </c>
      <c r="Z218" s="138">
        <f t="shared" si="169"/>
        <v>30</v>
      </c>
      <c r="AA218" s="138">
        <f t="shared" si="170"/>
        <v>30</v>
      </c>
      <c r="AB218" s="138">
        <f t="shared" si="171"/>
        <v>30</v>
      </c>
      <c r="AC218" s="138">
        <f t="shared" si="172"/>
        <v>30</v>
      </c>
      <c r="AD218" s="138">
        <f t="shared" si="173"/>
        <v>30</v>
      </c>
      <c r="AE218" s="138">
        <f t="shared" si="174"/>
        <v>30</v>
      </c>
      <c r="AF218" s="138">
        <f t="shared" si="175"/>
        <v>30</v>
      </c>
      <c r="AG218" s="138">
        <f t="shared" si="176"/>
        <v>30</v>
      </c>
      <c r="AH218" s="138">
        <f t="shared" si="177"/>
        <v>30</v>
      </c>
      <c r="AI218" s="138">
        <f t="shared" si="178"/>
        <v>30</v>
      </c>
      <c r="AJ218" s="138">
        <f t="shared" si="179"/>
        <v>30</v>
      </c>
      <c r="AK218" s="138">
        <f t="shared" si="180"/>
        <v>30</v>
      </c>
      <c r="AL218" s="138">
        <f t="shared" si="181"/>
        <v>30</v>
      </c>
      <c r="AM218" s="138">
        <f t="shared" si="182"/>
        <v>30</v>
      </c>
      <c r="AO218" s="77" t="str">
        <f t="shared" si="139"/>
        <v>DS-4 (Large General Service)</v>
      </c>
      <c r="AP218" s="78" t="s">
        <v>642</v>
      </c>
      <c r="AQ218" s="77" t="str">
        <f t="shared" si="140"/>
        <v>Energy Assistance Adder Charge - Tier 3</v>
      </c>
      <c r="AR218" s="78" t="str">
        <f t="shared" si="141"/>
        <v>Billing Cycle</v>
      </c>
      <c r="AS218" s="79">
        <f t="shared" si="142"/>
        <v>6</v>
      </c>
      <c r="AT218" s="78">
        <f t="shared" si="143"/>
        <v>30</v>
      </c>
      <c r="AU218" s="78">
        <f t="shared" si="144"/>
        <v>30</v>
      </c>
      <c r="AV218" s="78">
        <f t="shared" si="145"/>
        <v>30</v>
      </c>
      <c r="AW218" s="78">
        <f t="shared" si="146"/>
        <v>30</v>
      </c>
      <c r="AX218" s="78">
        <f t="shared" si="147"/>
        <v>30</v>
      </c>
      <c r="AY218" s="78">
        <f t="shared" si="148"/>
        <v>30</v>
      </c>
      <c r="AZ218" s="78">
        <f t="shared" si="149"/>
        <v>30</v>
      </c>
      <c r="BA218" s="78">
        <f t="shared" si="150"/>
        <v>30</v>
      </c>
      <c r="BB218" s="78">
        <f t="shared" si="151"/>
        <v>30</v>
      </c>
      <c r="BC218" s="78">
        <f t="shared" si="152"/>
        <v>30</v>
      </c>
      <c r="BD218" s="78">
        <f t="shared" si="153"/>
        <v>30</v>
      </c>
      <c r="BE218" s="78">
        <f t="shared" si="154"/>
        <v>30</v>
      </c>
      <c r="BF218" s="78">
        <f t="shared" si="155"/>
        <v>30</v>
      </c>
      <c r="BG218" s="78">
        <f t="shared" si="156"/>
        <v>30</v>
      </c>
      <c r="BH218" s="78">
        <f t="shared" si="157"/>
        <v>30</v>
      </c>
      <c r="BI218" s="78">
        <f t="shared" si="158"/>
        <v>30</v>
      </c>
      <c r="BJ218" s="78">
        <f t="shared" si="159"/>
        <v>30</v>
      </c>
      <c r="BK218" s="78">
        <f t="shared" si="160"/>
        <v>30</v>
      </c>
      <c r="BL218" s="78">
        <f t="shared" si="161"/>
        <v>30</v>
      </c>
      <c r="BM218" s="78">
        <f t="shared" si="162"/>
        <v>30</v>
      </c>
      <c r="BN218" s="78">
        <f t="shared" si="163"/>
        <v>30</v>
      </c>
      <c r="BO218" s="78">
        <f t="shared" si="164"/>
        <v>30</v>
      </c>
      <c r="BP218" s="78">
        <f t="shared" si="165"/>
        <v>30</v>
      </c>
      <c r="BQ218" s="78">
        <f t="shared" si="166"/>
        <v>30</v>
      </c>
      <c r="BR218" s="78">
        <f t="shared" si="167"/>
        <v>30</v>
      </c>
      <c r="BS218" s="77"/>
      <c r="BT218" s="77"/>
    </row>
    <row r="219" spans="1:72" ht="14.1" customHeight="1" x14ac:dyDescent="0.2">
      <c r="A219" s="55" t="str">
        <f t="shared" si="138"/>
        <v>DS-4 (Large General Service)_Energy Assistance Adder Charge - Tier 3</v>
      </c>
      <c r="B219" s="85" t="s">
        <v>639</v>
      </c>
      <c r="C219" s="83" t="s">
        <v>777</v>
      </c>
      <c r="D219" s="150"/>
      <c r="E219" s="81"/>
      <c r="F219" s="73" t="s">
        <v>649</v>
      </c>
      <c r="G219" s="73">
        <v>0</v>
      </c>
      <c r="H219" s="73">
        <v>6</v>
      </c>
      <c r="I219" s="74" t="s">
        <v>641</v>
      </c>
      <c r="J219" s="75" t="s">
        <v>634</v>
      </c>
      <c r="K219" s="74"/>
      <c r="L219" s="82">
        <v>30</v>
      </c>
      <c r="M219" s="138">
        <v>30</v>
      </c>
      <c r="N219" s="138">
        <v>30</v>
      </c>
      <c r="O219" s="138">
        <v>30</v>
      </c>
      <c r="P219" s="138">
        <v>30</v>
      </c>
      <c r="Q219" s="138">
        <v>30</v>
      </c>
      <c r="R219" s="138">
        <v>30</v>
      </c>
      <c r="S219" s="138">
        <v>30</v>
      </c>
      <c r="T219" s="138">
        <v>30</v>
      </c>
      <c r="U219" s="138">
        <v>30</v>
      </c>
      <c r="V219" s="138">
        <v>30</v>
      </c>
      <c r="W219" s="138">
        <v>30</v>
      </c>
      <c r="X219" s="138">
        <v>30</v>
      </c>
      <c r="Y219" s="138">
        <f t="shared" si="168"/>
        <v>30</v>
      </c>
      <c r="Z219" s="138">
        <f t="shared" si="169"/>
        <v>30</v>
      </c>
      <c r="AA219" s="138">
        <f t="shared" si="170"/>
        <v>30</v>
      </c>
      <c r="AB219" s="138">
        <f t="shared" si="171"/>
        <v>30</v>
      </c>
      <c r="AC219" s="138">
        <f t="shared" si="172"/>
        <v>30</v>
      </c>
      <c r="AD219" s="138">
        <f t="shared" si="173"/>
        <v>30</v>
      </c>
      <c r="AE219" s="138">
        <f t="shared" si="174"/>
        <v>30</v>
      </c>
      <c r="AF219" s="138">
        <f t="shared" si="175"/>
        <v>30</v>
      </c>
      <c r="AG219" s="138">
        <f t="shared" si="176"/>
        <v>30</v>
      </c>
      <c r="AH219" s="138">
        <f t="shared" si="177"/>
        <v>30</v>
      </c>
      <c r="AI219" s="138">
        <f t="shared" si="178"/>
        <v>30</v>
      </c>
      <c r="AJ219" s="138">
        <f t="shared" si="179"/>
        <v>30</v>
      </c>
      <c r="AK219" s="138">
        <f t="shared" si="180"/>
        <v>30</v>
      </c>
      <c r="AL219" s="138">
        <f t="shared" si="181"/>
        <v>30</v>
      </c>
      <c r="AM219" s="138">
        <f t="shared" si="182"/>
        <v>30</v>
      </c>
      <c r="AO219" s="77" t="str">
        <f t="shared" si="139"/>
        <v>DS-4 (Large General Service)</v>
      </c>
      <c r="AP219" s="78" t="s">
        <v>642</v>
      </c>
      <c r="AQ219" s="77" t="str">
        <f t="shared" si="140"/>
        <v>Energy Assistance Adder Charge - Tier 3</v>
      </c>
      <c r="AR219" s="78" t="str">
        <f t="shared" si="141"/>
        <v>Billing Cycle</v>
      </c>
      <c r="AS219" s="79">
        <f t="shared" si="142"/>
        <v>6</v>
      </c>
      <c r="AT219" s="78">
        <f t="shared" si="143"/>
        <v>30</v>
      </c>
      <c r="AU219" s="78">
        <f t="shared" si="144"/>
        <v>30</v>
      </c>
      <c r="AV219" s="78">
        <f t="shared" si="145"/>
        <v>30</v>
      </c>
      <c r="AW219" s="78">
        <f t="shared" si="146"/>
        <v>30</v>
      </c>
      <c r="AX219" s="78">
        <f t="shared" si="147"/>
        <v>30</v>
      </c>
      <c r="AY219" s="78">
        <f t="shared" si="148"/>
        <v>30</v>
      </c>
      <c r="AZ219" s="78">
        <f t="shared" si="149"/>
        <v>30</v>
      </c>
      <c r="BA219" s="78">
        <f t="shared" si="150"/>
        <v>30</v>
      </c>
      <c r="BB219" s="78">
        <f t="shared" si="151"/>
        <v>30</v>
      </c>
      <c r="BC219" s="78">
        <f t="shared" si="152"/>
        <v>30</v>
      </c>
      <c r="BD219" s="78">
        <f t="shared" si="153"/>
        <v>30</v>
      </c>
      <c r="BE219" s="78">
        <f t="shared" si="154"/>
        <v>30</v>
      </c>
      <c r="BF219" s="78">
        <f t="shared" si="155"/>
        <v>30</v>
      </c>
      <c r="BG219" s="78">
        <f t="shared" si="156"/>
        <v>30</v>
      </c>
      <c r="BH219" s="78">
        <f t="shared" si="157"/>
        <v>30</v>
      </c>
      <c r="BI219" s="78">
        <f t="shared" si="158"/>
        <v>30</v>
      </c>
      <c r="BJ219" s="78">
        <f t="shared" si="159"/>
        <v>30</v>
      </c>
      <c r="BK219" s="78">
        <f t="shared" si="160"/>
        <v>30</v>
      </c>
      <c r="BL219" s="78">
        <f t="shared" si="161"/>
        <v>30</v>
      </c>
      <c r="BM219" s="78">
        <f t="shared" si="162"/>
        <v>30</v>
      </c>
      <c r="BN219" s="78">
        <f t="shared" si="163"/>
        <v>30</v>
      </c>
      <c r="BO219" s="78">
        <f t="shared" si="164"/>
        <v>30</v>
      </c>
      <c r="BP219" s="78">
        <f t="shared" si="165"/>
        <v>30</v>
      </c>
      <c r="BQ219" s="78">
        <f t="shared" si="166"/>
        <v>30</v>
      </c>
      <c r="BR219" s="78">
        <f t="shared" si="167"/>
        <v>30</v>
      </c>
      <c r="BS219" s="77"/>
      <c r="BT219" s="77"/>
    </row>
    <row r="220" spans="1:72" ht="14.1" customHeight="1" x14ac:dyDescent="0.2">
      <c r="A220" s="55" t="str">
        <f t="shared" si="138"/>
        <v>GDS-3 (Intermediate General Delivery)_Energy Assistance Adder Charge - Tier 3</v>
      </c>
      <c r="B220" s="80" t="s">
        <v>671</v>
      </c>
      <c r="C220" s="83" t="s">
        <v>777</v>
      </c>
      <c r="D220" s="150"/>
      <c r="E220" s="81"/>
      <c r="F220" s="73" t="s">
        <v>649</v>
      </c>
      <c r="G220" s="73">
        <v>0</v>
      </c>
      <c r="H220" s="73">
        <v>6</v>
      </c>
      <c r="I220" s="74" t="s">
        <v>641</v>
      </c>
      <c r="J220" s="75" t="s">
        <v>634</v>
      </c>
      <c r="K220" s="74"/>
      <c r="L220" s="82">
        <v>30</v>
      </c>
      <c r="M220" s="138">
        <v>30</v>
      </c>
      <c r="N220" s="138">
        <v>30</v>
      </c>
      <c r="O220" s="138">
        <v>30</v>
      </c>
      <c r="P220" s="138">
        <v>30</v>
      </c>
      <c r="Q220" s="138">
        <v>30</v>
      </c>
      <c r="R220" s="138">
        <v>30</v>
      </c>
      <c r="S220" s="138">
        <v>30</v>
      </c>
      <c r="T220" s="138">
        <v>30</v>
      </c>
      <c r="U220" s="138">
        <v>30</v>
      </c>
      <c r="V220" s="138">
        <v>30</v>
      </c>
      <c r="W220" s="138">
        <v>30</v>
      </c>
      <c r="X220" s="138">
        <v>30</v>
      </c>
      <c r="Y220" s="138">
        <f t="shared" si="168"/>
        <v>30</v>
      </c>
      <c r="Z220" s="138">
        <f t="shared" si="169"/>
        <v>30</v>
      </c>
      <c r="AA220" s="138">
        <f t="shared" si="170"/>
        <v>30</v>
      </c>
      <c r="AB220" s="138">
        <f t="shared" si="171"/>
        <v>30</v>
      </c>
      <c r="AC220" s="138">
        <f t="shared" si="172"/>
        <v>30</v>
      </c>
      <c r="AD220" s="138">
        <f t="shared" si="173"/>
        <v>30</v>
      </c>
      <c r="AE220" s="138">
        <f t="shared" si="174"/>
        <v>30</v>
      </c>
      <c r="AF220" s="138">
        <f t="shared" si="175"/>
        <v>30</v>
      </c>
      <c r="AG220" s="138">
        <f t="shared" si="176"/>
        <v>30</v>
      </c>
      <c r="AH220" s="138">
        <f t="shared" si="177"/>
        <v>30</v>
      </c>
      <c r="AI220" s="138">
        <f t="shared" si="178"/>
        <v>30</v>
      </c>
      <c r="AJ220" s="138">
        <f t="shared" si="179"/>
        <v>30</v>
      </c>
      <c r="AK220" s="138">
        <f t="shared" si="180"/>
        <v>30</v>
      </c>
      <c r="AL220" s="138">
        <f t="shared" si="181"/>
        <v>30</v>
      </c>
      <c r="AM220" s="138">
        <f t="shared" si="182"/>
        <v>30</v>
      </c>
      <c r="AO220" s="77" t="str">
        <f t="shared" si="139"/>
        <v>GDS-3 (Intermediate General Delivery)</v>
      </c>
      <c r="AP220" s="78" t="s">
        <v>672</v>
      </c>
      <c r="AQ220" s="77" t="str">
        <f t="shared" si="140"/>
        <v>Energy Assistance Adder Charge - Tier 3</v>
      </c>
      <c r="AR220" s="78" t="str">
        <f t="shared" si="141"/>
        <v>Billing Cycle</v>
      </c>
      <c r="AS220" s="79">
        <f t="shared" si="142"/>
        <v>6</v>
      </c>
      <c r="AT220" s="78">
        <f t="shared" si="143"/>
        <v>30</v>
      </c>
      <c r="AU220" s="78">
        <f t="shared" si="144"/>
        <v>30</v>
      </c>
      <c r="AV220" s="78">
        <f t="shared" si="145"/>
        <v>30</v>
      </c>
      <c r="AW220" s="78">
        <f t="shared" si="146"/>
        <v>30</v>
      </c>
      <c r="AX220" s="78">
        <f t="shared" si="147"/>
        <v>30</v>
      </c>
      <c r="AY220" s="78">
        <f t="shared" si="148"/>
        <v>30</v>
      </c>
      <c r="AZ220" s="78">
        <f t="shared" si="149"/>
        <v>30</v>
      </c>
      <c r="BA220" s="78">
        <f t="shared" si="150"/>
        <v>30</v>
      </c>
      <c r="BB220" s="78">
        <f t="shared" si="151"/>
        <v>30</v>
      </c>
      <c r="BC220" s="78">
        <f t="shared" si="152"/>
        <v>30</v>
      </c>
      <c r="BD220" s="78">
        <f t="shared" si="153"/>
        <v>30</v>
      </c>
      <c r="BE220" s="78">
        <f t="shared" si="154"/>
        <v>30</v>
      </c>
      <c r="BF220" s="78">
        <f t="shared" si="155"/>
        <v>30</v>
      </c>
      <c r="BG220" s="78">
        <f t="shared" si="156"/>
        <v>30</v>
      </c>
      <c r="BH220" s="78">
        <f t="shared" si="157"/>
        <v>30</v>
      </c>
      <c r="BI220" s="78">
        <f t="shared" si="158"/>
        <v>30</v>
      </c>
      <c r="BJ220" s="78">
        <f t="shared" si="159"/>
        <v>30</v>
      </c>
      <c r="BK220" s="78">
        <f t="shared" si="160"/>
        <v>30</v>
      </c>
      <c r="BL220" s="78">
        <f t="shared" si="161"/>
        <v>30</v>
      </c>
      <c r="BM220" s="78">
        <f t="shared" si="162"/>
        <v>30</v>
      </c>
      <c r="BN220" s="78">
        <f t="shared" si="163"/>
        <v>30</v>
      </c>
      <c r="BO220" s="78">
        <f t="shared" si="164"/>
        <v>30</v>
      </c>
      <c r="BP220" s="78">
        <f t="shared" si="165"/>
        <v>30</v>
      </c>
      <c r="BQ220" s="78">
        <f t="shared" si="166"/>
        <v>30</v>
      </c>
      <c r="BR220" s="78">
        <f t="shared" si="167"/>
        <v>30</v>
      </c>
      <c r="BS220" s="77"/>
      <c r="BT220" s="77"/>
    </row>
    <row r="221" spans="1:72" ht="14.1" customHeight="1" x14ac:dyDescent="0.2">
      <c r="A221" s="55" t="str">
        <f t="shared" si="138"/>
        <v>GDS-3 (Intermediate General Delivery)_Energy Assistance Adder Charge - Tier 3</v>
      </c>
      <c r="B221" s="80" t="s">
        <v>671</v>
      </c>
      <c r="C221" s="83" t="s">
        <v>777</v>
      </c>
      <c r="D221" s="150"/>
      <c r="E221" s="81"/>
      <c r="F221" s="73" t="s">
        <v>649</v>
      </c>
      <c r="G221" s="73">
        <v>0</v>
      </c>
      <c r="H221" s="73">
        <v>6</v>
      </c>
      <c r="I221" s="74" t="s">
        <v>641</v>
      </c>
      <c r="J221" s="75" t="s">
        <v>634</v>
      </c>
      <c r="K221" s="74"/>
      <c r="L221" s="82">
        <v>30</v>
      </c>
      <c r="M221" s="138">
        <v>30</v>
      </c>
      <c r="N221" s="138">
        <v>30</v>
      </c>
      <c r="O221" s="138">
        <v>30</v>
      </c>
      <c r="P221" s="138">
        <v>30</v>
      </c>
      <c r="Q221" s="138">
        <v>30</v>
      </c>
      <c r="R221" s="138">
        <v>30</v>
      </c>
      <c r="S221" s="138">
        <v>30</v>
      </c>
      <c r="T221" s="138">
        <v>30</v>
      </c>
      <c r="U221" s="138">
        <v>30</v>
      </c>
      <c r="V221" s="138">
        <v>30</v>
      </c>
      <c r="W221" s="138">
        <v>30</v>
      </c>
      <c r="X221" s="138">
        <v>30</v>
      </c>
      <c r="Y221" s="138">
        <f t="shared" si="168"/>
        <v>30</v>
      </c>
      <c r="Z221" s="138">
        <f t="shared" si="169"/>
        <v>30</v>
      </c>
      <c r="AA221" s="138">
        <f t="shared" si="170"/>
        <v>30</v>
      </c>
      <c r="AB221" s="138">
        <f t="shared" si="171"/>
        <v>30</v>
      </c>
      <c r="AC221" s="138">
        <f t="shared" si="172"/>
        <v>30</v>
      </c>
      <c r="AD221" s="138">
        <f t="shared" si="173"/>
        <v>30</v>
      </c>
      <c r="AE221" s="138">
        <f t="shared" si="174"/>
        <v>30</v>
      </c>
      <c r="AF221" s="138">
        <f t="shared" si="175"/>
        <v>30</v>
      </c>
      <c r="AG221" s="138">
        <f t="shared" si="176"/>
        <v>30</v>
      </c>
      <c r="AH221" s="138">
        <f t="shared" si="177"/>
        <v>30</v>
      </c>
      <c r="AI221" s="138">
        <f t="shared" si="178"/>
        <v>30</v>
      </c>
      <c r="AJ221" s="138">
        <f t="shared" si="179"/>
        <v>30</v>
      </c>
      <c r="AK221" s="138">
        <f t="shared" si="180"/>
        <v>30</v>
      </c>
      <c r="AL221" s="138">
        <f t="shared" si="181"/>
        <v>30</v>
      </c>
      <c r="AM221" s="138">
        <f t="shared" si="182"/>
        <v>30</v>
      </c>
      <c r="AO221" s="77" t="str">
        <f t="shared" si="139"/>
        <v>GDS-3 (Intermediate General Delivery)</v>
      </c>
      <c r="AP221" s="78" t="s">
        <v>672</v>
      </c>
      <c r="AQ221" s="77" t="str">
        <f t="shared" si="140"/>
        <v>Energy Assistance Adder Charge - Tier 3</v>
      </c>
      <c r="AR221" s="78" t="str">
        <f t="shared" si="141"/>
        <v>Billing Cycle</v>
      </c>
      <c r="AS221" s="79">
        <f t="shared" si="142"/>
        <v>6</v>
      </c>
      <c r="AT221" s="78">
        <f t="shared" si="143"/>
        <v>30</v>
      </c>
      <c r="AU221" s="78">
        <f t="shared" si="144"/>
        <v>30</v>
      </c>
      <c r="AV221" s="78">
        <f t="shared" si="145"/>
        <v>30</v>
      </c>
      <c r="AW221" s="78">
        <f t="shared" si="146"/>
        <v>30</v>
      </c>
      <c r="AX221" s="78">
        <f t="shared" si="147"/>
        <v>30</v>
      </c>
      <c r="AY221" s="78">
        <f t="shared" si="148"/>
        <v>30</v>
      </c>
      <c r="AZ221" s="78">
        <f t="shared" si="149"/>
        <v>30</v>
      </c>
      <c r="BA221" s="78">
        <f t="shared" si="150"/>
        <v>30</v>
      </c>
      <c r="BB221" s="78">
        <f t="shared" si="151"/>
        <v>30</v>
      </c>
      <c r="BC221" s="78">
        <f t="shared" si="152"/>
        <v>30</v>
      </c>
      <c r="BD221" s="78">
        <f t="shared" si="153"/>
        <v>30</v>
      </c>
      <c r="BE221" s="78">
        <f t="shared" si="154"/>
        <v>30</v>
      </c>
      <c r="BF221" s="78">
        <f t="shared" si="155"/>
        <v>30</v>
      </c>
      <c r="BG221" s="78">
        <f t="shared" si="156"/>
        <v>30</v>
      </c>
      <c r="BH221" s="78">
        <f t="shared" si="157"/>
        <v>30</v>
      </c>
      <c r="BI221" s="78">
        <f t="shared" si="158"/>
        <v>30</v>
      </c>
      <c r="BJ221" s="78">
        <f t="shared" si="159"/>
        <v>30</v>
      </c>
      <c r="BK221" s="78">
        <f t="shared" si="160"/>
        <v>30</v>
      </c>
      <c r="BL221" s="78">
        <f t="shared" si="161"/>
        <v>30</v>
      </c>
      <c r="BM221" s="78">
        <f t="shared" si="162"/>
        <v>30</v>
      </c>
      <c r="BN221" s="78">
        <f t="shared" si="163"/>
        <v>30</v>
      </c>
      <c r="BO221" s="78">
        <f t="shared" si="164"/>
        <v>30</v>
      </c>
      <c r="BP221" s="78">
        <f t="shared" si="165"/>
        <v>30</v>
      </c>
      <c r="BQ221" s="78">
        <f t="shared" si="166"/>
        <v>30</v>
      </c>
      <c r="BR221" s="78">
        <f t="shared" si="167"/>
        <v>30</v>
      </c>
      <c r="BS221" s="77"/>
      <c r="BT221" s="77"/>
    </row>
    <row r="222" spans="1:72" ht="14.1" customHeight="1" x14ac:dyDescent="0.2">
      <c r="A222" s="55" t="str">
        <f t="shared" si="138"/>
        <v>GDS-4 (Large General Delivery)_Energy Assistance Adder Charge - Tier 3</v>
      </c>
      <c r="B222" s="80" t="s">
        <v>673</v>
      </c>
      <c r="C222" s="83" t="s">
        <v>777</v>
      </c>
      <c r="D222" s="150"/>
      <c r="E222" s="81"/>
      <c r="F222" s="73" t="s">
        <v>649</v>
      </c>
      <c r="G222" s="73">
        <v>0</v>
      </c>
      <c r="H222" s="73">
        <v>6</v>
      </c>
      <c r="I222" s="74" t="s">
        <v>641</v>
      </c>
      <c r="J222" s="75" t="s">
        <v>634</v>
      </c>
      <c r="K222" s="74"/>
      <c r="L222" s="82">
        <v>30</v>
      </c>
      <c r="M222" s="138">
        <v>30</v>
      </c>
      <c r="N222" s="138">
        <v>30</v>
      </c>
      <c r="O222" s="138">
        <v>30</v>
      </c>
      <c r="P222" s="138">
        <v>30</v>
      </c>
      <c r="Q222" s="138">
        <v>30</v>
      </c>
      <c r="R222" s="138">
        <v>30</v>
      </c>
      <c r="S222" s="138">
        <v>30</v>
      </c>
      <c r="T222" s="138">
        <v>30</v>
      </c>
      <c r="U222" s="138">
        <v>30</v>
      </c>
      <c r="V222" s="138">
        <v>30</v>
      </c>
      <c r="W222" s="138">
        <v>30</v>
      </c>
      <c r="X222" s="138">
        <v>30</v>
      </c>
      <c r="Y222" s="138">
        <f t="shared" si="168"/>
        <v>30</v>
      </c>
      <c r="Z222" s="138">
        <f t="shared" si="169"/>
        <v>30</v>
      </c>
      <c r="AA222" s="138">
        <f t="shared" si="170"/>
        <v>30</v>
      </c>
      <c r="AB222" s="138">
        <f t="shared" si="171"/>
        <v>30</v>
      </c>
      <c r="AC222" s="138">
        <f t="shared" si="172"/>
        <v>30</v>
      </c>
      <c r="AD222" s="138">
        <f t="shared" si="173"/>
        <v>30</v>
      </c>
      <c r="AE222" s="138">
        <f t="shared" si="174"/>
        <v>30</v>
      </c>
      <c r="AF222" s="138">
        <f t="shared" si="175"/>
        <v>30</v>
      </c>
      <c r="AG222" s="138">
        <f t="shared" si="176"/>
        <v>30</v>
      </c>
      <c r="AH222" s="138">
        <f t="shared" si="177"/>
        <v>30</v>
      </c>
      <c r="AI222" s="138">
        <f t="shared" si="178"/>
        <v>30</v>
      </c>
      <c r="AJ222" s="138">
        <f t="shared" si="179"/>
        <v>30</v>
      </c>
      <c r="AK222" s="138">
        <f t="shared" si="180"/>
        <v>30</v>
      </c>
      <c r="AL222" s="138">
        <f t="shared" si="181"/>
        <v>30</v>
      </c>
      <c r="AM222" s="138">
        <f t="shared" si="182"/>
        <v>30</v>
      </c>
      <c r="AO222" s="77" t="str">
        <f t="shared" si="139"/>
        <v>GDS-4 (Large General Delivery)</v>
      </c>
      <c r="AP222" s="78" t="s">
        <v>674</v>
      </c>
      <c r="AQ222" s="77" t="str">
        <f t="shared" si="140"/>
        <v>Energy Assistance Adder Charge - Tier 3</v>
      </c>
      <c r="AR222" s="78" t="str">
        <f t="shared" si="141"/>
        <v>Billing Cycle</v>
      </c>
      <c r="AS222" s="79">
        <f t="shared" si="142"/>
        <v>6</v>
      </c>
      <c r="AT222" s="78">
        <f t="shared" si="143"/>
        <v>30</v>
      </c>
      <c r="AU222" s="78">
        <f t="shared" si="144"/>
        <v>30</v>
      </c>
      <c r="AV222" s="78">
        <f t="shared" si="145"/>
        <v>30</v>
      </c>
      <c r="AW222" s="78">
        <f t="shared" si="146"/>
        <v>30</v>
      </c>
      <c r="AX222" s="78">
        <f t="shared" si="147"/>
        <v>30</v>
      </c>
      <c r="AY222" s="78">
        <f t="shared" si="148"/>
        <v>30</v>
      </c>
      <c r="AZ222" s="78">
        <f t="shared" si="149"/>
        <v>30</v>
      </c>
      <c r="BA222" s="78">
        <f t="shared" si="150"/>
        <v>30</v>
      </c>
      <c r="BB222" s="78">
        <f t="shared" si="151"/>
        <v>30</v>
      </c>
      <c r="BC222" s="78">
        <f t="shared" si="152"/>
        <v>30</v>
      </c>
      <c r="BD222" s="78">
        <f t="shared" si="153"/>
        <v>30</v>
      </c>
      <c r="BE222" s="78">
        <f t="shared" si="154"/>
        <v>30</v>
      </c>
      <c r="BF222" s="78">
        <f t="shared" si="155"/>
        <v>30</v>
      </c>
      <c r="BG222" s="78">
        <f t="shared" si="156"/>
        <v>30</v>
      </c>
      <c r="BH222" s="78">
        <f t="shared" si="157"/>
        <v>30</v>
      </c>
      <c r="BI222" s="78">
        <f t="shared" si="158"/>
        <v>30</v>
      </c>
      <c r="BJ222" s="78">
        <f t="shared" si="159"/>
        <v>30</v>
      </c>
      <c r="BK222" s="78">
        <f t="shared" si="160"/>
        <v>30</v>
      </c>
      <c r="BL222" s="78">
        <f t="shared" si="161"/>
        <v>30</v>
      </c>
      <c r="BM222" s="78">
        <f t="shared" si="162"/>
        <v>30</v>
      </c>
      <c r="BN222" s="78">
        <f t="shared" si="163"/>
        <v>30</v>
      </c>
      <c r="BO222" s="78">
        <f t="shared" si="164"/>
        <v>30</v>
      </c>
      <c r="BP222" s="78">
        <f t="shared" si="165"/>
        <v>30</v>
      </c>
      <c r="BQ222" s="78">
        <f t="shared" si="166"/>
        <v>30</v>
      </c>
      <c r="BR222" s="78">
        <f t="shared" si="167"/>
        <v>30</v>
      </c>
      <c r="BS222" s="77"/>
      <c r="BT222" s="77"/>
    </row>
    <row r="223" spans="1:72" ht="14.1" customHeight="1" x14ac:dyDescent="0.2">
      <c r="A223" s="55" t="str">
        <f t="shared" si="138"/>
        <v>GDS-4 (Large General Delivery)_Energy Assistance Adder Charge - Tier 3</v>
      </c>
      <c r="B223" s="80" t="s">
        <v>673</v>
      </c>
      <c r="C223" s="83" t="s">
        <v>777</v>
      </c>
      <c r="D223" s="150"/>
      <c r="E223" s="81"/>
      <c r="F223" s="73" t="s">
        <v>649</v>
      </c>
      <c r="G223" s="73">
        <v>0</v>
      </c>
      <c r="H223" s="73">
        <v>6</v>
      </c>
      <c r="I223" s="74" t="s">
        <v>641</v>
      </c>
      <c r="J223" s="75" t="s">
        <v>634</v>
      </c>
      <c r="K223" s="74"/>
      <c r="L223" s="82">
        <v>30</v>
      </c>
      <c r="M223" s="138">
        <v>30</v>
      </c>
      <c r="N223" s="138">
        <v>30</v>
      </c>
      <c r="O223" s="138">
        <v>30</v>
      </c>
      <c r="P223" s="138">
        <v>30</v>
      </c>
      <c r="Q223" s="138">
        <v>30</v>
      </c>
      <c r="R223" s="138">
        <v>30</v>
      </c>
      <c r="S223" s="138">
        <v>30</v>
      </c>
      <c r="T223" s="138">
        <v>30</v>
      </c>
      <c r="U223" s="138">
        <v>30</v>
      </c>
      <c r="V223" s="138">
        <v>30</v>
      </c>
      <c r="W223" s="138">
        <v>30</v>
      </c>
      <c r="X223" s="138">
        <v>30</v>
      </c>
      <c r="Y223" s="138">
        <f t="shared" si="168"/>
        <v>30</v>
      </c>
      <c r="Z223" s="138">
        <f t="shared" si="169"/>
        <v>30</v>
      </c>
      <c r="AA223" s="138">
        <f t="shared" si="170"/>
        <v>30</v>
      </c>
      <c r="AB223" s="138">
        <f t="shared" si="171"/>
        <v>30</v>
      </c>
      <c r="AC223" s="138">
        <f t="shared" si="172"/>
        <v>30</v>
      </c>
      <c r="AD223" s="138">
        <f t="shared" si="173"/>
        <v>30</v>
      </c>
      <c r="AE223" s="138">
        <f t="shared" si="174"/>
        <v>30</v>
      </c>
      <c r="AF223" s="138">
        <f t="shared" si="175"/>
        <v>30</v>
      </c>
      <c r="AG223" s="138">
        <f t="shared" si="176"/>
        <v>30</v>
      </c>
      <c r="AH223" s="138">
        <f t="shared" si="177"/>
        <v>30</v>
      </c>
      <c r="AI223" s="138">
        <f t="shared" si="178"/>
        <v>30</v>
      </c>
      <c r="AJ223" s="138">
        <f t="shared" si="179"/>
        <v>30</v>
      </c>
      <c r="AK223" s="138">
        <f t="shared" si="180"/>
        <v>30</v>
      </c>
      <c r="AL223" s="138">
        <f t="shared" si="181"/>
        <v>30</v>
      </c>
      <c r="AM223" s="138">
        <f t="shared" si="182"/>
        <v>30</v>
      </c>
      <c r="AO223" s="77" t="str">
        <f t="shared" si="139"/>
        <v>GDS-4 (Large General Delivery)</v>
      </c>
      <c r="AP223" s="78" t="s">
        <v>674</v>
      </c>
      <c r="AQ223" s="77" t="str">
        <f t="shared" si="140"/>
        <v>Energy Assistance Adder Charge - Tier 3</v>
      </c>
      <c r="AR223" s="78" t="str">
        <f t="shared" si="141"/>
        <v>Billing Cycle</v>
      </c>
      <c r="AS223" s="79">
        <f t="shared" si="142"/>
        <v>6</v>
      </c>
      <c r="AT223" s="78">
        <f t="shared" si="143"/>
        <v>30</v>
      </c>
      <c r="AU223" s="78">
        <f t="shared" si="144"/>
        <v>30</v>
      </c>
      <c r="AV223" s="78">
        <f t="shared" si="145"/>
        <v>30</v>
      </c>
      <c r="AW223" s="78">
        <f t="shared" si="146"/>
        <v>30</v>
      </c>
      <c r="AX223" s="78">
        <f t="shared" si="147"/>
        <v>30</v>
      </c>
      <c r="AY223" s="78">
        <f t="shared" si="148"/>
        <v>30</v>
      </c>
      <c r="AZ223" s="78">
        <f t="shared" si="149"/>
        <v>30</v>
      </c>
      <c r="BA223" s="78">
        <f t="shared" si="150"/>
        <v>30</v>
      </c>
      <c r="BB223" s="78">
        <f t="shared" si="151"/>
        <v>30</v>
      </c>
      <c r="BC223" s="78">
        <f t="shared" si="152"/>
        <v>30</v>
      </c>
      <c r="BD223" s="78">
        <f t="shared" si="153"/>
        <v>30</v>
      </c>
      <c r="BE223" s="78">
        <f t="shared" si="154"/>
        <v>30</v>
      </c>
      <c r="BF223" s="78">
        <f t="shared" si="155"/>
        <v>30</v>
      </c>
      <c r="BG223" s="78">
        <f t="shared" si="156"/>
        <v>30</v>
      </c>
      <c r="BH223" s="78">
        <f t="shared" si="157"/>
        <v>30</v>
      </c>
      <c r="BI223" s="78">
        <f t="shared" si="158"/>
        <v>30</v>
      </c>
      <c r="BJ223" s="78">
        <f t="shared" si="159"/>
        <v>30</v>
      </c>
      <c r="BK223" s="78">
        <f t="shared" si="160"/>
        <v>30</v>
      </c>
      <c r="BL223" s="78">
        <f t="shared" si="161"/>
        <v>30</v>
      </c>
      <c r="BM223" s="78">
        <f t="shared" si="162"/>
        <v>30</v>
      </c>
      <c r="BN223" s="78">
        <f t="shared" si="163"/>
        <v>30</v>
      </c>
      <c r="BO223" s="78">
        <f t="shared" si="164"/>
        <v>30</v>
      </c>
      <c r="BP223" s="78">
        <f t="shared" si="165"/>
        <v>30</v>
      </c>
      <c r="BQ223" s="78">
        <f t="shared" si="166"/>
        <v>30</v>
      </c>
      <c r="BR223" s="78">
        <f t="shared" si="167"/>
        <v>30</v>
      </c>
      <c r="BS223" s="77"/>
      <c r="BT223" s="77"/>
    </row>
    <row r="224" spans="1:72" ht="14.1" customHeight="1" x14ac:dyDescent="0.2">
      <c r="A224" s="55" t="str">
        <f t="shared" si="138"/>
        <v>GDS-5 (Seasonal)_Energy Assistance Adder Charge - Tier 3</v>
      </c>
      <c r="B224" s="80" t="s">
        <v>675</v>
      </c>
      <c r="C224" s="83" t="s">
        <v>777</v>
      </c>
      <c r="D224" s="150"/>
      <c r="E224" s="81"/>
      <c r="F224" s="73" t="s">
        <v>649</v>
      </c>
      <c r="G224" s="73">
        <v>0</v>
      </c>
      <c r="H224" s="73">
        <v>6</v>
      </c>
      <c r="I224" s="74" t="s">
        <v>641</v>
      </c>
      <c r="J224" s="75" t="s">
        <v>634</v>
      </c>
      <c r="K224" s="74"/>
      <c r="L224" s="82">
        <v>30</v>
      </c>
      <c r="M224" s="138">
        <v>30</v>
      </c>
      <c r="N224" s="138">
        <v>30</v>
      </c>
      <c r="O224" s="138">
        <v>30</v>
      </c>
      <c r="P224" s="138">
        <v>30</v>
      </c>
      <c r="Q224" s="138">
        <v>30</v>
      </c>
      <c r="R224" s="138">
        <v>30</v>
      </c>
      <c r="S224" s="138">
        <v>30</v>
      </c>
      <c r="T224" s="138">
        <v>30</v>
      </c>
      <c r="U224" s="138">
        <v>30</v>
      </c>
      <c r="V224" s="138">
        <v>30</v>
      </c>
      <c r="W224" s="138">
        <v>30</v>
      </c>
      <c r="X224" s="138">
        <v>30</v>
      </c>
      <c r="Y224" s="138">
        <f t="shared" si="168"/>
        <v>30</v>
      </c>
      <c r="Z224" s="138">
        <f t="shared" si="169"/>
        <v>30</v>
      </c>
      <c r="AA224" s="138">
        <f t="shared" si="170"/>
        <v>30</v>
      </c>
      <c r="AB224" s="138">
        <f t="shared" si="171"/>
        <v>30</v>
      </c>
      <c r="AC224" s="138">
        <f t="shared" si="172"/>
        <v>30</v>
      </c>
      <c r="AD224" s="138">
        <f t="shared" si="173"/>
        <v>30</v>
      </c>
      <c r="AE224" s="138">
        <f t="shared" si="174"/>
        <v>30</v>
      </c>
      <c r="AF224" s="138">
        <f t="shared" si="175"/>
        <v>30</v>
      </c>
      <c r="AG224" s="138">
        <f t="shared" si="176"/>
        <v>30</v>
      </c>
      <c r="AH224" s="138">
        <f t="shared" si="177"/>
        <v>30</v>
      </c>
      <c r="AI224" s="138">
        <f t="shared" si="178"/>
        <v>30</v>
      </c>
      <c r="AJ224" s="138">
        <f t="shared" si="179"/>
        <v>30</v>
      </c>
      <c r="AK224" s="138">
        <f t="shared" si="180"/>
        <v>30</v>
      </c>
      <c r="AL224" s="138">
        <f t="shared" si="181"/>
        <v>30</v>
      </c>
      <c r="AM224" s="138">
        <f t="shared" si="182"/>
        <v>30</v>
      </c>
      <c r="AO224" s="77" t="str">
        <f t="shared" si="139"/>
        <v>GDS-5 (Seasonal)</v>
      </c>
      <c r="AP224" s="78" t="s">
        <v>676</v>
      </c>
      <c r="AQ224" s="77" t="str">
        <f t="shared" si="140"/>
        <v>Energy Assistance Adder Charge - Tier 3</v>
      </c>
      <c r="AR224" s="78" t="str">
        <f t="shared" si="141"/>
        <v>Billing Cycle</v>
      </c>
      <c r="AS224" s="79">
        <f t="shared" si="142"/>
        <v>6</v>
      </c>
      <c r="AT224" s="78">
        <f t="shared" si="143"/>
        <v>30</v>
      </c>
      <c r="AU224" s="78">
        <f t="shared" si="144"/>
        <v>30</v>
      </c>
      <c r="AV224" s="78">
        <f t="shared" si="145"/>
        <v>30</v>
      </c>
      <c r="AW224" s="78">
        <f t="shared" si="146"/>
        <v>30</v>
      </c>
      <c r="AX224" s="78">
        <f t="shared" si="147"/>
        <v>30</v>
      </c>
      <c r="AY224" s="78">
        <f t="shared" si="148"/>
        <v>30</v>
      </c>
      <c r="AZ224" s="78">
        <f t="shared" si="149"/>
        <v>30</v>
      </c>
      <c r="BA224" s="78">
        <f t="shared" si="150"/>
        <v>30</v>
      </c>
      <c r="BB224" s="78">
        <f t="shared" si="151"/>
        <v>30</v>
      </c>
      <c r="BC224" s="78">
        <f t="shared" si="152"/>
        <v>30</v>
      </c>
      <c r="BD224" s="78">
        <f t="shared" si="153"/>
        <v>30</v>
      </c>
      <c r="BE224" s="78">
        <f t="shared" si="154"/>
        <v>30</v>
      </c>
      <c r="BF224" s="78">
        <f t="shared" si="155"/>
        <v>30</v>
      </c>
      <c r="BG224" s="78">
        <f t="shared" si="156"/>
        <v>30</v>
      </c>
      <c r="BH224" s="78">
        <f t="shared" si="157"/>
        <v>30</v>
      </c>
      <c r="BI224" s="78">
        <f t="shared" si="158"/>
        <v>30</v>
      </c>
      <c r="BJ224" s="78">
        <f t="shared" si="159"/>
        <v>30</v>
      </c>
      <c r="BK224" s="78">
        <f t="shared" si="160"/>
        <v>30</v>
      </c>
      <c r="BL224" s="78">
        <f t="shared" si="161"/>
        <v>30</v>
      </c>
      <c r="BM224" s="78">
        <f t="shared" si="162"/>
        <v>30</v>
      </c>
      <c r="BN224" s="78">
        <f t="shared" si="163"/>
        <v>30</v>
      </c>
      <c r="BO224" s="78">
        <f t="shared" si="164"/>
        <v>30</v>
      </c>
      <c r="BP224" s="78">
        <f t="shared" si="165"/>
        <v>30</v>
      </c>
      <c r="BQ224" s="78">
        <f t="shared" si="166"/>
        <v>30</v>
      </c>
      <c r="BR224" s="78">
        <f t="shared" si="167"/>
        <v>30</v>
      </c>
      <c r="BS224" s="77"/>
      <c r="BT224" s="77"/>
    </row>
    <row r="225" spans="1:72" ht="14.1" customHeight="1" x14ac:dyDescent="0.2">
      <c r="A225" s="55" t="str">
        <f t="shared" si="138"/>
        <v>DS-1 (Residential)_Energy Assistance Charge</v>
      </c>
      <c r="B225" s="80" t="s">
        <v>90</v>
      </c>
      <c r="C225" s="83" t="s">
        <v>778</v>
      </c>
      <c r="D225" s="150" t="s">
        <v>557</v>
      </c>
      <c r="E225" s="81"/>
      <c r="F225" s="73" t="s">
        <v>649</v>
      </c>
      <c r="G225" s="73">
        <v>0</v>
      </c>
      <c r="H225" s="73">
        <v>6</v>
      </c>
      <c r="I225" s="74" t="s">
        <v>641</v>
      </c>
      <c r="J225" s="75" t="s">
        <v>634</v>
      </c>
      <c r="K225" s="74"/>
      <c r="L225" s="82">
        <v>0</v>
      </c>
      <c r="M225" s="138">
        <v>0</v>
      </c>
      <c r="N225" s="138">
        <v>0</v>
      </c>
      <c r="O225" s="138">
        <v>0</v>
      </c>
      <c r="P225" s="138">
        <v>0</v>
      </c>
      <c r="Q225" s="138">
        <v>0</v>
      </c>
      <c r="R225" s="138">
        <v>0</v>
      </c>
      <c r="S225" s="138">
        <v>0</v>
      </c>
      <c r="T225" s="138">
        <v>0</v>
      </c>
      <c r="U225" s="138">
        <v>0</v>
      </c>
      <c r="V225" s="138">
        <v>0</v>
      </c>
      <c r="W225" s="138">
        <v>0</v>
      </c>
      <c r="X225" s="138">
        <v>0</v>
      </c>
      <c r="Y225" s="138">
        <f t="shared" si="168"/>
        <v>0</v>
      </c>
      <c r="Z225" s="138">
        <f t="shared" si="169"/>
        <v>0</v>
      </c>
      <c r="AA225" s="138">
        <f t="shared" si="170"/>
        <v>0</v>
      </c>
      <c r="AB225" s="138">
        <f t="shared" si="171"/>
        <v>0</v>
      </c>
      <c r="AC225" s="138">
        <f t="shared" si="172"/>
        <v>0</v>
      </c>
      <c r="AD225" s="138">
        <f t="shared" si="173"/>
        <v>0</v>
      </c>
      <c r="AE225" s="138">
        <f t="shared" si="174"/>
        <v>0</v>
      </c>
      <c r="AF225" s="138">
        <f t="shared" si="175"/>
        <v>0</v>
      </c>
      <c r="AG225" s="138">
        <f t="shared" si="176"/>
        <v>0</v>
      </c>
      <c r="AH225" s="138">
        <f t="shared" si="177"/>
        <v>0</v>
      </c>
      <c r="AI225" s="138">
        <f t="shared" si="178"/>
        <v>0</v>
      </c>
      <c r="AJ225" s="138">
        <f t="shared" si="179"/>
        <v>0</v>
      </c>
      <c r="AK225" s="138">
        <f t="shared" si="180"/>
        <v>0</v>
      </c>
      <c r="AL225" s="138">
        <f t="shared" si="181"/>
        <v>0</v>
      </c>
      <c r="AM225" s="138">
        <f t="shared" si="182"/>
        <v>0</v>
      </c>
      <c r="AO225" s="77" t="str">
        <f t="shared" si="139"/>
        <v>DS-1 (Residential)</v>
      </c>
      <c r="AP225" s="78" t="s">
        <v>662</v>
      </c>
      <c r="AQ225" s="77" t="str">
        <f t="shared" si="140"/>
        <v>Energy Assistance Charge</v>
      </c>
      <c r="AR225" s="78" t="str">
        <f t="shared" si="141"/>
        <v>Billing Cycle</v>
      </c>
      <c r="AS225" s="79">
        <f t="shared" si="142"/>
        <v>6</v>
      </c>
      <c r="AT225" s="78">
        <f t="shared" si="143"/>
        <v>0</v>
      </c>
      <c r="AU225" s="78">
        <f t="shared" si="144"/>
        <v>0</v>
      </c>
      <c r="AV225" s="78">
        <f t="shared" si="145"/>
        <v>0</v>
      </c>
      <c r="AW225" s="78">
        <f t="shared" si="146"/>
        <v>0</v>
      </c>
      <c r="AX225" s="78">
        <f t="shared" si="147"/>
        <v>0</v>
      </c>
      <c r="AY225" s="78">
        <f t="shared" si="148"/>
        <v>0</v>
      </c>
      <c r="AZ225" s="78">
        <f t="shared" si="149"/>
        <v>0</v>
      </c>
      <c r="BA225" s="78">
        <f t="shared" si="150"/>
        <v>0</v>
      </c>
      <c r="BB225" s="78">
        <f t="shared" si="151"/>
        <v>0</v>
      </c>
      <c r="BC225" s="78">
        <f t="shared" si="152"/>
        <v>0</v>
      </c>
      <c r="BD225" s="78">
        <f t="shared" si="153"/>
        <v>0</v>
      </c>
      <c r="BE225" s="78">
        <f t="shared" si="154"/>
        <v>0</v>
      </c>
      <c r="BF225" s="78">
        <f t="shared" si="155"/>
        <v>0</v>
      </c>
      <c r="BG225" s="78">
        <f t="shared" si="156"/>
        <v>0</v>
      </c>
      <c r="BH225" s="78">
        <f t="shared" si="157"/>
        <v>0</v>
      </c>
      <c r="BI225" s="78">
        <f t="shared" si="158"/>
        <v>0</v>
      </c>
      <c r="BJ225" s="78">
        <f t="shared" si="159"/>
        <v>0</v>
      </c>
      <c r="BK225" s="78">
        <f t="shared" si="160"/>
        <v>0</v>
      </c>
      <c r="BL225" s="78">
        <f t="shared" si="161"/>
        <v>0</v>
      </c>
      <c r="BM225" s="78">
        <f t="shared" si="162"/>
        <v>0</v>
      </c>
      <c r="BN225" s="78">
        <f t="shared" si="163"/>
        <v>0</v>
      </c>
      <c r="BO225" s="78">
        <f t="shared" si="164"/>
        <v>0</v>
      </c>
      <c r="BP225" s="78">
        <f t="shared" si="165"/>
        <v>0</v>
      </c>
      <c r="BQ225" s="78">
        <f t="shared" si="166"/>
        <v>0</v>
      </c>
      <c r="BR225" s="78">
        <f t="shared" si="167"/>
        <v>0</v>
      </c>
      <c r="BS225" s="77"/>
      <c r="BT225" s="77"/>
    </row>
    <row r="226" spans="1:72" ht="14.1" customHeight="1" x14ac:dyDescent="0.2">
      <c r="A226" s="55" t="str">
        <f t="shared" si="138"/>
        <v>DS-2 (Small General Service)_Energy Assistance Charge</v>
      </c>
      <c r="B226" s="80" t="s">
        <v>665</v>
      </c>
      <c r="C226" s="83" t="s">
        <v>778</v>
      </c>
      <c r="D226" s="150"/>
      <c r="E226" s="81"/>
      <c r="F226" s="73" t="s">
        <v>649</v>
      </c>
      <c r="G226" s="73">
        <v>0</v>
      </c>
      <c r="H226" s="73">
        <v>6</v>
      </c>
      <c r="I226" s="74" t="s">
        <v>641</v>
      </c>
      <c r="J226" s="75" t="s">
        <v>634</v>
      </c>
      <c r="K226" s="74"/>
      <c r="L226" s="82">
        <v>4</v>
      </c>
      <c r="M226" s="138">
        <v>4</v>
      </c>
      <c r="N226" s="138">
        <v>4</v>
      </c>
      <c r="O226" s="138">
        <v>4</v>
      </c>
      <c r="P226" s="138">
        <v>4</v>
      </c>
      <c r="Q226" s="138">
        <v>4</v>
      </c>
      <c r="R226" s="138">
        <v>4</v>
      </c>
      <c r="S226" s="138">
        <v>4</v>
      </c>
      <c r="T226" s="138">
        <v>4</v>
      </c>
      <c r="U226" s="138">
        <v>4</v>
      </c>
      <c r="V226" s="138">
        <v>4</v>
      </c>
      <c r="W226" s="138">
        <v>4</v>
      </c>
      <c r="X226" s="138">
        <v>4</v>
      </c>
      <c r="Y226" s="138">
        <f t="shared" si="168"/>
        <v>4</v>
      </c>
      <c r="Z226" s="138">
        <f t="shared" si="169"/>
        <v>4</v>
      </c>
      <c r="AA226" s="138">
        <f t="shared" si="170"/>
        <v>4</v>
      </c>
      <c r="AB226" s="138">
        <f t="shared" si="171"/>
        <v>4</v>
      </c>
      <c r="AC226" s="138">
        <f t="shared" si="172"/>
        <v>4</v>
      </c>
      <c r="AD226" s="138">
        <f t="shared" si="173"/>
        <v>4</v>
      </c>
      <c r="AE226" s="138">
        <f t="shared" si="174"/>
        <v>4</v>
      </c>
      <c r="AF226" s="138">
        <f t="shared" si="175"/>
        <v>4</v>
      </c>
      <c r="AG226" s="138">
        <f t="shared" si="176"/>
        <v>4</v>
      </c>
      <c r="AH226" s="138">
        <f t="shared" si="177"/>
        <v>4</v>
      </c>
      <c r="AI226" s="138">
        <f t="shared" si="178"/>
        <v>4</v>
      </c>
      <c r="AJ226" s="138">
        <f t="shared" si="179"/>
        <v>4</v>
      </c>
      <c r="AK226" s="138">
        <f t="shared" si="180"/>
        <v>4</v>
      </c>
      <c r="AL226" s="138">
        <f t="shared" si="181"/>
        <v>4</v>
      </c>
      <c r="AM226" s="138">
        <f t="shared" si="182"/>
        <v>4</v>
      </c>
      <c r="AO226" s="77" t="str">
        <f t="shared" si="139"/>
        <v>DS-2 (Small General Service)</v>
      </c>
      <c r="AP226" s="78" t="s">
        <v>664</v>
      </c>
      <c r="AQ226" s="77" t="str">
        <f t="shared" si="140"/>
        <v>Energy Assistance Charge</v>
      </c>
      <c r="AR226" s="78" t="str">
        <f t="shared" si="141"/>
        <v>Billing Cycle</v>
      </c>
      <c r="AS226" s="79">
        <f t="shared" si="142"/>
        <v>6</v>
      </c>
      <c r="AT226" s="78">
        <f t="shared" si="143"/>
        <v>4</v>
      </c>
      <c r="AU226" s="78">
        <f t="shared" si="144"/>
        <v>4</v>
      </c>
      <c r="AV226" s="78">
        <f t="shared" si="145"/>
        <v>4</v>
      </c>
      <c r="AW226" s="78">
        <f t="shared" si="146"/>
        <v>4</v>
      </c>
      <c r="AX226" s="78">
        <f t="shared" si="147"/>
        <v>4</v>
      </c>
      <c r="AY226" s="78">
        <f t="shared" si="148"/>
        <v>4</v>
      </c>
      <c r="AZ226" s="78">
        <f t="shared" si="149"/>
        <v>4</v>
      </c>
      <c r="BA226" s="78">
        <f t="shared" si="150"/>
        <v>4</v>
      </c>
      <c r="BB226" s="78">
        <f t="shared" si="151"/>
        <v>4</v>
      </c>
      <c r="BC226" s="78">
        <f t="shared" si="152"/>
        <v>4</v>
      </c>
      <c r="BD226" s="78">
        <f t="shared" si="153"/>
        <v>4</v>
      </c>
      <c r="BE226" s="78">
        <f t="shared" si="154"/>
        <v>4</v>
      </c>
      <c r="BF226" s="78">
        <f t="shared" si="155"/>
        <v>4</v>
      </c>
      <c r="BG226" s="78">
        <f t="shared" si="156"/>
        <v>4</v>
      </c>
      <c r="BH226" s="78">
        <f t="shared" si="157"/>
        <v>4</v>
      </c>
      <c r="BI226" s="78">
        <f t="shared" si="158"/>
        <v>4</v>
      </c>
      <c r="BJ226" s="78">
        <f t="shared" si="159"/>
        <v>4</v>
      </c>
      <c r="BK226" s="78">
        <f t="shared" si="160"/>
        <v>4</v>
      </c>
      <c r="BL226" s="78">
        <f t="shared" si="161"/>
        <v>4</v>
      </c>
      <c r="BM226" s="78">
        <f t="shared" si="162"/>
        <v>4</v>
      </c>
      <c r="BN226" s="78">
        <f t="shared" si="163"/>
        <v>4</v>
      </c>
      <c r="BO226" s="78">
        <f t="shared" si="164"/>
        <v>4</v>
      </c>
      <c r="BP226" s="78">
        <f t="shared" si="165"/>
        <v>4</v>
      </c>
      <c r="BQ226" s="78">
        <f t="shared" si="166"/>
        <v>4</v>
      </c>
      <c r="BR226" s="78">
        <f t="shared" si="167"/>
        <v>4</v>
      </c>
      <c r="BS226" s="77"/>
      <c r="BT226" s="77"/>
    </row>
    <row r="227" spans="1:72" ht="14.1" customHeight="1" x14ac:dyDescent="0.2">
      <c r="A227" s="55" t="str">
        <f t="shared" si="138"/>
        <v>DS-3 (General Delivery Service)_Energy Assistance Charge</v>
      </c>
      <c r="B227" s="80" t="s">
        <v>666</v>
      </c>
      <c r="C227" s="83" t="s">
        <v>778</v>
      </c>
      <c r="D227" s="150"/>
      <c r="E227" s="81"/>
      <c r="F227" s="73" t="s">
        <v>649</v>
      </c>
      <c r="G227" s="73">
        <v>0</v>
      </c>
      <c r="H227" s="73">
        <v>6</v>
      </c>
      <c r="I227" s="74" t="s">
        <v>641</v>
      </c>
      <c r="J227" s="75" t="s">
        <v>634</v>
      </c>
      <c r="K227" s="74"/>
      <c r="L227" s="82">
        <v>4</v>
      </c>
      <c r="M227" s="138">
        <v>4</v>
      </c>
      <c r="N227" s="138">
        <v>4</v>
      </c>
      <c r="O227" s="138">
        <v>4</v>
      </c>
      <c r="P227" s="138">
        <v>4</v>
      </c>
      <c r="Q227" s="138">
        <v>4</v>
      </c>
      <c r="R227" s="138">
        <v>4</v>
      </c>
      <c r="S227" s="138">
        <v>4</v>
      </c>
      <c r="T227" s="138">
        <v>4</v>
      </c>
      <c r="U227" s="138">
        <v>4</v>
      </c>
      <c r="V227" s="138">
        <v>4</v>
      </c>
      <c r="W227" s="138">
        <v>4</v>
      </c>
      <c r="X227" s="138">
        <v>4</v>
      </c>
      <c r="Y227" s="138">
        <f t="shared" si="168"/>
        <v>4</v>
      </c>
      <c r="Z227" s="138">
        <f t="shared" si="169"/>
        <v>4</v>
      </c>
      <c r="AA227" s="138">
        <f t="shared" si="170"/>
        <v>4</v>
      </c>
      <c r="AB227" s="138">
        <f t="shared" si="171"/>
        <v>4</v>
      </c>
      <c r="AC227" s="138">
        <f t="shared" si="172"/>
        <v>4</v>
      </c>
      <c r="AD227" s="138">
        <f t="shared" si="173"/>
        <v>4</v>
      </c>
      <c r="AE227" s="138">
        <f t="shared" si="174"/>
        <v>4</v>
      </c>
      <c r="AF227" s="138">
        <f t="shared" si="175"/>
        <v>4</v>
      </c>
      <c r="AG227" s="138">
        <f t="shared" si="176"/>
        <v>4</v>
      </c>
      <c r="AH227" s="138">
        <f t="shared" si="177"/>
        <v>4</v>
      </c>
      <c r="AI227" s="138">
        <f t="shared" si="178"/>
        <v>4</v>
      </c>
      <c r="AJ227" s="138">
        <f t="shared" si="179"/>
        <v>4</v>
      </c>
      <c r="AK227" s="138">
        <f t="shared" si="180"/>
        <v>4</v>
      </c>
      <c r="AL227" s="138">
        <f t="shared" si="181"/>
        <v>4</v>
      </c>
      <c r="AM227" s="138">
        <f t="shared" si="182"/>
        <v>4</v>
      </c>
      <c r="AO227" s="77" t="str">
        <f t="shared" si="139"/>
        <v>DS-3 (General Delivery Service)</v>
      </c>
      <c r="AP227" s="78" t="s">
        <v>667</v>
      </c>
      <c r="AQ227" s="77" t="str">
        <f t="shared" si="140"/>
        <v>Energy Assistance Charge</v>
      </c>
      <c r="AR227" s="78" t="str">
        <f t="shared" si="141"/>
        <v>Billing Cycle</v>
      </c>
      <c r="AS227" s="79">
        <f t="shared" si="142"/>
        <v>6</v>
      </c>
      <c r="AT227" s="78">
        <f t="shared" si="143"/>
        <v>4</v>
      </c>
      <c r="AU227" s="78">
        <f t="shared" si="144"/>
        <v>4</v>
      </c>
      <c r="AV227" s="78">
        <f t="shared" si="145"/>
        <v>4</v>
      </c>
      <c r="AW227" s="78">
        <f t="shared" si="146"/>
        <v>4</v>
      </c>
      <c r="AX227" s="78">
        <f t="shared" si="147"/>
        <v>4</v>
      </c>
      <c r="AY227" s="78">
        <f t="shared" si="148"/>
        <v>4</v>
      </c>
      <c r="AZ227" s="78">
        <f t="shared" si="149"/>
        <v>4</v>
      </c>
      <c r="BA227" s="78">
        <f t="shared" si="150"/>
        <v>4</v>
      </c>
      <c r="BB227" s="78">
        <f t="shared" si="151"/>
        <v>4</v>
      </c>
      <c r="BC227" s="78">
        <f t="shared" si="152"/>
        <v>4</v>
      </c>
      <c r="BD227" s="78">
        <f t="shared" si="153"/>
        <v>4</v>
      </c>
      <c r="BE227" s="78">
        <f t="shared" si="154"/>
        <v>4</v>
      </c>
      <c r="BF227" s="78">
        <f t="shared" si="155"/>
        <v>4</v>
      </c>
      <c r="BG227" s="78">
        <f t="shared" si="156"/>
        <v>4</v>
      </c>
      <c r="BH227" s="78">
        <f t="shared" si="157"/>
        <v>4</v>
      </c>
      <c r="BI227" s="78">
        <f t="shared" si="158"/>
        <v>4</v>
      </c>
      <c r="BJ227" s="78">
        <f t="shared" si="159"/>
        <v>4</v>
      </c>
      <c r="BK227" s="78">
        <f t="shared" si="160"/>
        <v>4</v>
      </c>
      <c r="BL227" s="78">
        <f t="shared" si="161"/>
        <v>4</v>
      </c>
      <c r="BM227" s="78">
        <f t="shared" si="162"/>
        <v>4</v>
      </c>
      <c r="BN227" s="78">
        <f t="shared" si="163"/>
        <v>4</v>
      </c>
      <c r="BO227" s="78">
        <f t="shared" si="164"/>
        <v>4</v>
      </c>
      <c r="BP227" s="78">
        <f t="shared" si="165"/>
        <v>4</v>
      </c>
      <c r="BQ227" s="78">
        <f t="shared" si="166"/>
        <v>4</v>
      </c>
      <c r="BR227" s="78">
        <f t="shared" si="167"/>
        <v>4</v>
      </c>
      <c r="BS227" s="77"/>
      <c r="BT227" s="77"/>
    </row>
    <row r="228" spans="1:72" ht="14.1" customHeight="1" x14ac:dyDescent="0.2">
      <c r="A228" s="55" t="str">
        <f t="shared" si="138"/>
        <v>DS-4 (Large General Service)_Energy Assistance Charge</v>
      </c>
      <c r="B228" s="85" t="s">
        <v>639</v>
      </c>
      <c r="C228" s="83" t="s">
        <v>778</v>
      </c>
      <c r="D228" s="150"/>
      <c r="E228" s="81"/>
      <c r="F228" s="73" t="s">
        <v>649</v>
      </c>
      <c r="G228" s="73">
        <v>0</v>
      </c>
      <c r="H228" s="73">
        <v>6</v>
      </c>
      <c r="I228" s="74" t="s">
        <v>641</v>
      </c>
      <c r="J228" s="75" t="s">
        <v>634</v>
      </c>
      <c r="K228" s="74"/>
      <c r="L228" s="82">
        <v>4</v>
      </c>
      <c r="M228" s="138">
        <v>4</v>
      </c>
      <c r="N228" s="138">
        <v>4</v>
      </c>
      <c r="O228" s="138">
        <v>4</v>
      </c>
      <c r="P228" s="138">
        <v>4</v>
      </c>
      <c r="Q228" s="138">
        <v>4</v>
      </c>
      <c r="R228" s="138">
        <v>4</v>
      </c>
      <c r="S228" s="138">
        <v>4</v>
      </c>
      <c r="T228" s="138">
        <v>4</v>
      </c>
      <c r="U228" s="138">
        <v>4</v>
      </c>
      <c r="V228" s="138">
        <v>4</v>
      </c>
      <c r="W228" s="138">
        <v>4</v>
      </c>
      <c r="X228" s="138">
        <v>4</v>
      </c>
      <c r="Y228" s="138">
        <f t="shared" si="168"/>
        <v>4</v>
      </c>
      <c r="Z228" s="138">
        <f t="shared" si="169"/>
        <v>4</v>
      </c>
      <c r="AA228" s="138">
        <f t="shared" si="170"/>
        <v>4</v>
      </c>
      <c r="AB228" s="138">
        <f t="shared" si="171"/>
        <v>4</v>
      </c>
      <c r="AC228" s="138">
        <f t="shared" si="172"/>
        <v>4</v>
      </c>
      <c r="AD228" s="138">
        <f t="shared" si="173"/>
        <v>4</v>
      </c>
      <c r="AE228" s="138">
        <f t="shared" si="174"/>
        <v>4</v>
      </c>
      <c r="AF228" s="138">
        <f t="shared" si="175"/>
        <v>4</v>
      </c>
      <c r="AG228" s="138">
        <f t="shared" si="176"/>
        <v>4</v>
      </c>
      <c r="AH228" s="138">
        <f t="shared" si="177"/>
        <v>4</v>
      </c>
      <c r="AI228" s="138">
        <f t="shared" si="178"/>
        <v>4</v>
      </c>
      <c r="AJ228" s="138">
        <f t="shared" si="179"/>
        <v>4</v>
      </c>
      <c r="AK228" s="138">
        <f t="shared" si="180"/>
        <v>4</v>
      </c>
      <c r="AL228" s="138">
        <f t="shared" si="181"/>
        <v>4</v>
      </c>
      <c r="AM228" s="138">
        <f t="shared" si="182"/>
        <v>4</v>
      </c>
      <c r="AO228" s="77" t="str">
        <f t="shared" si="139"/>
        <v>DS-4 (Large General Service)</v>
      </c>
      <c r="AP228" s="78" t="s">
        <v>642</v>
      </c>
      <c r="AQ228" s="77" t="str">
        <f t="shared" si="140"/>
        <v>Energy Assistance Charge</v>
      </c>
      <c r="AR228" s="78" t="str">
        <f t="shared" si="141"/>
        <v>Billing Cycle</v>
      </c>
      <c r="AS228" s="79">
        <f t="shared" si="142"/>
        <v>6</v>
      </c>
      <c r="AT228" s="78">
        <f t="shared" si="143"/>
        <v>4</v>
      </c>
      <c r="AU228" s="78">
        <f t="shared" si="144"/>
        <v>4</v>
      </c>
      <c r="AV228" s="78">
        <f t="shared" si="145"/>
        <v>4</v>
      </c>
      <c r="AW228" s="78">
        <f t="shared" si="146"/>
        <v>4</v>
      </c>
      <c r="AX228" s="78">
        <f t="shared" si="147"/>
        <v>4</v>
      </c>
      <c r="AY228" s="78">
        <f t="shared" si="148"/>
        <v>4</v>
      </c>
      <c r="AZ228" s="78">
        <f t="shared" si="149"/>
        <v>4</v>
      </c>
      <c r="BA228" s="78">
        <f t="shared" si="150"/>
        <v>4</v>
      </c>
      <c r="BB228" s="78">
        <f t="shared" si="151"/>
        <v>4</v>
      </c>
      <c r="BC228" s="78">
        <f t="shared" si="152"/>
        <v>4</v>
      </c>
      <c r="BD228" s="78">
        <f t="shared" si="153"/>
        <v>4</v>
      </c>
      <c r="BE228" s="78">
        <f t="shared" si="154"/>
        <v>4</v>
      </c>
      <c r="BF228" s="78">
        <f t="shared" si="155"/>
        <v>4</v>
      </c>
      <c r="BG228" s="78">
        <f t="shared" si="156"/>
        <v>4</v>
      </c>
      <c r="BH228" s="78">
        <f t="shared" si="157"/>
        <v>4</v>
      </c>
      <c r="BI228" s="78">
        <f t="shared" si="158"/>
        <v>4</v>
      </c>
      <c r="BJ228" s="78">
        <f t="shared" si="159"/>
        <v>4</v>
      </c>
      <c r="BK228" s="78">
        <f t="shared" si="160"/>
        <v>4</v>
      </c>
      <c r="BL228" s="78">
        <f t="shared" si="161"/>
        <v>4</v>
      </c>
      <c r="BM228" s="78">
        <f t="shared" si="162"/>
        <v>4</v>
      </c>
      <c r="BN228" s="78">
        <f t="shared" si="163"/>
        <v>4</v>
      </c>
      <c r="BO228" s="78">
        <f t="shared" si="164"/>
        <v>4</v>
      </c>
      <c r="BP228" s="78">
        <f t="shared" si="165"/>
        <v>4</v>
      </c>
      <c r="BQ228" s="78">
        <f t="shared" si="166"/>
        <v>4</v>
      </c>
      <c r="BR228" s="78">
        <f t="shared" si="167"/>
        <v>4</v>
      </c>
      <c r="BS228" s="77"/>
      <c r="BT228" s="77"/>
    </row>
    <row r="229" spans="1:72" ht="14.1" customHeight="1" x14ac:dyDescent="0.2">
      <c r="A229" s="55" t="str">
        <f t="shared" si="138"/>
        <v>DS-5 (Lighting Service)_Energy Assistance Charge</v>
      </c>
      <c r="B229" s="85" t="s">
        <v>647</v>
      </c>
      <c r="C229" s="83" t="s">
        <v>778</v>
      </c>
      <c r="D229" s="150"/>
      <c r="E229" s="81"/>
      <c r="F229" s="73" t="s">
        <v>649</v>
      </c>
      <c r="G229" s="73">
        <v>0</v>
      </c>
      <c r="H229" s="73">
        <v>6</v>
      </c>
      <c r="I229" s="74" t="s">
        <v>641</v>
      </c>
      <c r="J229" s="75" t="s">
        <v>634</v>
      </c>
      <c r="K229" s="74"/>
      <c r="L229" s="82">
        <v>4</v>
      </c>
      <c r="M229" s="138">
        <v>4</v>
      </c>
      <c r="N229" s="138">
        <v>4</v>
      </c>
      <c r="O229" s="138">
        <v>4</v>
      </c>
      <c r="P229" s="138">
        <v>4</v>
      </c>
      <c r="Q229" s="138">
        <v>4</v>
      </c>
      <c r="R229" s="138">
        <v>4</v>
      </c>
      <c r="S229" s="138">
        <v>4</v>
      </c>
      <c r="T229" s="138">
        <v>4</v>
      </c>
      <c r="U229" s="138">
        <v>4</v>
      </c>
      <c r="V229" s="138">
        <v>4</v>
      </c>
      <c r="W229" s="138">
        <v>4</v>
      </c>
      <c r="X229" s="138">
        <v>4</v>
      </c>
      <c r="Y229" s="138">
        <f t="shared" si="168"/>
        <v>4</v>
      </c>
      <c r="Z229" s="138">
        <f t="shared" si="169"/>
        <v>4</v>
      </c>
      <c r="AA229" s="138">
        <f t="shared" si="170"/>
        <v>4</v>
      </c>
      <c r="AB229" s="138">
        <f t="shared" si="171"/>
        <v>4</v>
      </c>
      <c r="AC229" s="138">
        <f t="shared" si="172"/>
        <v>4</v>
      </c>
      <c r="AD229" s="138">
        <f t="shared" si="173"/>
        <v>4</v>
      </c>
      <c r="AE229" s="138">
        <f t="shared" si="174"/>
        <v>4</v>
      </c>
      <c r="AF229" s="138">
        <f t="shared" si="175"/>
        <v>4</v>
      </c>
      <c r="AG229" s="138">
        <f t="shared" si="176"/>
        <v>4</v>
      </c>
      <c r="AH229" s="138">
        <f t="shared" si="177"/>
        <v>4</v>
      </c>
      <c r="AI229" s="138">
        <f t="shared" si="178"/>
        <v>4</v>
      </c>
      <c r="AJ229" s="138">
        <f t="shared" si="179"/>
        <v>4</v>
      </c>
      <c r="AK229" s="138">
        <f t="shared" si="180"/>
        <v>4</v>
      </c>
      <c r="AL229" s="138">
        <f t="shared" si="181"/>
        <v>4</v>
      </c>
      <c r="AM229" s="138">
        <f t="shared" si="182"/>
        <v>4</v>
      </c>
      <c r="AO229" s="77" t="str">
        <f t="shared" si="139"/>
        <v>DS-5 (Lighting Service)</v>
      </c>
      <c r="AP229" s="78" t="s">
        <v>650</v>
      </c>
      <c r="AQ229" s="77" t="str">
        <f t="shared" si="140"/>
        <v>Energy Assistance Charge</v>
      </c>
      <c r="AR229" s="78" t="str">
        <f t="shared" si="141"/>
        <v>Billing Cycle</v>
      </c>
      <c r="AS229" s="79">
        <f t="shared" si="142"/>
        <v>6</v>
      </c>
      <c r="AT229" s="78">
        <f t="shared" si="143"/>
        <v>4</v>
      </c>
      <c r="AU229" s="78">
        <f t="shared" si="144"/>
        <v>4</v>
      </c>
      <c r="AV229" s="78">
        <f t="shared" si="145"/>
        <v>4</v>
      </c>
      <c r="AW229" s="78">
        <f t="shared" si="146"/>
        <v>4</v>
      </c>
      <c r="AX229" s="78">
        <f t="shared" si="147"/>
        <v>4</v>
      </c>
      <c r="AY229" s="78">
        <f t="shared" si="148"/>
        <v>4</v>
      </c>
      <c r="AZ229" s="78">
        <f t="shared" si="149"/>
        <v>4</v>
      </c>
      <c r="BA229" s="78">
        <f t="shared" si="150"/>
        <v>4</v>
      </c>
      <c r="BB229" s="78">
        <f t="shared" si="151"/>
        <v>4</v>
      </c>
      <c r="BC229" s="78">
        <f t="shared" si="152"/>
        <v>4</v>
      </c>
      <c r="BD229" s="78">
        <f t="shared" si="153"/>
        <v>4</v>
      </c>
      <c r="BE229" s="78">
        <f t="shared" si="154"/>
        <v>4</v>
      </c>
      <c r="BF229" s="78">
        <f t="shared" si="155"/>
        <v>4</v>
      </c>
      <c r="BG229" s="78">
        <f t="shared" si="156"/>
        <v>4</v>
      </c>
      <c r="BH229" s="78">
        <f t="shared" si="157"/>
        <v>4</v>
      </c>
      <c r="BI229" s="78">
        <f t="shared" si="158"/>
        <v>4</v>
      </c>
      <c r="BJ229" s="78">
        <f t="shared" si="159"/>
        <v>4</v>
      </c>
      <c r="BK229" s="78">
        <f t="shared" si="160"/>
        <v>4</v>
      </c>
      <c r="BL229" s="78">
        <f t="shared" si="161"/>
        <v>4</v>
      </c>
      <c r="BM229" s="78">
        <f t="shared" si="162"/>
        <v>4</v>
      </c>
      <c r="BN229" s="78">
        <f t="shared" si="163"/>
        <v>4</v>
      </c>
      <c r="BO229" s="78">
        <f t="shared" si="164"/>
        <v>4</v>
      </c>
      <c r="BP229" s="78">
        <f t="shared" si="165"/>
        <v>4</v>
      </c>
      <c r="BQ229" s="78">
        <f t="shared" si="166"/>
        <v>4</v>
      </c>
      <c r="BR229" s="78">
        <f t="shared" si="167"/>
        <v>4</v>
      </c>
      <c r="BS229" s="77"/>
      <c r="BT229" s="77"/>
    </row>
    <row r="230" spans="1:72" ht="14.1" customHeight="1" x14ac:dyDescent="0.2">
      <c r="A230" s="55" t="str">
        <f t="shared" si="138"/>
        <v>DS-6 (DS-3) Temp. Sensitive DS_Energy Assistance Charge</v>
      </c>
      <c r="B230" s="80" t="s">
        <v>643</v>
      </c>
      <c r="C230" s="83" t="s">
        <v>778</v>
      </c>
      <c r="D230" s="150"/>
      <c r="E230" s="81"/>
      <c r="F230" s="73" t="s">
        <v>649</v>
      </c>
      <c r="G230" s="73">
        <v>0</v>
      </c>
      <c r="H230" s="73">
        <v>6</v>
      </c>
      <c r="I230" s="74" t="s">
        <v>641</v>
      </c>
      <c r="J230" s="75" t="s">
        <v>634</v>
      </c>
      <c r="K230" s="74"/>
      <c r="L230" s="82">
        <v>4</v>
      </c>
      <c r="M230" s="138">
        <v>4</v>
      </c>
      <c r="N230" s="138">
        <v>4</v>
      </c>
      <c r="O230" s="138">
        <v>4</v>
      </c>
      <c r="P230" s="138">
        <v>4</v>
      </c>
      <c r="Q230" s="138">
        <v>4</v>
      </c>
      <c r="R230" s="138">
        <v>4</v>
      </c>
      <c r="S230" s="138">
        <v>4</v>
      </c>
      <c r="T230" s="138">
        <v>4</v>
      </c>
      <c r="U230" s="138">
        <v>4</v>
      </c>
      <c r="V230" s="138">
        <v>4</v>
      </c>
      <c r="W230" s="138">
        <v>4</v>
      </c>
      <c r="X230" s="138">
        <v>4</v>
      </c>
      <c r="Y230" s="138">
        <f t="shared" si="168"/>
        <v>4</v>
      </c>
      <c r="Z230" s="138">
        <f t="shared" si="169"/>
        <v>4</v>
      </c>
      <c r="AA230" s="138">
        <f t="shared" si="170"/>
        <v>4</v>
      </c>
      <c r="AB230" s="138">
        <f t="shared" si="171"/>
        <v>4</v>
      </c>
      <c r="AC230" s="138">
        <f t="shared" si="172"/>
        <v>4</v>
      </c>
      <c r="AD230" s="138">
        <f t="shared" si="173"/>
        <v>4</v>
      </c>
      <c r="AE230" s="138">
        <f t="shared" si="174"/>
        <v>4</v>
      </c>
      <c r="AF230" s="138">
        <f t="shared" si="175"/>
        <v>4</v>
      </c>
      <c r="AG230" s="138">
        <f t="shared" si="176"/>
        <v>4</v>
      </c>
      <c r="AH230" s="138">
        <f t="shared" si="177"/>
        <v>4</v>
      </c>
      <c r="AI230" s="138">
        <f t="shared" si="178"/>
        <v>4</v>
      </c>
      <c r="AJ230" s="138">
        <f t="shared" si="179"/>
        <v>4</v>
      </c>
      <c r="AK230" s="138">
        <f t="shared" si="180"/>
        <v>4</v>
      </c>
      <c r="AL230" s="138">
        <f t="shared" si="181"/>
        <v>4</v>
      </c>
      <c r="AM230" s="138">
        <f t="shared" si="182"/>
        <v>4</v>
      </c>
      <c r="AO230" s="77" t="str">
        <f t="shared" si="139"/>
        <v>DS-6 (DS-3) Temp. Sensitive DS</v>
      </c>
      <c r="AP230" s="78" t="s">
        <v>644</v>
      </c>
      <c r="AQ230" s="77" t="str">
        <f t="shared" si="140"/>
        <v>Energy Assistance Charge</v>
      </c>
      <c r="AR230" s="78" t="str">
        <f t="shared" si="141"/>
        <v>Billing Cycle</v>
      </c>
      <c r="AS230" s="79">
        <f t="shared" si="142"/>
        <v>6</v>
      </c>
      <c r="AT230" s="78">
        <f t="shared" si="143"/>
        <v>4</v>
      </c>
      <c r="AU230" s="78">
        <f t="shared" si="144"/>
        <v>4</v>
      </c>
      <c r="AV230" s="78">
        <f t="shared" si="145"/>
        <v>4</v>
      </c>
      <c r="AW230" s="78">
        <f t="shared" si="146"/>
        <v>4</v>
      </c>
      <c r="AX230" s="78">
        <f t="shared" si="147"/>
        <v>4</v>
      </c>
      <c r="AY230" s="78">
        <f t="shared" si="148"/>
        <v>4</v>
      </c>
      <c r="AZ230" s="78">
        <f t="shared" si="149"/>
        <v>4</v>
      </c>
      <c r="BA230" s="78">
        <f t="shared" si="150"/>
        <v>4</v>
      </c>
      <c r="BB230" s="78">
        <f t="shared" si="151"/>
        <v>4</v>
      </c>
      <c r="BC230" s="78">
        <f t="shared" si="152"/>
        <v>4</v>
      </c>
      <c r="BD230" s="78">
        <f t="shared" si="153"/>
        <v>4</v>
      </c>
      <c r="BE230" s="78">
        <f t="shared" si="154"/>
        <v>4</v>
      </c>
      <c r="BF230" s="78">
        <f t="shared" si="155"/>
        <v>4</v>
      </c>
      <c r="BG230" s="78">
        <f t="shared" si="156"/>
        <v>4</v>
      </c>
      <c r="BH230" s="78">
        <f t="shared" si="157"/>
        <v>4</v>
      </c>
      <c r="BI230" s="78">
        <f t="shared" si="158"/>
        <v>4</v>
      </c>
      <c r="BJ230" s="78">
        <f t="shared" si="159"/>
        <v>4</v>
      </c>
      <c r="BK230" s="78">
        <f t="shared" si="160"/>
        <v>4</v>
      </c>
      <c r="BL230" s="78">
        <f t="shared" si="161"/>
        <v>4</v>
      </c>
      <c r="BM230" s="78">
        <f t="shared" si="162"/>
        <v>4</v>
      </c>
      <c r="BN230" s="78">
        <f t="shared" si="163"/>
        <v>4</v>
      </c>
      <c r="BO230" s="78">
        <f t="shared" si="164"/>
        <v>4</v>
      </c>
      <c r="BP230" s="78">
        <f t="shared" si="165"/>
        <v>4</v>
      </c>
      <c r="BQ230" s="78">
        <f t="shared" si="166"/>
        <v>4</v>
      </c>
      <c r="BR230" s="78">
        <f t="shared" si="167"/>
        <v>4</v>
      </c>
      <c r="BS230" s="77"/>
      <c r="BT230" s="77"/>
    </row>
    <row r="231" spans="1:72" ht="14.1" customHeight="1" x14ac:dyDescent="0.2">
      <c r="A231" s="55" t="str">
        <f t="shared" si="138"/>
        <v>DS-6 (DS-4) Temp. Sensitive DS_Energy Assistance Charge</v>
      </c>
      <c r="B231" s="80" t="s">
        <v>645</v>
      </c>
      <c r="C231" s="83" t="s">
        <v>778</v>
      </c>
      <c r="D231" s="150"/>
      <c r="E231" s="81"/>
      <c r="F231" s="73" t="s">
        <v>649</v>
      </c>
      <c r="G231" s="73">
        <v>0</v>
      </c>
      <c r="H231" s="73">
        <v>6</v>
      </c>
      <c r="I231" s="74" t="s">
        <v>641</v>
      </c>
      <c r="J231" s="75" t="s">
        <v>634</v>
      </c>
      <c r="K231" s="74"/>
      <c r="L231" s="82">
        <v>4</v>
      </c>
      <c r="M231" s="138">
        <v>4</v>
      </c>
      <c r="N231" s="138">
        <v>4</v>
      </c>
      <c r="O231" s="138">
        <v>4</v>
      </c>
      <c r="P231" s="138">
        <v>4</v>
      </c>
      <c r="Q231" s="138">
        <v>4</v>
      </c>
      <c r="R231" s="138">
        <v>4</v>
      </c>
      <c r="S231" s="138">
        <v>4</v>
      </c>
      <c r="T231" s="138">
        <v>4</v>
      </c>
      <c r="U231" s="138">
        <v>4</v>
      </c>
      <c r="V231" s="138">
        <v>4</v>
      </c>
      <c r="W231" s="138">
        <v>4</v>
      </c>
      <c r="X231" s="138">
        <v>4</v>
      </c>
      <c r="Y231" s="138">
        <f t="shared" si="168"/>
        <v>4</v>
      </c>
      <c r="Z231" s="138">
        <f t="shared" si="169"/>
        <v>4</v>
      </c>
      <c r="AA231" s="138">
        <f t="shared" si="170"/>
        <v>4</v>
      </c>
      <c r="AB231" s="138">
        <f t="shared" si="171"/>
        <v>4</v>
      </c>
      <c r="AC231" s="138">
        <f t="shared" si="172"/>
        <v>4</v>
      </c>
      <c r="AD231" s="138">
        <f t="shared" si="173"/>
        <v>4</v>
      </c>
      <c r="AE231" s="138">
        <f t="shared" si="174"/>
        <v>4</v>
      </c>
      <c r="AF231" s="138">
        <f t="shared" si="175"/>
        <v>4</v>
      </c>
      <c r="AG231" s="138">
        <f t="shared" si="176"/>
        <v>4</v>
      </c>
      <c r="AH231" s="138">
        <f t="shared" si="177"/>
        <v>4</v>
      </c>
      <c r="AI231" s="138">
        <f t="shared" si="178"/>
        <v>4</v>
      </c>
      <c r="AJ231" s="138">
        <f t="shared" si="179"/>
        <v>4</v>
      </c>
      <c r="AK231" s="138">
        <f t="shared" si="180"/>
        <v>4</v>
      </c>
      <c r="AL231" s="138">
        <f t="shared" si="181"/>
        <v>4</v>
      </c>
      <c r="AM231" s="138">
        <f t="shared" si="182"/>
        <v>4</v>
      </c>
      <c r="AO231" s="77" t="str">
        <f t="shared" si="139"/>
        <v>DS-6 (DS-4) Temp. Sensitive DS</v>
      </c>
      <c r="AP231" s="78" t="s">
        <v>646</v>
      </c>
      <c r="AQ231" s="77" t="str">
        <f t="shared" si="140"/>
        <v>Energy Assistance Charge</v>
      </c>
      <c r="AR231" s="78" t="str">
        <f t="shared" si="141"/>
        <v>Billing Cycle</v>
      </c>
      <c r="AS231" s="79">
        <f t="shared" si="142"/>
        <v>6</v>
      </c>
      <c r="AT231" s="78">
        <f t="shared" si="143"/>
        <v>4</v>
      </c>
      <c r="AU231" s="78">
        <f t="shared" si="144"/>
        <v>4</v>
      </c>
      <c r="AV231" s="78">
        <f t="shared" si="145"/>
        <v>4</v>
      </c>
      <c r="AW231" s="78">
        <f t="shared" si="146"/>
        <v>4</v>
      </c>
      <c r="AX231" s="78">
        <f t="shared" si="147"/>
        <v>4</v>
      </c>
      <c r="AY231" s="78">
        <f t="shared" si="148"/>
        <v>4</v>
      </c>
      <c r="AZ231" s="78">
        <f t="shared" si="149"/>
        <v>4</v>
      </c>
      <c r="BA231" s="78">
        <f t="shared" si="150"/>
        <v>4</v>
      </c>
      <c r="BB231" s="78">
        <f t="shared" si="151"/>
        <v>4</v>
      </c>
      <c r="BC231" s="78">
        <f t="shared" si="152"/>
        <v>4</v>
      </c>
      <c r="BD231" s="78">
        <f t="shared" si="153"/>
        <v>4</v>
      </c>
      <c r="BE231" s="78">
        <f t="shared" si="154"/>
        <v>4</v>
      </c>
      <c r="BF231" s="78">
        <f t="shared" si="155"/>
        <v>4</v>
      </c>
      <c r="BG231" s="78">
        <f t="shared" si="156"/>
        <v>4</v>
      </c>
      <c r="BH231" s="78">
        <f t="shared" si="157"/>
        <v>4</v>
      </c>
      <c r="BI231" s="78">
        <f t="shared" si="158"/>
        <v>4</v>
      </c>
      <c r="BJ231" s="78">
        <f t="shared" si="159"/>
        <v>4</v>
      </c>
      <c r="BK231" s="78">
        <f t="shared" si="160"/>
        <v>4</v>
      </c>
      <c r="BL231" s="78">
        <f t="shared" si="161"/>
        <v>4</v>
      </c>
      <c r="BM231" s="78">
        <f t="shared" si="162"/>
        <v>4</v>
      </c>
      <c r="BN231" s="78">
        <f t="shared" si="163"/>
        <v>4</v>
      </c>
      <c r="BO231" s="78">
        <f t="shared" si="164"/>
        <v>4</v>
      </c>
      <c r="BP231" s="78">
        <f t="shared" si="165"/>
        <v>4</v>
      </c>
      <c r="BQ231" s="78">
        <f t="shared" si="166"/>
        <v>4</v>
      </c>
      <c r="BR231" s="78">
        <f t="shared" si="167"/>
        <v>4</v>
      </c>
      <c r="BS231" s="77"/>
      <c r="BT231" s="77"/>
    </row>
    <row r="232" spans="1:72" ht="14.1" customHeight="1" x14ac:dyDescent="0.2">
      <c r="A232" s="55" t="str">
        <f t="shared" si="138"/>
        <v>GDS-1 (Residential)_Energy Assistance Charge</v>
      </c>
      <c r="B232" s="80" t="s">
        <v>95</v>
      </c>
      <c r="C232" s="83" t="s">
        <v>778</v>
      </c>
      <c r="D232" s="150" t="s">
        <v>557</v>
      </c>
      <c r="E232" s="81"/>
      <c r="F232" s="73" t="s">
        <v>649</v>
      </c>
      <c r="G232" s="73">
        <v>0</v>
      </c>
      <c r="H232" s="73">
        <v>6</v>
      </c>
      <c r="I232" s="74" t="s">
        <v>641</v>
      </c>
      <c r="J232" s="75" t="s">
        <v>634</v>
      </c>
      <c r="K232" s="74"/>
      <c r="L232" s="82">
        <v>0</v>
      </c>
      <c r="M232" s="138">
        <v>0</v>
      </c>
      <c r="N232" s="138">
        <v>0</v>
      </c>
      <c r="O232" s="138">
        <v>0</v>
      </c>
      <c r="P232" s="138">
        <v>0</v>
      </c>
      <c r="Q232" s="138">
        <v>0</v>
      </c>
      <c r="R232" s="138">
        <v>0</v>
      </c>
      <c r="S232" s="138">
        <v>0</v>
      </c>
      <c r="T232" s="138">
        <v>0</v>
      </c>
      <c r="U232" s="138">
        <v>0</v>
      </c>
      <c r="V232" s="138">
        <v>0</v>
      </c>
      <c r="W232" s="138">
        <v>0</v>
      </c>
      <c r="X232" s="138">
        <v>0</v>
      </c>
      <c r="Y232" s="138">
        <f t="shared" si="168"/>
        <v>0</v>
      </c>
      <c r="Z232" s="138">
        <f t="shared" si="169"/>
        <v>0</v>
      </c>
      <c r="AA232" s="138">
        <f t="shared" si="170"/>
        <v>0</v>
      </c>
      <c r="AB232" s="138">
        <f t="shared" si="171"/>
        <v>0</v>
      </c>
      <c r="AC232" s="138">
        <f t="shared" si="172"/>
        <v>0</v>
      </c>
      <c r="AD232" s="138">
        <f t="shared" si="173"/>
        <v>0</v>
      </c>
      <c r="AE232" s="138">
        <f t="shared" si="174"/>
        <v>0</v>
      </c>
      <c r="AF232" s="138">
        <f t="shared" si="175"/>
        <v>0</v>
      </c>
      <c r="AG232" s="138">
        <f t="shared" si="176"/>
        <v>0</v>
      </c>
      <c r="AH232" s="138">
        <f t="shared" si="177"/>
        <v>0</v>
      </c>
      <c r="AI232" s="138">
        <f t="shared" si="178"/>
        <v>0</v>
      </c>
      <c r="AJ232" s="138">
        <f t="shared" si="179"/>
        <v>0</v>
      </c>
      <c r="AK232" s="138">
        <f t="shared" si="180"/>
        <v>0</v>
      </c>
      <c r="AL232" s="138">
        <f t="shared" si="181"/>
        <v>0</v>
      </c>
      <c r="AM232" s="138">
        <f t="shared" si="182"/>
        <v>0</v>
      </c>
      <c r="AO232" s="77" t="str">
        <f t="shared" si="139"/>
        <v>GDS-1 (Residential)</v>
      </c>
      <c r="AP232" s="78" t="s">
        <v>668</v>
      </c>
      <c r="AQ232" s="77" t="str">
        <f t="shared" si="140"/>
        <v>Energy Assistance Charge</v>
      </c>
      <c r="AR232" s="78" t="str">
        <f t="shared" si="141"/>
        <v>Billing Cycle</v>
      </c>
      <c r="AS232" s="79">
        <f t="shared" si="142"/>
        <v>6</v>
      </c>
      <c r="AT232" s="78">
        <f t="shared" si="143"/>
        <v>0</v>
      </c>
      <c r="AU232" s="78">
        <f t="shared" si="144"/>
        <v>0</v>
      </c>
      <c r="AV232" s="78">
        <f t="shared" si="145"/>
        <v>0</v>
      </c>
      <c r="AW232" s="78">
        <f t="shared" si="146"/>
        <v>0</v>
      </c>
      <c r="AX232" s="78">
        <f t="shared" si="147"/>
        <v>0</v>
      </c>
      <c r="AY232" s="78">
        <f t="shared" si="148"/>
        <v>0</v>
      </c>
      <c r="AZ232" s="78">
        <f t="shared" si="149"/>
        <v>0</v>
      </c>
      <c r="BA232" s="78">
        <f t="shared" si="150"/>
        <v>0</v>
      </c>
      <c r="BB232" s="78">
        <f t="shared" si="151"/>
        <v>0</v>
      </c>
      <c r="BC232" s="78">
        <f t="shared" si="152"/>
        <v>0</v>
      </c>
      <c r="BD232" s="78">
        <f t="shared" si="153"/>
        <v>0</v>
      </c>
      <c r="BE232" s="78">
        <f t="shared" si="154"/>
        <v>0</v>
      </c>
      <c r="BF232" s="78">
        <f t="shared" si="155"/>
        <v>0</v>
      </c>
      <c r="BG232" s="78">
        <f t="shared" si="156"/>
        <v>0</v>
      </c>
      <c r="BH232" s="78">
        <f t="shared" si="157"/>
        <v>0</v>
      </c>
      <c r="BI232" s="78">
        <f t="shared" si="158"/>
        <v>0</v>
      </c>
      <c r="BJ232" s="78">
        <f t="shared" si="159"/>
        <v>0</v>
      </c>
      <c r="BK232" s="78">
        <f t="shared" si="160"/>
        <v>0</v>
      </c>
      <c r="BL232" s="78">
        <f t="shared" si="161"/>
        <v>0</v>
      </c>
      <c r="BM232" s="78">
        <f t="shared" si="162"/>
        <v>0</v>
      </c>
      <c r="BN232" s="78">
        <f t="shared" si="163"/>
        <v>0</v>
      </c>
      <c r="BO232" s="78">
        <f t="shared" si="164"/>
        <v>0</v>
      </c>
      <c r="BP232" s="78">
        <f t="shared" si="165"/>
        <v>0</v>
      </c>
      <c r="BQ232" s="78">
        <f t="shared" si="166"/>
        <v>0</v>
      </c>
      <c r="BR232" s="78">
        <f t="shared" si="167"/>
        <v>0</v>
      </c>
      <c r="BS232" s="77"/>
      <c r="BT232" s="77"/>
    </row>
    <row r="233" spans="1:72" ht="14.1" customHeight="1" x14ac:dyDescent="0.2">
      <c r="A233" s="55" t="str">
        <f t="shared" si="138"/>
        <v>GDS-2 (Small General Delivery)_Energy Assistance Charge</v>
      </c>
      <c r="B233" s="80" t="s">
        <v>669</v>
      </c>
      <c r="C233" s="83" t="s">
        <v>778</v>
      </c>
      <c r="D233" s="150"/>
      <c r="E233" s="81"/>
      <c r="F233" s="73" t="s">
        <v>649</v>
      </c>
      <c r="G233" s="73">
        <v>0</v>
      </c>
      <c r="H233" s="73">
        <v>6</v>
      </c>
      <c r="I233" s="74" t="s">
        <v>641</v>
      </c>
      <c r="J233" s="75" t="s">
        <v>634</v>
      </c>
      <c r="K233" s="74"/>
      <c r="L233" s="82">
        <v>4</v>
      </c>
      <c r="M233" s="138">
        <v>4</v>
      </c>
      <c r="N233" s="138">
        <v>4</v>
      </c>
      <c r="O233" s="138">
        <v>4</v>
      </c>
      <c r="P233" s="138">
        <v>4</v>
      </c>
      <c r="Q233" s="138">
        <v>4</v>
      </c>
      <c r="R233" s="138">
        <v>4</v>
      </c>
      <c r="S233" s="138">
        <v>4</v>
      </c>
      <c r="T233" s="138">
        <v>4</v>
      </c>
      <c r="U233" s="138">
        <v>4</v>
      </c>
      <c r="V233" s="138">
        <v>4</v>
      </c>
      <c r="W233" s="138">
        <v>4</v>
      </c>
      <c r="X233" s="138">
        <v>4</v>
      </c>
      <c r="Y233" s="138">
        <f t="shared" si="168"/>
        <v>4</v>
      </c>
      <c r="Z233" s="138">
        <f t="shared" si="169"/>
        <v>4</v>
      </c>
      <c r="AA233" s="138">
        <f t="shared" si="170"/>
        <v>4</v>
      </c>
      <c r="AB233" s="138">
        <f t="shared" si="171"/>
        <v>4</v>
      </c>
      <c r="AC233" s="138">
        <f t="shared" si="172"/>
        <v>4</v>
      </c>
      <c r="AD233" s="138">
        <f t="shared" si="173"/>
        <v>4</v>
      </c>
      <c r="AE233" s="138">
        <f t="shared" si="174"/>
        <v>4</v>
      </c>
      <c r="AF233" s="138">
        <f t="shared" si="175"/>
        <v>4</v>
      </c>
      <c r="AG233" s="138">
        <f t="shared" si="176"/>
        <v>4</v>
      </c>
      <c r="AH233" s="138">
        <f t="shared" si="177"/>
        <v>4</v>
      </c>
      <c r="AI233" s="138">
        <f t="shared" si="178"/>
        <v>4</v>
      </c>
      <c r="AJ233" s="138">
        <f t="shared" si="179"/>
        <v>4</v>
      </c>
      <c r="AK233" s="138">
        <f t="shared" si="180"/>
        <v>4</v>
      </c>
      <c r="AL233" s="138">
        <f t="shared" si="181"/>
        <v>4</v>
      </c>
      <c r="AM233" s="138">
        <f t="shared" si="182"/>
        <v>4</v>
      </c>
      <c r="AO233" s="77" t="str">
        <f t="shared" si="139"/>
        <v>GDS-2 (Small General Delivery)</v>
      </c>
      <c r="AP233" s="78" t="s">
        <v>670</v>
      </c>
      <c r="AQ233" s="77" t="str">
        <f t="shared" si="140"/>
        <v>Energy Assistance Charge</v>
      </c>
      <c r="AR233" s="78" t="str">
        <f t="shared" si="141"/>
        <v>Billing Cycle</v>
      </c>
      <c r="AS233" s="79">
        <f t="shared" si="142"/>
        <v>6</v>
      </c>
      <c r="AT233" s="78">
        <f t="shared" si="143"/>
        <v>4</v>
      </c>
      <c r="AU233" s="78">
        <f t="shared" si="144"/>
        <v>4</v>
      </c>
      <c r="AV233" s="78">
        <f t="shared" si="145"/>
        <v>4</v>
      </c>
      <c r="AW233" s="78">
        <f t="shared" si="146"/>
        <v>4</v>
      </c>
      <c r="AX233" s="78">
        <f t="shared" si="147"/>
        <v>4</v>
      </c>
      <c r="AY233" s="78">
        <f t="shared" si="148"/>
        <v>4</v>
      </c>
      <c r="AZ233" s="78">
        <f t="shared" si="149"/>
        <v>4</v>
      </c>
      <c r="BA233" s="78">
        <f t="shared" si="150"/>
        <v>4</v>
      </c>
      <c r="BB233" s="78">
        <f t="shared" si="151"/>
        <v>4</v>
      </c>
      <c r="BC233" s="78">
        <f t="shared" si="152"/>
        <v>4</v>
      </c>
      <c r="BD233" s="78">
        <f t="shared" si="153"/>
        <v>4</v>
      </c>
      <c r="BE233" s="78">
        <f t="shared" si="154"/>
        <v>4</v>
      </c>
      <c r="BF233" s="78">
        <f t="shared" si="155"/>
        <v>4</v>
      </c>
      <c r="BG233" s="78">
        <f t="shared" si="156"/>
        <v>4</v>
      </c>
      <c r="BH233" s="78">
        <f t="shared" si="157"/>
        <v>4</v>
      </c>
      <c r="BI233" s="78">
        <f t="shared" si="158"/>
        <v>4</v>
      </c>
      <c r="BJ233" s="78">
        <f t="shared" si="159"/>
        <v>4</v>
      </c>
      <c r="BK233" s="78">
        <f t="shared" si="160"/>
        <v>4</v>
      </c>
      <c r="BL233" s="78">
        <f t="shared" si="161"/>
        <v>4</v>
      </c>
      <c r="BM233" s="78">
        <f t="shared" si="162"/>
        <v>4</v>
      </c>
      <c r="BN233" s="78">
        <f t="shared" si="163"/>
        <v>4</v>
      </c>
      <c r="BO233" s="78">
        <f t="shared" si="164"/>
        <v>4</v>
      </c>
      <c r="BP233" s="78">
        <f t="shared" si="165"/>
        <v>4</v>
      </c>
      <c r="BQ233" s="78">
        <f t="shared" si="166"/>
        <v>4</v>
      </c>
      <c r="BR233" s="78">
        <f t="shared" si="167"/>
        <v>4</v>
      </c>
      <c r="BS233" s="77"/>
      <c r="BT233" s="77"/>
    </row>
    <row r="234" spans="1:72" ht="14.1" customHeight="1" x14ac:dyDescent="0.2">
      <c r="A234" s="55" t="str">
        <f t="shared" si="138"/>
        <v>GDS-3 (Intermediate General Delivery)_Energy Assistance Charge</v>
      </c>
      <c r="B234" s="80" t="s">
        <v>671</v>
      </c>
      <c r="C234" s="83" t="s">
        <v>778</v>
      </c>
      <c r="D234" s="150"/>
      <c r="E234" s="81"/>
      <c r="F234" s="73" t="s">
        <v>649</v>
      </c>
      <c r="G234" s="73">
        <v>0</v>
      </c>
      <c r="H234" s="73">
        <v>6</v>
      </c>
      <c r="I234" s="74" t="s">
        <v>641</v>
      </c>
      <c r="J234" s="75" t="s">
        <v>634</v>
      </c>
      <c r="K234" s="74"/>
      <c r="L234" s="82">
        <v>4</v>
      </c>
      <c r="M234" s="138">
        <v>4</v>
      </c>
      <c r="N234" s="138">
        <v>4</v>
      </c>
      <c r="O234" s="138">
        <v>4</v>
      </c>
      <c r="P234" s="138">
        <v>4</v>
      </c>
      <c r="Q234" s="138">
        <v>4</v>
      </c>
      <c r="R234" s="138">
        <v>4</v>
      </c>
      <c r="S234" s="138">
        <v>4</v>
      </c>
      <c r="T234" s="138">
        <v>4</v>
      </c>
      <c r="U234" s="138">
        <v>4</v>
      </c>
      <c r="V234" s="138">
        <v>4</v>
      </c>
      <c r="W234" s="138">
        <v>4</v>
      </c>
      <c r="X234" s="138">
        <v>4</v>
      </c>
      <c r="Y234" s="138">
        <f t="shared" si="168"/>
        <v>4</v>
      </c>
      <c r="Z234" s="138">
        <f t="shared" si="169"/>
        <v>4</v>
      </c>
      <c r="AA234" s="138">
        <f t="shared" si="170"/>
        <v>4</v>
      </c>
      <c r="AB234" s="138">
        <f t="shared" si="171"/>
        <v>4</v>
      </c>
      <c r="AC234" s="138">
        <f t="shared" si="172"/>
        <v>4</v>
      </c>
      <c r="AD234" s="138">
        <f t="shared" si="173"/>
        <v>4</v>
      </c>
      <c r="AE234" s="138">
        <f t="shared" si="174"/>
        <v>4</v>
      </c>
      <c r="AF234" s="138">
        <f t="shared" si="175"/>
        <v>4</v>
      </c>
      <c r="AG234" s="138">
        <f t="shared" si="176"/>
        <v>4</v>
      </c>
      <c r="AH234" s="138">
        <f t="shared" si="177"/>
        <v>4</v>
      </c>
      <c r="AI234" s="138">
        <f t="shared" si="178"/>
        <v>4</v>
      </c>
      <c r="AJ234" s="138">
        <f t="shared" si="179"/>
        <v>4</v>
      </c>
      <c r="AK234" s="138">
        <f t="shared" si="180"/>
        <v>4</v>
      </c>
      <c r="AL234" s="138">
        <f t="shared" si="181"/>
        <v>4</v>
      </c>
      <c r="AM234" s="138">
        <f t="shared" si="182"/>
        <v>4</v>
      </c>
      <c r="AO234" s="77" t="str">
        <f t="shared" si="139"/>
        <v>GDS-3 (Intermediate General Delivery)</v>
      </c>
      <c r="AP234" s="78" t="s">
        <v>672</v>
      </c>
      <c r="AQ234" s="77" t="str">
        <f t="shared" si="140"/>
        <v>Energy Assistance Charge</v>
      </c>
      <c r="AR234" s="78" t="str">
        <f t="shared" si="141"/>
        <v>Billing Cycle</v>
      </c>
      <c r="AS234" s="79">
        <f t="shared" si="142"/>
        <v>6</v>
      </c>
      <c r="AT234" s="78">
        <f t="shared" si="143"/>
        <v>4</v>
      </c>
      <c r="AU234" s="78">
        <f t="shared" si="144"/>
        <v>4</v>
      </c>
      <c r="AV234" s="78">
        <f t="shared" si="145"/>
        <v>4</v>
      </c>
      <c r="AW234" s="78">
        <f t="shared" si="146"/>
        <v>4</v>
      </c>
      <c r="AX234" s="78">
        <f t="shared" si="147"/>
        <v>4</v>
      </c>
      <c r="AY234" s="78">
        <f t="shared" si="148"/>
        <v>4</v>
      </c>
      <c r="AZ234" s="78">
        <f t="shared" si="149"/>
        <v>4</v>
      </c>
      <c r="BA234" s="78">
        <f t="shared" si="150"/>
        <v>4</v>
      </c>
      <c r="BB234" s="78">
        <f t="shared" si="151"/>
        <v>4</v>
      </c>
      <c r="BC234" s="78">
        <f t="shared" si="152"/>
        <v>4</v>
      </c>
      <c r="BD234" s="78">
        <f t="shared" si="153"/>
        <v>4</v>
      </c>
      <c r="BE234" s="78">
        <f t="shared" si="154"/>
        <v>4</v>
      </c>
      <c r="BF234" s="78">
        <f t="shared" si="155"/>
        <v>4</v>
      </c>
      <c r="BG234" s="78">
        <f t="shared" si="156"/>
        <v>4</v>
      </c>
      <c r="BH234" s="78">
        <f t="shared" si="157"/>
        <v>4</v>
      </c>
      <c r="BI234" s="78">
        <f t="shared" si="158"/>
        <v>4</v>
      </c>
      <c r="BJ234" s="78">
        <f t="shared" si="159"/>
        <v>4</v>
      </c>
      <c r="BK234" s="78">
        <f t="shared" si="160"/>
        <v>4</v>
      </c>
      <c r="BL234" s="78">
        <f t="shared" si="161"/>
        <v>4</v>
      </c>
      <c r="BM234" s="78">
        <f t="shared" si="162"/>
        <v>4</v>
      </c>
      <c r="BN234" s="78">
        <f t="shared" si="163"/>
        <v>4</v>
      </c>
      <c r="BO234" s="78">
        <f t="shared" si="164"/>
        <v>4</v>
      </c>
      <c r="BP234" s="78">
        <f t="shared" si="165"/>
        <v>4</v>
      </c>
      <c r="BQ234" s="78">
        <f t="shared" si="166"/>
        <v>4</v>
      </c>
      <c r="BR234" s="78">
        <f t="shared" si="167"/>
        <v>4</v>
      </c>
      <c r="BS234" s="77"/>
      <c r="BT234" s="77"/>
    </row>
    <row r="235" spans="1:72" ht="14.1" customHeight="1" x14ac:dyDescent="0.2">
      <c r="A235" s="55" t="str">
        <f t="shared" si="138"/>
        <v>GDS-4 (Large General Delivery)_Energy Assistance Charge</v>
      </c>
      <c r="B235" s="80" t="s">
        <v>673</v>
      </c>
      <c r="C235" s="83" t="s">
        <v>778</v>
      </c>
      <c r="D235" s="150"/>
      <c r="E235" s="81"/>
      <c r="F235" s="73" t="s">
        <v>649</v>
      </c>
      <c r="G235" s="73">
        <v>0</v>
      </c>
      <c r="H235" s="73">
        <v>6</v>
      </c>
      <c r="I235" s="74" t="s">
        <v>641</v>
      </c>
      <c r="J235" s="75" t="s">
        <v>634</v>
      </c>
      <c r="K235" s="74"/>
      <c r="L235" s="82">
        <v>4</v>
      </c>
      <c r="M235" s="138">
        <v>4</v>
      </c>
      <c r="N235" s="138">
        <v>4</v>
      </c>
      <c r="O235" s="138">
        <v>4</v>
      </c>
      <c r="P235" s="138">
        <v>4</v>
      </c>
      <c r="Q235" s="138">
        <v>4</v>
      </c>
      <c r="R235" s="138">
        <v>4</v>
      </c>
      <c r="S235" s="138">
        <v>4</v>
      </c>
      <c r="T235" s="138">
        <v>4</v>
      </c>
      <c r="U235" s="138">
        <v>4</v>
      </c>
      <c r="V235" s="138">
        <v>4</v>
      </c>
      <c r="W235" s="138">
        <v>4</v>
      </c>
      <c r="X235" s="138">
        <v>4</v>
      </c>
      <c r="Y235" s="138">
        <f t="shared" si="168"/>
        <v>4</v>
      </c>
      <c r="Z235" s="138">
        <f t="shared" si="169"/>
        <v>4</v>
      </c>
      <c r="AA235" s="138">
        <f t="shared" si="170"/>
        <v>4</v>
      </c>
      <c r="AB235" s="138">
        <f t="shared" si="171"/>
        <v>4</v>
      </c>
      <c r="AC235" s="138">
        <f t="shared" si="172"/>
        <v>4</v>
      </c>
      <c r="AD235" s="138">
        <f t="shared" si="173"/>
        <v>4</v>
      </c>
      <c r="AE235" s="138">
        <f t="shared" si="174"/>
        <v>4</v>
      </c>
      <c r="AF235" s="138">
        <f t="shared" si="175"/>
        <v>4</v>
      </c>
      <c r="AG235" s="138">
        <f t="shared" si="176"/>
        <v>4</v>
      </c>
      <c r="AH235" s="138">
        <f t="shared" si="177"/>
        <v>4</v>
      </c>
      <c r="AI235" s="138">
        <f t="shared" si="178"/>
        <v>4</v>
      </c>
      <c r="AJ235" s="138">
        <f t="shared" si="179"/>
        <v>4</v>
      </c>
      <c r="AK235" s="138">
        <f t="shared" si="180"/>
        <v>4</v>
      </c>
      <c r="AL235" s="138">
        <f t="shared" si="181"/>
        <v>4</v>
      </c>
      <c r="AM235" s="138">
        <f t="shared" si="182"/>
        <v>4</v>
      </c>
      <c r="AO235" s="77" t="str">
        <f t="shared" si="139"/>
        <v>GDS-4 (Large General Delivery)</v>
      </c>
      <c r="AP235" s="78" t="s">
        <v>674</v>
      </c>
      <c r="AQ235" s="77" t="str">
        <f t="shared" si="140"/>
        <v>Energy Assistance Charge</v>
      </c>
      <c r="AR235" s="78" t="str">
        <f t="shared" si="141"/>
        <v>Billing Cycle</v>
      </c>
      <c r="AS235" s="79">
        <f t="shared" si="142"/>
        <v>6</v>
      </c>
      <c r="AT235" s="78">
        <f t="shared" si="143"/>
        <v>4</v>
      </c>
      <c r="AU235" s="78">
        <f t="shared" si="144"/>
        <v>4</v>
      </c>
      <c r="AV235" s="78">
        <f t="shared" si="145"/>
        <v>4</v>
      </c>
      <c r="AW235" s="78">
        <f t="shared" si="146"/>
        <v>4</v>
      </c>
      <c r="AX235" s="78">
        <f t="shared" si="147"/>
        <v>4</v>
      </c>
      <c r="AY235" s="78">
        <f t="shared" si="148"/>
        <v>4</v>
      </c>
      <c r="AZ235" s="78">
        <f t="shared" si="149"/>
        <v>4</v>
      </c>
      <c r="BA235" s="78">
        <f t="shared" si="150"/>
        <v>4</v>
      </c>
      <c r="BB235" s="78">
        <f t="shared" si="151"/>
        <v>4</v>
      </c>
      <c r="BC235" s="78">
        <f t="shared" si="152"/>
        <v>4</v>
      </c>
      <c r="BD235" s="78">
        <f t="shared" si="153"/>
        <v>4</v>
      </c>
      <c r="BE235" s="78">
        <f t="shared" si="154"/>
        <v>4</v>
      </c>
      <c r="BF235" s="78">
        <f t="shared" si="155"/>
        <v>4</v>
      </c>
      <c r="BG235" s="78">
        <f t="shared" si="156"/>
        <v>4</v>
      </c>
      <c r="BH235" s="78">
        <f t="shared" si="157"/>
        <v>4</v>
      </c>
      <c r="BI235" s="78">
        <f t="shared" si="158"/>
        <v>4</v>
      </c>
      <c r="BJ235" s="78">
        <f t="shared" si="159"/>
        <v>4</v>
      </c>
      <c r="BK235" s="78">
        <f t="shared" si="160"/>
        <v>4</v>
      </c>
      <c r="BL235" s="78">
        <f t="shared" si="161"/>
        <v>4</v>
      </c>
      <c r="BM235" s="78">
        <f t="shared" si="162"/>
        <v>4</v>
      </c>
      <c r="BN235" s="78">
        <f t="shared" si="163"/>
        <v>4</v>
      </c>
      <c r="BO235" s="78">
        <f t="shared" si="164"/>
        <v>4</v>
      </c>
      <c r="BP235" s="78">
        <f t="shared" si="165"/>
        <v>4</v>
      </c>
      <c r="BQ235" s="78">
        <f t="shared" si="166"/>
        <v>4</v>
      </c>
      <c r="BR235" s="78">
        <f t="shared" si="167"/>
        <v>4</v>
      </c>
      <c r="BS235" s="77"/>
      <c r="BT235" s="77"/>
    </row>
    <row r="236" spans="1:72" ht="14.1" customHeight="1" x14ac:dyDescent="0.2">
      <c r="A236" s="55" t="str">
        <f t="shared" si="138"/>
        <v>GDS-5 (Seasonal)_Energy Assistance Charge</v>
      </c>
      <c r="B236" s="80" t="s">
        <v>675</v>
      </c>
      <c r="C236" s="83" t="s">
        <v>778</v>
      </c>
      <c r="D236" s="150"/>
      <c r="E236" s="81"/>
      <c r="F236" s="73" t="s">
        <v>649</v>
      </c>
      <c r="G236" s="73">
        <v>0</v>
      </c>
      <c r="H236" s="73">
        <v>6</v>
      </c>
      <c r="I236" s="74" t="s">
        <v>641</v>
      </c>
      <c r="J236" s="75" t="s">
        <v>634</v>
      </c>
      <c r="K236" s="74"/>
      <c r="L236" s="82">
        <v>4</v>
      </c>
      <c r="M236" s="138">
        <v>4</v>
      </c>
      <c r="N236" s="138">
        <v>4</v>
      </c>
      <c r="O236" s="138">
        <v>4</v>
      </c>
      <c r="P236" s="138">
        <v>4</v>
      </c>
      <c r="Q236" s="138">
        <v>4</v>
      </c>
      <c r="R236" s="138">
        <v>4</v>
      </c>
      <c r="S236" s="138">
        <v>4</v>
      </c>
      <c r="T236" s="138">
        <v>4</v>
      </c>
      <c r="U236" s="138">
        <v>4</v>
      </c>
      <c r="V236" s="138">
        <v>4</v>
      </c>
      <c r="W236" s="138">
        <v>4</v>
      </c>
      <c r="X236" s="138">
        <v>4</v>
      </c>
      <c r="Y236" s="138">
        <f t="shared" si="168"/>
        <v>4</v>
      </c>
      <c r="Z236" s="138">
        <f t="shared" si="169"/>
        <v>4</v>
      </c>
      <c r="AA236" s="138">
        <f t="shared" si="170"/>
        <v>4</v>
      </c>
      <c r="AB236" s="138">
        <f t="shared" si="171"/>
        <v>4</v>
      </c>
      <c r="AC236" s="138">
        <f t="shared" si="172"/>
        <v>4</v>
      </c>
      <c r="AD236" s="138">
        <f t="shared" si="173"/>
        <v>4</v>
      </c>
      <c r="AE236" s="138">
        <f t="shared" si="174"/>
        <v>4</v>
      </c>
      <c r="AF236" s="138">
        <f t="shared" si="175"/>
        <v>4</v>
      </c>
      <c r="AG236" s="138">
        <f t="shared" si="176"/>
        <v>4</v>
      </c>
      <c r="AH236" s="138">
        <f t="shared" si="177"/>
        <v>4</v>
      </c>
      <c r="AI236" s="138">
        <f t="shared" si="178"/>
        <v>4</v>
      </c>
      <c r="AJ236" s="138">
        <f t="shared" si="179"/>
        <v>4</v>
      </c>
      <c r="AK236" s="138">
        <f t="shared" si="180"/>
        <v>4</v>
      </c>
      <c r="AL236" s="138">
        <f t="shared" si="181"/>
        <v>4</v>
      </c>
      <c r="AM236" s="138">
        <f t="shared" si="182"/>
        <v>4</v>
      </c>
      <c r="AO236" s="77" t="str">
        <f t="shared" si="139"/>
        <v>GDS-5 (Seasonal)</v>
      </c>
      <c r="AP236" s="78" t="s">
        <v>676</v>
      </c>
      <c r="AQ236" s="77" t="str">
        <f t="shared" si="140"/>
        <v>Energy Assistance Charge</v>
      </c>
      <c r="AR236" s="78" t="str">
        <f t="shared" si="141"/>
        <v>Billing Cycle</v>
      </c>
      <c r="AS236" s="79">
        <f t="shared" si="142"/>
        <v>6</v>
      </c>
      <c r="AT236" s="78">
        <f t="shared" si="143"/>
        <v>4</v>
      </c>
      <c r="AU236" s="78">
        <f t="shared" si="144"/>
        <v>4</v>
      </c>
      <c r="AV236" s="78">
        <f t="shared" si="145"/>
        <v>4</v>
      </c>
      <c r="AW236" s="78">
        <f t="shared" si="146"/>
        <v>4</v>
      </c>
      <c r="AX236" s="78">
        <f t="shared" si="147"/>
        <v>4</v>
      </c>
      <c r="AY236" s="78">
        <f t="shared" si="148"/>
        <v>4</v>
      </c>
      <c r="AZ236" s="78">
        <f t="shared" si="149"/>
        <v>4</v>
      </c>
      <c r="BA236" s="78">
        <f t="shared" si="150"/>
        <v>4</v>
      </c>
      <c r="BB236" s="78">
        <f t="shared" si="151"/>
        <v>4</v>
      </c>
      <c r="BC236" s="78">
        <f t="shared" si="152"/>
        <v>4</v>
      </c>
      <c r="BD236" s="78">
        <f t="shared" si="153"/>
        <v>4</v>
      </c>
      <c r="BE236" s="78">
        <f t="shared" si="154"/>
        <v>4</v>
      </c>
      <c r="BF236" s="78">
        <f t="shared" si="155"/>
        <v>4</v>
      </c>
      <c r="BG236" s="78">
        <f t="shared" si="156"/>
        <v>4</v>
      </c>
      <c r="BH236" s="78">
        <f t="shared" si="157"/>
        <v>4</v>
      </c>
      <c r="BI236" s="78">
        <f t="shared" si="158"/>
        <v>4</v>
      </c>
      <c r="BJ236" s="78">
        <f t="shared" si="159"/>
        <v>4</v>
      </c>
      <c r="BK236" s="78">
        <f t="shared" si="160"/>
        <v>4</v>
      </c>
      <c r="BL236" s="78">
        <f t="shared" si="161"/>
        <v>4</v>
      </c>
      <c r="BM236" s="78">
        <f t="shared" si="162"/>
        <v>4</v>
      </c>
      <c r="BN236" s="78">
        <f t="shared" si="163"/>
        <v>4</v>
      </c>
      <c r="BO236" s="78">
        <f t="shared" si="164"/>
        <v>4</v>
      </c>
      <c r="BP236" s="78">
        <f t="shared" si="165"/>
        <v>4</v>
      </c>
      <c r="BQ236" s="78">
        <f t="shared" si="166"/>
        <v>4</v>
      </c>
      <c r="BR236" s="78">
        <f t="shared" si="167"/>
        <v>4</v>
      </c>
      <c r="BS236" s="77"/>
      <c r="BT236" s="77"/>
    </row>
    <row r="237" spans="1:72" ht="14.1" customHeight="1" x14ac:dyDescent="0.2">
      <c r="A237" s="55" t="str">
        <f t="shared" si="138"/>
        <v>DS-3 (General Delivery Service)_Energy Assistance Charge - Tier 3</v>
      </c>
      <c r="B237" s="80" t="s">
        <v>666</v>
      </c>
      <c r="C237" s="83" t="s">
        <v>779</v>
      </c>
      <c r="D237" s="150"/>
      <c r="E237" s="81"/>
      <c r="F237" s="73" t="s">
        <v>649</v>
      </c>
      <c r="G237" s="73">
        <v>0</v>
      </c>
      <c r="H237" s="73">
        <v>6</v>
      </c>
      <c r="I237" s="74" t="s">
        <v>641</v>
      </c>
      <c r="J237" s="75" t="s">
        <v>634</v>
      </c>
      <c r="K237" s="74"/>
      <c r="L237" s="82">
        <v>150</v>
      </c>
      <c r="M237" s="138">
        <v>150</v>
      </c>
      <c r="N237" s="138">
        <v>150</v>
      </c>
      <c r="O237" s="138">
        <v>150</v>
      </c>
      <c r="P237" s="138">
        <v>150</v>
      </c>
      <c r="Q237" s="138">
        <v>150</v>
      </c>
      <c r="R237" s="138">
        <v>150</v>
      </c>
      <c r="S237" s="138">
        <v>150</v>
      </c>
      <c r="T237" s="138">
        <v>150</v>
      </c>
      <c r="U237" s="138">
        <v>150</v>
      </c>
      <c r="V237" s="138">
        <v>150</v>
      </c>
      <c r="W237" s="138">
        <v>150</v>
      </c>
      <c r="X237" s="138">
        <v>150</v>
      </c>
      <c r="Y237" s="138">
        <f t="shared" si="168"/>
        <v>150</v>
      </c>
      <c r="Z237" s="138">
        <f t="shared" si="169"/>
        <v>150</v>
      </c>
      <c r="AA237" s="138">
        <f t="shared" si="170"/>
        <v>150</v>
      </c>
      <c r="AB237" s="138">
        <f t="shared" si="171"/>
        <v>150</v>
      </c>
      <c r="AC237" s="138">
        <f t="shared" si="172"/>
        <v>150</v>
      </c>
      <c r="AD237" s="138">
        <f t="shared" si="173"/>
        <v>150</v>
      </c>
      <c r="AE237" s="138">
        <f t="shared" si="174"/>
        <v>150</v>
      </c>
      <c r="AF237" s="138">
        <f t="shared" si="175"/>
        <v>150</v>
      </c>
      <c r="AG237" s="138">
        <f t="shared" si="176"/>
        <v>150</v>
      </c>
      <c r="AH237" s="138">
        <f t="shared" si="177"/>
        <v>150</v>
      </c>
      <c r="AI237" s="138">
        <f t="shared" si="178"/>
        <v>150</v>
      </c>
      <c r="AJ237" s="138">
        <f t="shared" si="179"/>
        <v>150</v>
      </c>
      <c r="AK237" s="138">
        <f t="shared" si="180"/>
        <v>150</v>
      </c>
      <c r="AL237" s="138">
        <f t="shared" si="181"/>
        <v>150</v>
      </c>
      <c r="AM237" s="138">
        <f t="shared" si="182"/>
        <v>150</v>
      </c>
      <c r="AO237" s="77" t="str">
        <f t="shared" si="139"/>
        <v>DS-3 (General Delivery Service)</v>
      </c>
      <c r="AP237" s="78" t="s">
        <v>667</v>
      </c>
      <c r="AQ237" s="77" t="str">
        <f t="shared" si="140"/>
        <v>Energy Assistance Charge - Tier 3</v>
      </c>
      <c r="AR237" s="78" t="str">
        <f t="shared" si="141"/>
        <v>Billing Cycle</v>
      </c>
      <c r="AS237" s="79">
        <f t="shared" si="142"/>
        <v>6</v>
      </c>
      <c r="AT237" s="78">
        <f t="shared" si="143"/>
        <v>150</v>
      </c>
      <c r="AU237" s="78">
        <f t="shared" si="144"/>
        <v>150</v>
      </c>
      <c r="AV237" s="78">
        <f t="shared" si="145"/>
        <v>150</v>
      </c>
      <c r="AW237" s="78">
        <f t="shared" si="146"/>
        <v>150</v>
      </c>
      <c r="AX237" s="78">
        <f t="shared" si="147"/>
        <v>150</v>
      </c>
      <c r="AY237" s="78">
        <f t="shared" si="148"/>
        <v>150</v>
      </c>
      <c r="AZ237" s="78">
        <f t="shared" si="149"/>
        <v>150</v>
      </c>
      <c r="BA237" s="78">
        <f t="shared" si="150"/>
        <v>150</v>
      </c>
      <c r="BB237" s="78">
        <f t="shared" si="151"/>
        <v>150</v>
      </c>
      <c r="BC237" s="78">
        <f t="shared" si="152"/>
        <v>150</v>
      </c>
      <c r="BD237" s="78">
        <f t="shared" si="153"/>
        <v>150</v>
      </c>
      <c r="BE237" s="78">
        <f t="shared" si="154"/>
        <v>150</v>
      </c>
      <c r="BF237" s="78">
        <f t="shared" si="155"/>
        <v>150</v>
      </c>
      <c r="BG237" s="78">
        <f t="shared" si="156"/>
        <v>150</v>
      </c>
      <c r="BH237" s="78">
        <f t="shared" si="157"/>
        <v>150</v>
      </c>
      <c r="BI237" s="78">
        <f t="shared" si="158"/>
        <v>150</v>
      </c>
      <c r="BJ237" s="78">
        <f t="shared" si="159"/>
        <v>150</v>
      </c>
      <c r="BK237" s="78">
        <f t="shared" si="160"/>
        <v>150</v>
      </c>
      <c r="BL237" s="78">
        <f t="shared" si="161"/>
        <v>150</v>
      </c>
      <c r="BM237" s="78">
        <f t="shared" si="162"/>
        <v>150</v>
      </c>
      <c r="BN237" s="78">
        <f t="shared" si="163"/>
        <v>150</v>
      </c>
      <c r="BO237" s="78">
        <f t="shared" si="164"/>
        <v>150</v>
      </c>
      <c r="BP237" s="78">
        <f t="shared" si="165"/>
        <v>150</v>
      </c>
      <c r="BQ237" s="78">
        <f t="shared" si="166"/>
        <v>150</v>
      </c>
      <c r="BR237" s="78">
        <f t="shared" si="167"/>
        <v>150</v>
      </c>
      <c r="BS237" s="77"/>
      <c r="BT237" s="77"/>
    </row>
    <row r="238" spans="1:72" ht="14.1" customHeight="1" x14ac:dyDescent="0.2">
      <c r="A238" s="55" t="str">
        <f t="shared" si="138"/>
        <v>DS-4 (Large General Service)_Energy Assistance Charge - Tier 3</v>
      </c>
      <c r="B238" s="85" t="s">
        <v>639</v>
      </c>
      <c r="C238" s="83" t="s">
        <v>779</v>
      </c>
      <c r="D238" s="150"/>
      <c r="E238" s="81"/>
      <c r="F238" s="73" t="s">
        <v>649</v>
      </c>
      <c r="G238" s="73">
        <v>0</v>
      </c>
      <c r="H238" s="73">
        <v>6</v>
      </c>
      <c r="I238" s="74" t="s">
        <v>641</v>
      </c>
      <c r="J238" s="75" t="s">
        <v>634</v>
      </c>
      <c r="K238" s="74"/>
      <c r="L238" s="82">
        <v>150</v>
      </c>
      <c r="M238" s="138">
        <v>150</v>
      </c>
      <c r="N238" s="138">
        <v>150</v>
      </c>
      <c r="O238" s="138">
        <v>150</v>
      </c>
      <c r="P238" s="138">
        <v>150</v>
      </c>
      <c r="Q238" s="138">
        <v>150</v>
      </c>
      <c r="R238" s="138">
        <v>150</v>
      </c>
      <c r="S238" s="138">
        <v>150</v>
      </c>
      <c r="T238" s="138">
        <v>150</v>
      </c>
      <c r="U238" s="138">
        <v>150</v>
      </c>
      <c r="V238" s="138">
        <v>150</v>
      </c>
      <c r="W238" s="138">
        <v>150</v>
      </c>
      <c r="X238" s="138">
        <v>150</v>
      </c>
      <c r="Y238" s="138">
        <f t="shared" si="168"/>
        <v>150</v>
      </c>
      <c r="Z238" s="138">
        <f t="shared" si="169"/>
        <v>150</v>
      </c>
      <c r="AA238" s="138">
        <f t="shared" si="170"/>
        <v>150</v>
      </c>
      <c r="AB238" s="138">
        <f t="shared" si="171"/>
        <v>150</v>
      </c>
      <c r="AC238" s="138">
        <f t="shared" si="172"/>
        <v>150</v>
      </c>
      <c r="AD238" s="138">
        <f t="shared" si="173"/>
        <v>150</v>
      </c>
      <c r="AE238" s="138">
        <f t="shared" si="174"/>
        <v>150</v>
      </c>
      <c r="AF238" s="138">
        <f t="shared" si="175"/>
        <v>150</v>
      </c>
      <c r="AG238" s="138">
        <f t="shared" si="176"/>
        <v>150</v>
      </c>
      <c r="AH238" s="138">
        <f t="shared" si="177"/>
        <v>150</v>
      </c>
      <c r="AI238" s="138">
        <f t="shared" si="178"/>
        <v>150</v>
      </c>
      <c r="AJ238" s="138">
        <f t="shared" si="179"/>
        <v>150</v>
      </c>
      <c r="AK238" s="138">
        <f t="shared" si="180"/>
        <v>150</v>
      </c>
      <c r="AL238" s="138">
        <f t="shared" si="181"/>
        <v>150</v>
      </c>
      <c r="AM238" s="138">
        <f t="shared" si="182"/>
        <v>150</v>
      </c>
      <c r="AO238" s="77" t="str">
        <f t="shared" si="139"/>
        <v>DS-4 (Large General Service)</v>
      </c>
      <c r="AP238" s="78" t="s">
        <v>642</v>
      </c>
      <c r="AQ238" s="77" t="str">
        <f t="shared" si="140"/>
        <v>Energy Assistance Charge - Tier 3</v>
      </c>
      <c r="AR238" s="78" t="str">
        <f t="shared" si="141"/>
        <v>Billing Cycle</v>
      </c>
      <c r="AS238" s="79">
        <f t="shared" si="142"/>
        <v>6</v>
      </c>
      <c r="AT238" s="78">
        <f t="shared" si="143"/>
        <v>150</v>
      </c>
      <c r="AU238" s="78">
        <f t="shared" si="144"/>
        <v>150</v>
      </c>
      <c r="AV238" s="78">
        <f t="shared" si="145"/>
        <v>150</v>
      </c>
      <c r="AW238" s="78">
        <f t="shared" si="146"/>
        <v>150</v>
      </c>
      <c r="AX238" s="78">
        <f t="shared" si="147"/>
        <v>150</v>
      </c>
      <c r="AY238" s="78">
        <f t="shared" si="148"/>
        <v>150</v>
      </c>
      <c r="AZ238" s="78">
        <f t="shared" si="149"/>
        <v>150</v>
      </c>
      <c r="BA238" s="78">
        <f t="shared" si="150"/>
        <v>150</v>
      </c>
      <c r="BB238" s="78">
        <f t="shared" si="151"/>
        <v>150</v>
      </c>
      <c r="BC238" s="78">
        <f t="shared" si="152"/>
        <v>150</v>
      </c>
      <c r="BD238" s="78">
        <f t="shared" si="153"/>
        <v>150</v>
      </c>
      <c r="BE238" s="78">
        <f t="shared" si="154"/>
        <v>150</v>
      </c>
      <c r="BF238" s="78">
        <f t="shared" si="155"/>
        <v>150</v>
      </c>
      <c r="BG238" s="78">
        <f t="shared" si="156"/>
        <v>150</v>
      </c>
      <c r="BH238" s="78">
        <f t="shared" si="157"/>
        <v>150</v>
      </c>
      <c r="BI238" s="78">
        <f t="shared" si="158"/>
        <v>150</v>
      </c>
      <c r="BJ238" s="78">
        <f t="shared" si="159"/>
        <v>150</v>
      </c>
      <c r="BK238" s="78">
        <f t="shared" si="160"/>
        <v>150</v>
      </c>
      <c r="BL238" s="78">
        <f t="shared" si="161"/>
        <v>150</v>
      </c>
      <c r="BM238" s="78">
        <f t="shared" si="162"/>
        <v>150</v>
      </c>
      <c r="BN238" s="78">
        <f t="shared" si="163"/>
        <v>150</v>
      </c>
      <c r="BO238" s="78">
        <f t="shared" si="164"/>
        <v>150</v>
      </c>
      <c r="BP238" s="78">
        <f t="shared" si="165"/>
        <v>150</v>
      </c>
      <c r="BQ238" s="78">
        <f t="shared" si="166"/>
        <v>150</v>
      </c>
      <c r="BR238" s="78">
        <f t="shared" si="167"/>
        <v>150</v>
      </c>
      <c r="BS238" s="77"/>
      <c r="BT238" s="77"/>
    </row>
    <row r="239" spans="1:72" ht="14.1" customHeight="1" x14ac:dyDescent="0.2">
      <c r="A239" s="55" t="str">
        <f t="shared" si="138"/>
        <v>GDS-3 (Intermediate General Delivery)_Energy Assistance Charge - Tier 3</v>
      </c>
      <c r="B239" s="80" t="s">
        <v>671</v>
      </c>
      <c r="C239" s="83" t="s">
        <v>779</v>
      </c>
      <c r="D239" s="150"/>
      <c r="E239" s="81"/>
      <c r="F239" s="73" t="s">
        <v>649</v>
      </c>
      <c r="G239" s="73">
        <v>0</v>
      </c>
      <c r="H239" s="73">
        <v>6</v>
      </c>
      <c r="I239" s="74" t="s">
        <v>641</v>
      </c>
      <c r="J239" s="75" t="s">
        <v>634</v>
      </c>
      <c r="K239" s="74"/>
      <c r="L239" s="82">
        <v>150</v>
      </c>
      <c r="M239" s="138">
        <v>150</v>
      </c>
      <c r="N239" s="138">
        <v>150</v>
      </c>
      <c r="O239" s="138">
        <v>150</v>
      </c>
      <c r="P239" s="138">
        <v>150</v>
      </c>
      <c r="Q239" s="138">
        <v>150</v>
      </c>
      <c r="R239" s="138">
        <v>150</v>
      </c>
      <c r="S239" s="138">
        <v>150</v>
      </c>
      <c r="T239" s="138">
        <v>150</v>
      </c>
      <c r="U239" s="138">
        <v>150</v>
      </c>
      <c r="V239" s="138">
        <v>150</v>
      </c>
      <c r="W239" s="138">
        <v>150</v>
      </c>
      <c r="X239" s="138">
        <v>150</v>
      </c>
      <c r="Y239" s="138">
        <f t="shared" si="168"/>
        <v>150</v>
      </c>
      <c r="Z239" s="138">
        <f t="shared" si="169"/>
        <v>150</v>
      </c>
      <c r="AA239" s="138">
        <f t="shared" si="170"/>
        <v>150</v>
      </c>
      <c r="AB239" s="138">
        <f t="shared" si="171"/>
        <v>150</v>
      </c>
      <c r="AC239" s="138">
        <f t="shared" si="172"/>
        <v>150</v>
      </c>
      <c r="AD239" s="138">
        <f t="shared" si="173"/>
        <v>150</v>
      </c>
      <c r="AE239" s="138">
        <f t="shared" si="174"/>
        <v>150</v>
      </c>
      <c r="AF239" s="138">
        <f t="shared" si="175"/>
        <v>150</v>
      </c>
      <c r="AG239" s="138">
        <f t="shared" si="176"/>
        <v>150</v>
      </c>
      <c r="AH239" s="138">
        <f t="shared" si="177"/>
        <v>150</v>
      </c>
      <c r="AI239" s="138">
        <f t="shared" si="178"/>
        <v>150</v>
      </c>
      <c r="AJ239" s="138">
        <f t="shared" si="179"/>
        <v>150</v>
      </c>
      <c r="AK239" s="138">
        <f t="shared" si="180"/>
        <v>150</v>
      </c>
      <c r="AL239" s="138">
        <f t="shared" si="181"/>
        <v>150</v>
      </c>
      <c r="AM239" s="138">
        <f t="shared" si="182"/>
        <v>150</v>
      </c>
      <c r="AO239" s="77" t="str">
        <f t="shared" si="139"/>
        <v>GDS-3 (Intermediate General Delivery)</v>
      </c>
      <c r="AP239" s="78" t="s">
        <v>672</v>
      </c>
      <c r="AQ239" s="77" t="str">
        <f t="shared" si="140"/>
        <v>Energy Assistance Charge - Tier 3</v>
      </c>
      <c r="AR239" s="78" t="str">
        <f t="shared" si="141"/>
        <v>Billing Cycle</v>
      </c>
      <c r="AS239" s="79">
        <f t="shared" si="142"/>
        <v>6</v>
      </c>
      <c r="AT239" s="78">
        <f t="shared" si="143"/>
        <v>150</v>
      </c>
      <c r="AU239" s="78">
        <f t="shared" si="144"/>
        <v>150</v>
      </c>
      <c r="AV239" s="78">
        <f t="shared" si="145"/>
        <v>150</v>
      </c>
      <c r="AW239" s="78">
        <f t="shared" si="146"/>
        <v>150</v>
      </c>
      <c r="AX239" s="78">
        <f t="shared" si="147"/>
        <v>150</v>
      </c>
      <c r="AY239" s="78">
        <f t="shared" si="148"/>
        <v>150</v>
      </c>
      <c r="AZ239" s="78">
        <f t="shared" si="149"/>
        <v>150</v>
      </c>
      <c r="BA239" s="78">
        <f t="shared" si="150"/>
        <v>150</v>
      </c>
      <c r="BB239" s="78">
        <f t="shared" si="151"/>
        <v>150</v>
      </c>
      <c r="BC239" s="78">
        <f t="shared" si="152"/>
        <v>150</v>
      </c>
      <c r="BD239" s="78">
        <f t="shared" si="153"/>
        <v>150</v>
      </c>
      <c r="BE239" s="78">
        <f t="shared" si="154"/>
        <v>150</v>
      </c>
      <c r="BF239" s="78">
        <f t="shared" si="155"/>
        <v>150</v>
      </c>
      <c r="BG239" s="78">
        <f t="shared" si="156"/>
        <v>150</v>
      </c>
      <c r="BH239" s="78">
        <f t="shared" si="157"/>
        <v>150</v>
      </c>
      <c r="BI239" s="78">
        <f t="shared" si="158"/>
        <v>150</v>
      </c>
      <c r="BJ239" s="78">
        <f t="shared" si="159"/>
        <v>150</v>
      </c>
      <c r="BK239" s="78">
        <f t="shared" si="160"/>
        <v>150</v>
      </c>
      <c r="BL239" s="78">
        <f t="shared" si="161"/>
        <v>150</v>
      </c>
      <c r="BM239" s="78">
        <f t="shared" si="162"/>
        <v>150</v>
      </c>
      <c r="BN239" s="78">
        <f t="shared" si="163"/>
        <v>150</v>
      </c>
      <c r="BO239" s="78">
        <f t="shared" si="164"/>
        <v>150</v>
      </c>
      <c r="BP239" s="78">
        <f t="shared" si="165"/>
        <v>150</v>
      </c>
      <c r="BQ239" s="78">
        <f t="shared" si="166"/>
        <v>150</v>
      </c>
      <c r="BR239" s="78">
        <f t="shared" si="167"/>
        <v>150</v>
      </c>
      <c r="BS239" s="77"/>
      <c r="BT239" s="77"/>
    </row>
    <row r="240" spans="1:72" ht="14.1" customHeight="1" x14ac:dyDescent="0.2">
      <c r="A240" s="55" t="str">
        <f t="shared" si="138"/>
        <v>GDS-4 (Large General Delivery)_Energy Assistance Charge - Tier 3</v>
      </c>
      <c r="B240" s="80" t="s">
        <v>673</v>
      </c>
      <c r="C240" s="83" t="s">
        <v>779</v>
      </c>
      <c r="D240" s="150"/>
      <c r="E240" s="81"/>
      <c r="F240" s="73" t="s">
        <v>649</v>
      </c>
      <c r="G240" s="73">
        <v>0</v>
      </c>
      <c r="H240" s="73">
        <v>6</v>
      </c>
      <c r="I240" s="74" t="s">
        <v>641</v>
      </c>
      <c r="J240" s="75" t="s">
        <v>634</v>
      </c>
      <c r="K240" s="74"/>
      <c r="L240" s="82">
        <v>150</v>
      </c>
      <c r="M240" s="138">
        <v>150</v>
      </c>
      <c r="N240" s="138">
        <v>150</v>
      </c>
      <c r="O240" s="138">
        <v>150</v>
      </c>
      <c r="P240" s="138">
        <v>150</v>
      </c>
      <c r="Q240" s="138">
        <v>150</v>
      </c>
      <c r="R240" s="138">
        <v>150</v>
      </c>
      <c r="S240" s="138">
        <v>150</v>
      </c>
      <c r="T240" s="138">
        <v>150</v>
      </c>
      <c r="U240" s="138">
        <v>150</v>
      </c>
      <c r="V240" s="138">
        <v>150</v>
      </c>
      <c r="W240" s="138">
        <v>150</v>
      </c>
      <c r="X240" s="138">
        <v>150</v>
      </c>
      <c r="Y240" s="138">
        <f t="shared" si="168"/>
        <v>150</v>
      </c>
      <c r="Z240" s="138">
        <f t="shared" si="169"/>
        <v>150</v>
      </c>
      <c r="AA240" s="138">
        <f t="shared" si="170"/>
        <v>150</v>
      </c>
      <c r="AB240" s="138">
        <f t="shared" si="171"/>
        <v>150</v>
      </c>
      <c r="AC240" s="138">
        <f t="shared" si="172"/>
        <v>150</v>
      </c>
      <c r="AD240" s="138">
        <f t="shared" si="173"/>
        <v>150</v>
      </c>
      <c r="AE240" s="138">
        <f t="shared" si="174"/>
        <v>150</v>
      </c>
      <c r="AF240" s="138">
        <f t="shared" si="175"/>
        <v>150</v>
      </c>
      <c r="AG240" s="138">
        <f t="shared" si="176"/>
        <v>150</v>
      </c>
      <c r="AH240" s="138">
        <f t="shared" si="177"/>
        <v>150</v>
      </c>
      <c r="AI240" s="138">
        <f t="shared" si="178"/>
        <v>150</v>
      </c>
      <c r="AJ240" s="138">
        <f t="shared" si="179"/>
        <v>150</v>
      </c>
      <c r="AK240" s="138">
        <f t="shared" si="180"/>
        <v>150</v>
      </c>
      <c r="AL240" s="138">
        <f t="shared" si="181"/>
        <v>150</v>
      </c>
      <c r="AM240" s="138">
        <f t="shared" si="182"/>
        <v>150</v>
      </c>
      <c r="AO240" s="77" t="str">
        <f t="shared" si="139"/>
        <v>GDS-4 (Large General Delivery)</v>
      </c>
      <c r="AP240" s="78" t="s">
        <v>674</v>
      </c>
      <c r="AQ240" s="77" t="str">
        <f t="shared" si="140"/>
        <v>Energy Assistance Charge - Tier 3</v>
      </c>
      <c r="AR240" s="78" t="str">
        <f t="shared" si="141"/>
        <v>Billing Cycle</v>
      </c>
      <c r="AS240" s="79">
        <f t="shared" si="142"/>
        <v>6</v>
      </c>
      <c r="AT240" s="78">
        <f t="shared" si="143"/>
        <v>150</v>
      </c>
      <c r="AU240" s="78">
        <f t="shared" si="144"/>
        <v>150</v>
      </c>
      <c r="AV240" s="78">
        <f t="shared" si="145"/>
        <v>150</v>
      </c>
      <c r="AW240" s="78">
        <f t="shared" si="146"/>
        <v>150</v>
      </c>
      <c r="AX240" s="78">
        <f t="shared" si="147"/>
        <v>150</v>
      </c>
      <c r="AY240" s="78">
        <f t="shared" si="148"/>
        <v>150</v>
      </c>
      <c r="AZ240" s="78">
        <f t="shared" si="149"/>
        <v>150</v>
      </c>
      <c r="BA240" s="78">
        <f t="shared" si="150"/>
        <v>150</v>
      </c>
      <c r="BB240" s="78">
        <f t="shared" si="151"/>
        <v>150</v>
      </c>
      <c r="BC240" s="78">
        <f t="shared" si="152"/>
        <v>150</v>
      </c>
      <c r="BD240" s="78">
        <f t="shared" si="153"/>
        <v>150</v>
      </c>
      <c r="BE240" s="78">
        <f t="shared" si="154"/>
        <v>150</v>
      </c>
      <c r="BF240" s="78">
        <f t="shared" si="155"/>
        <v>150</v>
      </c>
      <c r="BG240" s="78">
        <f t="shared" si="156"/>
        <v>150</v>
      </c>
      <c r="BH240" s="78">
        <f t="shared" si="157"/>
        <v>150</v>
      </c>
      <c r="BI240" s="78">
        <f t="shared" si="158"/>
        <v>150</v>
      </c>
      <c r="BJ240" s="78">
        <f t="shared" si="159"/>
        <v>150</v>
      </c>
      <c r="BK240" s="78">
        <f t="shared" si="160"/>
        <v>150</v>
      </c>
      <c r="BL240" s="78">
        <f t="shared" si="161"/>
        <v>150</v>
      </c>
      <c r="BM240" s="78">
        <f t="shared" si="162"/>
        <v>150</v>
      </c>
      <c r="BN240" s="78">
        <f t="shared" si="163"/>
        <v>150</v>
      </c>
      <c r="BO240" s="78">
        <f t="shared" si="164"/>
        <v>150</v>
      </c>
      <c r="BP240" s="78">
        <f t="shared" si="165"/>
        <v>150</v>
      </c>
      <c r="BQ240" s="78">
        <f t="shared" si="166"/>
        <v>150</v>
      </c>
      <c r="BR240" s="78">
        <f t="shared" si="167"/>
        <v>150</v>
      </c>
      <c r="BS240" s="77"/>
      <c r="BT240" s="77"/>
    </row>
    <row r="241" spans="1:72" ht="14.1" customHeight="1" x14ac:dyDescent="0.2">
      <c r="A241" s="55" t="str">
        <f t="shared" si="138"/>
        <v>GDS-5 (Seasonal)_Energy Assistance Charge - Tier 3</v>
      </c>
      <c r="B241" s="80" t="s">
        <v>675</v>
      </c>
      <c r="C241" s="83" t="s">
        <v>779</v>
      </c>
      <c r="D241" s="150"/>
      <c r="E241" s="81"/>
      <c r="F241" s="73" t="s">
        <v>649</v>
      </c>
      <c r="G241" s="73">
        <v>0</v>
      </c>
      <c r="H241" s="73">
        <v>6</v>
      </c>
      <c r="I241" s="74" t="s">
        <v>641</v>
      </c>
      <c r="J241" s="75" t="s">
        <v>634</v>
      </c>
      <c r="K241" s="74"/>
      <c r="L241" s="82">
        <v>150</v>
      </c>
      <c r="M241" s="138">
        <v>150</v>
      </c>
      <c r="N241" s="138">
        <v>150</v>
      </c>
      <c r="O241" s="138">
        <v>150</v>
      </c>
      <c r="P241" s="138">
        <v>150</v>
      </c>
      <c r="Q241" s="138">
        <v>150</v>
      </c>
      <c r="R241" s="138">
        <v>150</v>
      </c>
      <c r="S241" s="138">
        <v>150</v>
      </c>
      <c r="T241" s="138">
        <v>150</v>
      </c>
      <c r="U241" s="138">
        <v>150</v>
      </c>
      <c r="V241" s="138">
        <v>150</v>
      </c>
      <c r="W241" s="138">
        <v>150</v>
      </c>
      <c r="X241" s="138">
        <v>150</v>
      </c>
      <c r="Y241" s="138">
        <f t="shared" si="168"/>
        <v>150</v>
      </c>
      <c r="Z241" s="138">
        <f t="shared" si="169"/>
        <v>150</v>
      </c>
      <c r="AA241" s="138">
        <f t="shared" si="170"/>
        <v>150</v>
      </c>
      <c r="AB241" s="138">
        <f t="shared" si="171"/>
        <v>150</v>
      </c>
      <c r="AC241" s="138">
        <f t="shared" si="172"/>
        <v>150</v>
      </c>
      <c r="AD241" s="138">
        <f t="shared" si="173"/>
        <v>150</v>
      </c>
      <c r="AE241" s="138">
        <f t="shared" si="174"/>
        <v>150</v>
      </c>
      <c r="AF241" s="138">
        <f t="shared" si="175"/>
        <v>150</v>
      </c>
      <c r="AG241" s="138">
        <f t="shared" si="176"/>
        <v>150</v>
      </c>
      <c r="AH241" s="138">
        <f t="shared" si="177"/>
        <v>150</v>
      </c>
      <c r="AI241" s="138">
        <f t="shared" si="178"/>
        <v>150</v>
      </c>
      <c r="AJ241" s="138">
        <f t="shared" si="179"/>
        <v>150</v>
      </c>
      <c r="AK241" s="138">
        <f t="shared" si="180"/>
        <v>150</v>
      </c>
      <c r="AL241" s="138">
        <f t="shared" si="181"/>
        <v>150</v>
      </c>
      <c r="AM241" s="138">
        <f t="shared" si="182"/>
        <v>150</v>
      </c>
      <c r="AO241" s="77" t="str">
        <f t="shared" si="139"/>
        <v>GDS-5 (Seasonal)</v>
      </c>
      <c r="AP241" s="78" t="s">
        <v>676</v>
      </c>
      <c r="AQ241" s="77" t="str">
        <f t="shared" si="140"/>
        <v>Energy Assistance Charge - Tier 3</v>
      </c>
      <c r="AR241" s="78" t="str">
        <f t="shared" si="141"/>
        <v>Billing Cycle</v>
      </c>
      <c r="AS241" s="79">
        <f t="shared" si="142"/>
        <v>6</v>
      </c>
      <c r="AT241" s="78">
        <f t="shared" si="143"/>
        <v>150</v>
      </c>
      <c r="AU241" s="78">
        <f t="shared" si="144"/>
        <v>150</v>
      </c>
      <c r="AV241" s="78">
        <f t="shared" si="145"/>
        <v>150</v>
      </c>
      <c r="AW241" s="78">
        <f t="shared" si="146"/>
        <v>150</v>
      </c>
      <c r="AX241" s="78">
        <f t="shared" si="147"/>
        <v>150</v>
      </c>
      <c r="AY241" s="78">
        <f t="shared" si="148"/>
        <v>150</v>
      </c>
      <c r="AZ241" s="78">
        <f t="shared" si="149"/>
        <v>150</v>
      </c>
      <c r="BA241" s="78">
        <f t="shared" si="150"/>
        <v>150</v>
      </c>
      <c r="BB241" s="78">
        <f t="shared" si="151"/>
        <v>150</v>
      </c>
      <c r="BC241" s="78">
        <f t="shared" si="152"/>
        <v>150</v>
      </c>
      <c r="BD241" s="78">
        <f t="shared" si="153"/>
        <v>150</v>
      </c>
      <c r="BE241" s="78">
        <f t="shared" si="154"/>
        <v>150</v>
      </c>
      <c r="BF241" s="78">
        <f t="shared" si="155"/>
        <v>150</v>
      </c>
      <c r="BG241" s="78">
        <f t="shared" si="156"/>
        <v>150</v>
      </c>
      <c r="BH241" s="78">
        <f t="shared" si="157"/>
        <v>150</v>
      </c>
      <c r="BI241" s="78">
        <f t="shared" si="158"/>
        <v>150</v>
      </c>
      <c r="BJ241" s="78">
        <f t="shared" si="159"/>
        <v>150</v>
      </c>
      <c r="BK241" s="78">
        <f t="shared" si="160"/>
        <v>150</v>
      </c>
      <c r="BL241" s="78">
        <f t="shared" si="161"/>
        <v>150</v>
      </c>
      <c r="BM241" s="78">
        <f t="shared" si="162"/>
        <v>150</v>
      </c>
      <c r="BN241" s="78">
        <f t="shared" si="163"/>
        <v>150</v>
      </c>
      <c r="BO241" s="78">
        <f t="shared" si="164"/>
        <v>150</v>
      </c>
      <c r="BP241" s="78">
        <f t="shared" si="165"/>
        <v>150</v>
      </c>
      <c r="BQ241" s="78">
        <f t="shared" si="166"/>
        <v>150</v>
      </c>
      <c r="BR241" s="78">
        <f t="shared" si="167"/>
        <v>150</v>
      </c>
      <c r="BS241" s="77"/>
      <c r="BT241" s="77"/>
    </row>
    <row r="242" spans="1:72" ht="14.1" customHeight="1" x14ac:dyDescent="0.2">
      <c r="A242" s="55" t="str">
        <f t="shared" si="138"/>
        <v>DS-6 (DS-3) Temp. Sensitive DS_Excess Demand Charge (per kW) - Tier 1</v>
      </c>
      <c r="B242" s="80" t="s">
        <v>643</v>
      </c>
      <c r="C242" s="83" t="s">
        <v>780</v>
      </c>
      <c r="D242" s="150"/>
      <c r="E242" s="81"/>
      <c r="F242" s="73" t="s">
        <v>649</v>
      </c>
      <c r="G242" s="73">
        <v>0</v>
      </c>
      <c r="H242" s="73">
        <v>6</v>
      </c>
      <c r="I242" s="74" t="s">
        <v>641</v>
      </c>
      <c r="J242" s="75" t="s">
        <v>634</v>
      </c>
      <c r="K242" s="74"/>
      <c r="L242" s="82">
        <v>13</v>
      </c>
      <c r="M242" s="138">
        <v>13</v>
      </c>
      <c r="N242" s="138">
        <v>13</v>
      </c>
      <c r="O242" s="138">
        <v>13</v>
      </c>
      <c r="P242" s="138">
        <v>13</v>
      </c>
      <c r="Q242" s="138">
        <v>13</v>
      </c>
      <c r="R242" s="138">
        <v>13</v>
      </c>
      <c r="S242" s="138">
        <v>13</v>
      </c>
      <c r="T242" s="138">
        <v>13</v>
      </c>
      <c r="U242" s="138">
        <v>13</v>
      </c>
      <c r="V242" s="138">
        <v>13</v>
      </c>
      <c r="W242" s="138">
        <v>13</v>
      </c>
      <c r="X242" s="138">
        <v>13</v>
      </c>
      <c r="Y242" s="138">
        <f t="shared" si="168"/>
        <v>13</v>
      </c>
      <c r="Z242" s="138">
        <f t="shared" si="169"/>
        <v>13</v>
      </c>
      <c r="AA242" s="138">
        <f t="shared" si="170"/>
        <v>13</v>
      </c>
      <c r="AB242" s="138">
        <f t="shared" si="171"/>
        <v>13</v>
      </c>
      <c r="AC242" s="138">
        <f t="shared" si="172"/>
        <v>13</v>
      </c>
      <c r="AD242" s="138">
        <f t="shared" si="173"/>
        <v>13</v>
      </c>
      <c r="AE242" s="138">
        <f t="shared" si="174"/>
        <v>13</v>
      </c>
      <c r="AF242" s="138">
        <f t="shared" si="175"/>
        <v>13</v>
      </c>
      <c r="AG242" s="138">
        <f t="shared" si="176"/>
        <v>13</v>
      </c>
      <c r="AH242" s="138">
        <f t="shared" si="177"/>
        <v>13</v>
      </c>
      <c r="AI242" s="138">
        <f t="shared" si="178"/>
        <v>13</v>
      </c>
      <c r="AJ242" s="138">
        <f t="shared" si="179"/>
        <v>13</v>
      </c>
      <c r="AK242" s="138">
        <f t="shared" si="180"/>
        <v>13</v>
      </c>
      <c r="AL242" s="138">
        <f t="shared" si="181"/>
        <v>13</v>
      </c>
      <c r="AM242" s="138">
        <f t="shared" si="182"/>
        <v>13</v>
      </c>
      <c r="AO242" s="77" t="str">
        <f t="shared" si="139"/>
        <v>DS-6 (DS-3) Temp. Sensitive DS</v>
      </c>
      <c r="AP242" s="78" t="s">
        <v>644</v>
      </c>
      <c r="AQ242" s="77" t="str">
        <f t="shared" si="140"/>
        <v>Excess Demand Charge (per kW) - Tier 1</v>
      </c>
      <c r="AR242" s="78" t="str">
        <f t="shared" si="141"/>
        <v>Billing Cycle</v>
      </c>
      <c r="AS242" s="79">
        <f t="shared" si="142"/>
        <v>6</v>
      </c>
      <c r="AT242" s="78">
        <f t="shared" si="143"/>
        <v>13</v>
      </c>
      <c r="AU242" s="78">
        <f t="shared" si="144"/>
        <v>13</v>
      </c>
      <c r="AV242" s="78">
        <f t="shared" si="145"/>
        <v>13</v>
      </c>
      <c r="AW242" s="78">
        <f t="shared" si="146"/>
        <v>13</v>
      </c>
      <c r="AX242" s="78">
        <f t="shared" si="147"/>
        <v>13</v>
      </c>
      <c r="AY242" s="78">
        <f t="shared" si="148"/>
        <v>13</v>
      </c>
      <c r="AZ242" s="78">
        <f t="shared" si="149"/>
        <v>13</v>
      </c>
      <c r="BA242" s="78">
        <f t="shared" si="150"/>
        <v>13</v>
      </c>
      <c r="BB242" s="78">
        <f t="shared" si="151"/>
        <v>13</v>
      </c>
      <c r="BC242" s="78">
        <f t="shared" si="152"/>
        <v>13</v>
      </c>
      <c r="BD242" s="78">
        <f t="shared" si="153"/>
        <v>13</v>
      </c>
      <c r="BE242" s="78">
        <f t="shared" si="154"/>
        <v>13</v>
      </c>
      <c r="BF242" s="78">
        <f t="shared" si="155"/>
        <v>13</v>
      </c>
      <c r="BG242" s="78">
        <f t="shared" si="156"/>
        <v>13</v>
      </c>
      <c r="BH242" s="78">
        <f t="shared" si="157"/>
        <v>13</v>
      </c>
      <c r="BI242" s="78">
        <f t="shared" si="158"/>
        <v>13</v>
      </c>
      <c r="BJ242" s="78">
        <f t="shared" si="159"/>
        <v>13</v>
      </c>
      <c r="BK242" s="78">
        <f t="shared" si="160"/>
        <v>13</v>
      </c>
      <c r="BL242" s="78">
        <f t="shared" si="161"/>
        <v>13</v>
      </c>
      <c r="BM242" s="78">
        <f t="shared" si="162"/>
        <v>13</v>
      </c>
      <c r="BN242" s="78">
        <f t="shared" si="163"/>
        <v>13</v>
      </c>
      <c r="BO242" s="78">
        <f t="shared" si="164"/>
        <v>13</v>
      </c>
      <c r="BP242" s="78">
        <f t="shared" si="165"/>
        <v>13</v>
      </c>
      <c r="BQ242" s="78">
        <f t="shared" si="166"/>
        <v>13</v>
      </c>
      <c r="BR242" s="78">
        <f t="shared" si="167"/>
        <v>13</v>
      </c>
      <c r="BS242" s="77"/>
      <c r="BT242" s="77"/>
    </row>
    <row r="243" spans="1:72" ht="14.1" customHeight="1" x14ac:dyDescent="0.2">
      <c r="A243" s="55" t="str">
        <f t="shared" si="138"/>
        <v>DS-6 (DS-4) Temp. Sensitive DS_Excess Demand Charge (per kW) - Tier 1</v>
      </c>
      <c r="B243" s="80" t="s">
        <v>645</v>
      </c>
      <c r="C243" s="83" t="s">
        <v>780</v>
      </c>
      <c r="D243" s="150"/>
      <c r="E243" s="81"/>
      <c r="F243" s="73" t="s">
        <v>649</v>
      </c>
      <c r="G243" s="73">
        <v>0</v>
      </c>
      <c r="H243" s="73">
        <v>6</v>
      </c>
      <c r="I243" s="74" t="s">
        <v>641</v>
      </c>
      <c r="J243" s="75" t="s">
        <v>634</v>
      </c>
      <c r="K243" s="74"/>
      <c r="L243" s="82">
        <v>13</v>
      </c>
      <c r="M243" s="138">
        <v>13</v>
      </c>
      <c r="N243" s="138">
        <v>13</v>
      </c>
      <c r="O243" s="138">
        <v>13</v>
      </c>
      <c r="P243" s="138">
        <v>13</v>
      </c>
      <c r="Q243" s="138">
        <v>13</v>
      </c>
      <c r="R243" s="138">
        <v>13</v>
      </c>
      <c r="S243" s="138">
        <v>13</v>
      </c>
      <c r="T243" s="138">
        <v>13</v>
      </c>
      <c r="U243" s="138">
        <v>13</v>
      </c>
      <c r="V243" s="138">
        <v>13</v>
      </c>
      <c r="W243" s="138">
        <v>13</v>
      </c>
      <c r="X243" s="138">
        <v>13</v>
      </c>
      <c r="Y243" s="138">
        <f t="shared" si="168"/>
        <v>13</v>
      </c>
      <c r="Z243" s="138">
        <f t="shared" si="169"/>
        <v>13</v>
      </c>
      <c r="AA243" s="138">
        <f t="shared" si="170"/>
        <v>13</v>
      </c>
      <c r="AB243" s="138">
        <f t="shared" si="171"/>
        <v>13</v>
      </c>
      <c r="AC243" s="138">
        <f t="shared" si="172"/>
        <v>13</v>
      </c>
      <c r="AD243" s="138">
        <f t="shared" si="173"/>
        <v>13</v>
      </c>
      <c r="AE243" s="138">
        <f t="shared" si="174"/>
        <v>13</v>
      </c>
      <c r="AF243" s="138">
        <f t="shared" si="175"/>
        <v>13</v>
      </c>
      <c r="AG243" s="138">
        <f t="shared" si="176"/>
        <v>13</v>
      </c>
      <c r="AH243" s="138">
        <f t="shared" si="177"/>
        <v>13</v>
      </c>
      <c r="AI243" s="138">
        <f t="shared" si="178"/>
        <v>13</v>
      </c>
      <c r="AJ243" s="138">
        <f t="shared" si="179"/>
        <v>13</v>
      </c>
      <c r="AK243" s="138">
        <f t="shared" si="180"/>
        <v>13</v>
      </c>
      <c r="AL243" s="138">
        <f t="shared" si="181"/>
        <v>13</v>
      </c>
      <c r="AM243" s="138">
        <f t="shared" si="182"/>
        <v>13</v>
      </c>
      <c r="AO243" s="77" t="str">
        <f t="shared" si="139"/>
        <v>DS-6 (DS-4) Temp. Sensitive DS</v>
      </c>
      <c r="AP243" s="78" t="s">
        <v>646</v>
      </c>
      <c r="AQ243" s="77" t="str">
        <f t="shared" si="140"/>
        <v>Excess Demand Charge (per kW) - Tier 1</v>
      </c>
      <c r="AR243" s="78" t="str">
        <f t="shared" si="141"/>
        <v>Billing Cycle</v>
      </c>
      <c r="AS243" s="79">
        <f t="shared" si="142"/>
        <v>6</v>
      </c>
      <c r="AT243" s="78">
        <f t="shared" si="143"/>
        <v>13</v>
      </c>
      <c r="AU243" s="78">
        <f t="shared" si="144"/>
        <v>13</v>
      </c>
      <c r="AV243" s="78">
        <f t="shared" si="145"/>
        <v>13</v>
      </c>
      <c r="AW243" s="78">
        <f t="shared" si="146"/>
        <v>13</v>
      </c>
      <c r="AX243" s="78">
        <f t="shared" si="147"/>
        <v>13</v>
      </c>
      <c r="AY243" s="78">
        <f t="shared" si="148"/>
        <v>13</v>
      </c>
      <c r="AZ243" s="78">
        <f t="shared" si="149"/>
        <v>13</v>
      </c>
      <c r="BA243" s="78">
        <f t="shared" si="150"/>
        <v>13</v>
      </c>
      <c r="BB243" s="78">
        <f t="shared" si="151"/>
        <v>13</v>
      </c>
      <c r="BC243" s="78">
        <f t="shared" si="152"/>
        <v>13</v>
      </c>
      <c r="BD243" s="78">
        <f t="shared" si="153"/>
        <v>13</v>
      </c>
      <c r="BE243" s="78">
        <f t="shared" si="154"/>
        <v>13</v>
      </c>
      <c r="BF243" s="78">
        <f t="shared" si="155"/>
        <v>13</v>
      </c>
      <c r="BG243" s="78">
        <f t="shared" si="156"/>
        <v>13</v>
      </c>
      <c r="BH243" s="78">
        <f t="shared" si="157"/>
        <v>13</v>
      </c>
      <c r="BI243" s="78">
        <f t="shared" si="158"/>
        <v>13</v>
      </c>
      <c r="BJ243" s="78">
        <f t="shared" si="159"/>
        <v>13</v>
      </c>
      <c r="BK243" s="78">
        <f t="shared" si="160"/>
        <v>13</v>
      </c>
      <c r="BL243" s="78">
        <f t="shared" si="161"/>
        <v>13</v>
      </c>
      <c r="BM243" s="78">
        <f t="shared" si="162"/>
        <v>13</v>
      </c>
      <c r="BN243" s="78">
        <f t="shared" si="163"/>
        <v>13</v>
      </c>
      <c r="BO243" s="78">
        <f t="shared" si="164"/>
        <v>13</v>
      </c>
      <c r="BP243" s="78">
        <f t="shared" si="165"/>
        <v>13</v>
      </c>
      <c r="BQ243" s="78">
        <f t="shared" si="166"/>
        <v>13</v>
      </c>
      <c r="BR243" s="78">
        <f t="shared" si="167"/>
        <v>13</v>
      </c>
      <c r="BS243" s="77"/>
      <c r="BT243" s="77"/>
    </row>
    <row r="244" spans="1:72" ht="14.1" customHeight="1" x14ac:dyDescent="0.2">
      <c r="A244" s="55" t="str">
        <f t="shared" si="138"/>
        <v>DS-6 (DS-3) Temp. Sensitive DS_Excess Demand Charge (per kW) - Tier 2</v>
      </c>
      <c r="B244" s="80" t="s">
        <v>643</v>
      </c>
      <c r="C244" s="83" t="s">
        <v>781</v>
      </c>
      <c r="D244" s="150"/>
      <c r="E244" s="81"/>
      <c r="F244" s="73" t="s">
        <v>649</v>
      </c>
      <c r="G244" s="73">
        <v>0</v>
      </c>
      <c r="H244" s="73">
        <v>6</v>
      </c>
      <c r="I244" s="74" t="s">
        <v>641</v>
      </c>
      <c r="J244" s="75" t="s">
        <v>634</v>
      </c>
      <c r="K244" s="74"/>
      <c r="L244" s="82">
        <v>20</v>
      </c>
      <c r="M244" s="138">
        <v>20</v>
      </c>
      <c r="N244" s="138">
        <v>20</v>
      </c>
      <c r="O244" s="138">
        <v>20</v>
      </c>
      <c r="P244" s="138">
        <v>20</v>
      </c>
      <c r="Q244" s="138">
        <v>20</v>
      </c>
      <c r="R244" s="138">
        <v>20</v>
      </c>
      <c r="S244" s="138">
        <v>20</v>
      </c>
      <c r="T244" s="138">
        <v>20</v>
      </c>
      <c r="U244" s="138">
        <v>20</v>
      </c>
      <c r="V244" s="138">
        <v>20</v>
      </c>
      <c r="W244" s="138">
        <v>20</v>
      </c>
      <c r="X244" s="138">
        <v>20</v>
      </c>
      <c r="Y244" s="138">
        <f t="shared" si="168"/>
        <v>20</v>
      </c>
      <c r="Z244" s="138">
        <f t="shared" si="169"/>
        <v>20</v>
      </c>
      <c r="AA244" s="138">
        <f t="shared" si="170"/>
        <v>20</v>
      </c>
      <c r="AB244" s="138">
        <f t="shared" si="171"/>
        <v>20</v>
      </c>
      <c r="AC244" s="138">
        <f t="shared" si="172"/>
        <v>20</v>
      </c>
      <c r="AD244" s="138">
        <f t="shared" si="173"/>
        <v>20</v>
      </c>
      <c r="AE244" s="138">
        <f t="shared" si="174"/>
        <v>20</v>
      </c>
      <c r="AF244" s="138">
        <f t="shared" si="175"/>
        <v>20</v>
      </c>
      <c r="AG244" s="138">
        <f t="shared" si="176"/>
        <v>20</v>
      </c>
      <c r="AH244" s="138">
        <f t="shared" si="177"/>
        <v>20</v>
      </c>
      <c r="AI244" s="138">
        <f t="shared" si="178"/>
        <v>20</v>
      </c>
      <c r="AJ244" s="138">
        <f t="shared" si="179"/>
        <v>20</v>
      </c>
      <c r="AK244" s="138">
        <f t="shared" si="180"/>
        <v>20</v>
      </c>
      <c r="AL244" s="138">
        <f t="shared" si="181"/>
        <v>20</v>
      </c>
      <c r="AM244" s="138">
        <f t="shared" si="182"/>
        <v>20</v>
      </c>
      <c r="AO244" s="77" t="str">
        <f t="shared" si="139"/>
        <v>DS-6 (DS-3) Temp. Sensitive DS</v>
      </c>
      <c r="AP244" s="78" t="s">
        <v>644</v>
      </c>
      <c r="AQ244" s="77" t="str">
        <f t="shared" si="140"/>
        <v>Excess Demand Charge (per kW) - Tier 2</v>
      </c>
      <c r="AR244" s="78" t="str">
        <f t="shared" si="141"/>
        <v>Billing Cycle</v>
      </c>
      <c r="AS244" s="79">
        <f t="shared" si="142"/>
        <v>6</v>
      </c>
      <c r="AT244" s="78">
        <f t="shared" si="143"/>
        <v>20</v>
      </c>
      <c r="AU244" s="78">
        <f t="shared" si="144"/>
        <v>20</v>
      </c>
      <c r="AV244" s="78">
        <f t="shared" si="145"/>
        <v>20</v>
      </c>
      <c r="AW244" s="78">
        <f t="shared" si="146"/>
        <v>20</v>
      </c>
      <c r="AX244" s="78">
        <f t="shared" si="147"/>
        <v>20</v>
      </c>
      <c r="AY244" s="78">
        <f t="shared" si="148"/>
        <v>20</v>
      </c>
      <c r="AZ244" s="78">
        <f t="shared" si="149"/>
        <v>20</v>
      </c>
      <c r="BA244" s="78">
        <f t="shared" si="150"/>
        <v>20</v>
      </c>
      <c r="BB244" s="78">
        <f t="shared" si="151"/>
        <v>20</v>
      </c>
      <c r="BC244" s="78">
        <f t="shared" si="152"/>
        <v>20</v>
      </c>
      <c r="BD244" s="78">
        <f t="shared" si="153"/>
        <v>20</v>
      </c>
      <c r="BE244" s="78">
        <f t="shared" si="154"/>
        <v>20</v>
      </c>
      <c r="BF244" s="78">
        <f t="shared" si="155"/>
        <v>20</v>
      </c>
      <c r="BG244" s="78">
        <f t="shared" si="156"/>
        <v>20</v>
      </c>
      <c r="BH244" s="78">
        <f t="shared" si="157"/>
        <v>20</v>
      </c>
      <c r="BI244" s="78">
        <f t="shared" si="158"/>
        <v>20</v>
      </c>
      <c r="BJ244" s="78">
        <f t="shared" si="159"/>
        <v>20</v>
      </c>
      <c r="BK244" s="78">
        <f t="shared" si="160"/>
        <v>20</v>
      </c>
      <c r="BL244" s="78">
        <f t="shared" si="161"/>
        <v>20</v>
      </c>
      <c r="BM244" s="78">
        <f t="shared" si="162"/>
        <v>20</v>
      </c>
      <c r="BN244" s="78">
        <f t="shared" si="163"/>
        <v>20</v>
      </c>
      <c r="BO244" s="78">
        <f t="shared" si="164"/>
        <v>20</v>
      </c>
      <c r="BP244" s="78">
        <f t="shared" si="165"/>
        <v>20</v>
      </c>
      <c r="BQ244" s="78">
        <f t="shared" si="166"/>
        <v>20</v>
      </c>
      <c r="BR244" s="78">
        <f t="shared" si="167"/>
        <v>20</v>
      </c>
      <c r="BS244" s="77"/>
      <c r="BT244" s="77"/>
    </row>
    <row r="245" spans="1:72" ht="14.1" customHeight="1" x14ac:dyDescent="0.2">
      <c r="A245" s="55" t="str">
        <f t="shared" si="138"/>
        <v>DS-6 (DS-4) Temp. Sensitive DS_Excess Demand Charge (per kW) - Tier 2</v>
      </c>
      <c r="B245" s="80" t="s">
        <v>645</v>
      </c>
      <c r="C245" s="83" t="s">
        <v>781</v>
      </c>
      <c r="D245" s="150"/>
      <c r="E245" s="81"/>
      <c r="F245" s="73" t="s">
        <v>649</v>
      </c>
      <c r="G245" s="73">
        <v>0</v>
      </c>
      <c r="H245" s="73">
        <v>6</v>
      </c>
      <c r="I245" s="74" t="s">
        <v>641</v>
      </c>
      <c r="J245" s="75" t="s">
        <v>634</v>
      </c>
      <c r="K245" s="74"/>
      <c r="L245" s="82">
        <v>20</v>
      </c>
      <c r="M245" s="138">
        <v>20</v>
      </c>
      <c r="N245" s="138">
        <v>20</v>
      </c>
      <c r="O245" s="138">
        <v>20</v>
      </c>
      <c r="P245" s="138">
        <v>20</v>
      </c>
      <c r="Q245" s="138">
        <v>20</v>
      </c>
      <c r="R245" s="138">
        <v>20</v>
      </c>
      <c r="S245" s="138">
        <v>20</v>
      </c>
      <c r="T245" s="138">
        <v>20</v>
      </c>
      <c r="U245" s="138">
        <v>20</v>
      </c>
      <c r="V245" s="138">
        <v>20</v>
      </c>
      <c r="W245" s="138">
        <v>20</v>
      </c>
      <c r="X245" s="138">
        <v>20</v>
      </c>
      <c r="Y245" s="138">
        <f t="shared" si="168"/>
        <v>20</v>
      </c>
      <c r="Z245" s="138">
        <f t="shared" si="169"/>
        <v>20</v>
      </c>
      <c r="AA245" s="138">
        <f t="shared" si="170"/>
        <v>20</v>
      </c>
      <c r="AB245" s="138">
        <f t="shared" si="171"/>
        <v>20</v>
      </c>
      <c r="AC245" s="138">
        <f t="shared" si="172"/>
        <v>20</v>
      </c>
      <c r="AD245" s="138">
        <f t="shared" si="173"/>
        <v>20</v>
      </c>
      <c r="AE245" s="138">
        <f t="shared" si="174"/>
        <v>20</v>
      </c>
      <c r="AF245" s="138">
        <f t="shared" si="175"/>
        <v>20</v>
      </c>
      <c r="AG245" s="138">
        <f t="shared" si="176"/>
        <v>20</v>
      </c>
      <c r="AH245" s="138">
        <f t="shared" si="177"/>
        <v>20</v>
      </c>
      <c r="AI245" s="138">
        <f t="shared" si="178"/>
        <v>20</v>
      </c>
      <c r="AJ245" s="138">
        <f t="shared" si="179"/>
        <v>20</v>
      </c>
      <c r="AK245" s="138">
        <f t="shared" si="180"/>
        <v>20</v>
      </c>
      <c r="AL245" s="138">
        <f t="shared" si="181"/>
        <v>20</v>
      </c>
      <c r="AM245" s="138">
        <f t="shared" si="182"/>
        <v>20</v>
      </c>
      <c r="AO245" s="77" t="str">
        <f t="shared" si="139"/>
        <v>DS-6 (DS-4) Temp. Sensitive DS</v>
      </c>
      <c r="AP245" s="78" t="s">
        <v>646</v>
      </c>
      <c r="AQ245" s="77" t="str">
        <f t="shared" si="140"/>
        <v>Excess Demand Charge (per kW) - Tier 2</v>
      </c>
      <c r="AR245" s="78" t="str">
        <f t="shared" si="141"/>
        <v>Billing Cycle</v>
      </c>
      <c r="AS245" s="79">
        <f t="shared" si="142"/>
        <v>6</v>
      </c>
      <c r="AT245" s="78">
        <f t="shared" si="143"/>
        <v>20</v>
      </c>
      <c r="AU245" s="78">
        <f t="shared" si="144"/>
        <v>20</v>
      </c>
      <c r="AV245" s="78">
        <f t="shared" si="145"/>
        <v>20</v>
      </c>
      <c r="AW245" s="78">
        <f t="shared" si="146"/>
        <v>20</v>
      </c>
      <c r="AX245" s="78">
        <f t="shared" si="147"/>
        <v>20</v>
      </c>
      <c r="AY245" s="78">
        <f t="shared" si="148"/>
        <v>20</v>
      </c>
      <c r="AZ245" s="78">
        <f t="shared" si="149"/>
        <v>20</v>
      </c>
      <c r="BA245" s="78">
        <f t="shared" si="150"/>
        <v>20</v>
      </c>
      <c r="BB245" s="78">
        <f t="shared" si="151"/>
        <v>20</v>
      </c>
      <c r="BC245" s="78">
        <f t="shared" si="152"/>
        <v>20</v>
      </c>
      <c r="BD245" s="78">
        <f t="shared" si="153"/>
        <v>20</v>
      </c>
      <c r="BE245" s="78">
        <f t="shared" si="154"/>
        <v>20</v>
      </c>
      <c r="BF245" s="78">
        <f t="shared" si="155"/>
        <v>20</v>
      </c>
      <c r="BG245" s="78">
        <f t="shared" si="156"/>
        <v>20</v>
      </c>
      <c r="BH245" s="78">
        <f t="shared" si="157"/>
        <v>20</v>
      </c>
      <c r="BI245" s="78">
        <f t="shared" si="158"/>
        <v>20</v>
      </c>
      <c r="BJ245" s="78">
        <f t="shared" si="159"/>
        <v>20</v>
      </c>
      <c r="BK245" s="78">
        <f t="shared" si="160"/>
        <v>20</v>
      </c>
      <c r="BL245" s="78">
        <f t="shared" si="161"/>
        <v>20</v>
      </c>
      <c r="BM245" s="78">
        <f t="shared" si="162"/>
        <v>20</v>
      </c>
      <c r="BN245" s="78">
        <f t="shared" si="163"/>
        <v>20</v>
      </c>
      <c r="BO245" s="78">
        <f t="shared" si="164"/>
        <v>20</v>
      </c>
      <c r="BP245" s="78">
        <f t="shared" si="165"/>
        <v>20</v>
      </c>
      <c r="BQ245" s="78">
        <f t="shared" si="166"/>
        <v>20</v>
      </c>
      <c r="BR245" s="78">
        <f t="shared" si="167"/>
        <v>20</v>
      </c>
      <c r="BS245" s="77"/>
      <c r="BT245" s="77"/>
    </row>
    <row r="246" spans="1:72" ht="15" x14ac:dyDescent="0.2">
      <c r="A246" s="55" t="str">
        <f t="shared" si="138"/>
        <v>RTP-1 (Residential) Summer - All kWh_Market Settlement (part of Day Ahead Energy Charge)</v>
      </c>
      <c r="B246" s="80" t="s">
        <v>632</v>
      </c>
      <c r="C246" s="71" t="s">
        <v>782</v>
      </c>
      <c r="D246" s="150"/>
      <c r="E246" s="81"/>
      <c r="F246" s="73"/>
      <c r="G246" s="73"/>
      <c r="H246" s="73"/>
      <c r="I246" s="74"/>
      <c r="J246" s="75"/>
      <c r="K246" s="74"/>
      <c r="L246" s="82">
        <v>0</v>
      </c>
      <c r="M246" s="138">
        <v>0</v>
      </c>
      <c r="N246" s="138">
        <v>0</v>
      </c>
      <c r="O246" s="138">
        <v>0</v>
      </c>
      <c r="P246" s="138">
        <v>0</v>
      </c>
      <c r="Q246" s="138">
        <v>0</v>
      </c>
      <c r="R246" s="138">
        <v>0</v>
      </c>
      <c r="S246" s="138">
        <v>0</v>
      </c>
      <c r="T246" s="138">
        <v>0</v>
      </c>
      <c r="U246" s="138">
        <v>0</v>
      </c>
      <c r="V246" s="138">
        <v>0</v>
      </c>
      <c r="W246" s="138">
        <v>0</v>
      </c>
      <c r="X246" s="138">
        <v>0</v>
      </c>
      <c r="Y246" s="138">
        <f t="shared" si="168"/>
        <v>0</v>
      </c>
      <c r="Z246" s="138">
        <f t="shared" si="169"/>
        <v>0</v>
      </c>
      <c r="AA246" s="138">
        <f t="shared" si="170"/>
        <v>0</v>
      </c>
      <c r="AB246" s="138">
        <f t="shared" si="171"/>
        <v>0</v>
      </c>
      <c r="AC246" s="138">
        <f t="shared" si="172"/>
        <v>0</v>
      </c>
      <c r="AD246" s="138">
        <f t="shared" si="173"/>
        <v>0</v>
      </c>
      <c r="AE246" s="138">
        <f t="shared" si="174"/>
        <v>0</v>
      </c>
      <c r="AF246" s="138">
        <f t="shared" si="175"/>
        <v>0</v>
      </c>
      <c r="AG246" s="138">
        <f t="shared" si="176"/>
        <v>0</v>
      </c>
      <c r="AH246" s="138">
        <f t="shared" si="177"/>
        <v>0</v>
      </c>
      <c r="AI246" s="138">
        <f t="shared" si="178"/>
        <v>0</v>
      </c>
      <c r="AJ246" s="138">
        <f t="shared" si="179"/>
        <v>0</v>
      </c>
      <c r="AK246" s="138">
        <f t="shared" si="180"/>
        <v>0</v>
      </c>
      <c r="AL246" s="138">
        <f t="shared" si="181"/>
        <v>0</v>
      </c>
      <c r="AM246" s="138">
        <f t="shared" si="182"/>
        <v>0</v>
      </c>
      <c r="AO246" s="77" t="str">
        <f t="shared" si="139"/>
        <v>RTP-1 (Residential) Summer - All kWh</v>
      </c>
      <c r="AP246" s="78" t="s">
        <v>634</v>
      </c>
      <c r="AQ246" s="77" t="str">
        <f t="shared" si="140"/>
        <v>Market Settlement (part of Day Ahead Energy Charge)</v>
      </c>
      <c r="AR246" s="78">
        <f t="shared" si="141"/>
        <v>0</v>
      </c>
      <c r="AS246" s="79">
        <f t="shared" si="142"/>
        <v>0</v>
      </c>
      <c r="AT246" s="78">
        <f t="shared" si="143"/>
        <v>0</v>
      </c>
      <c r="AU246" s="78">
        <f t="shared" si="144"/>
        <v>0</v>
      </c>
      <c r="AV246" s="78">
        <f t="shared" si="145"/>
        <v>0</v>
      </c>
      <c r="AW246" s="78">
        <f t="shared" si="146"/>
        <v>0</v>
      </c>
      <c r="AX246" s="78">
        <f t="shared" si="147"/>
        <v>0</v>
      </c>
      <c r="AY246" s="78">
        <f t="shared" si="148"/>
        <v>0</v>
      </c>
      <c r="AZ246" s="78">
        <f t="shared" si="149"/>
        <v>0</v>
      </c>
      <c r="BA246" s="78">
        <f t="shared" si="150"/>
        <v>0</v>
      </c>
      <c r="BB246" s="78">
        <f t="shared" si="151"/>
        <v>0</v>
      </c>
      <c r="BC246" s="78">
        <f t="shared" si="152"/>
        <v>0</v>
      </c>
      <c r="BD246" s="78">
        <f t="shared" si="153"/>
        <v>0</v>
      </c>
      <c r="BE246" s="78">
        <f t="shared" si="154"/>
        <v>0</v>
      </c>
      <c r="BF246" s="78">
        <f t="shared" si="155"/>
        <v>0</v>
      </c>
      <c r="BG246" s="78">
        <f t="shared" si="156"/>
        <v>0</v>
      </c>
      <c r="BH246" s="78">
        <f t="shared" si="157"/>
        <v>0</v>
      </c>
      <c r="BI246" s="78">
        <f t="shared" si="158"/>
        <v>0</v>
      </c>
      <c r="BJ246" s="78">
        <f t="shared" si="159"/>
        <v>0</v>
      </c>
      <c r="BK246" s="78">
        <f t="shared" si="160"/>
        <v>0</v>
      </c>
      <c r="BL246" s="78">
        <f t="shared" si="161"/>
        <v>0</v>
      </c>
      <c r="BM246" s="78">
        <f t="shared" si="162"/>
        <v>0</v>
      </c>
      <c r="BN246" s="78">
        <f t="shared" si="163"/>
        <v>0</v>
      </c>
      <c r="BO246" s="78">
        <f t="shared" si="164"/>
        <v>0</v>
      </c>
      <c r="BP246" s="78">
        <f t="shared" si="165"/>
        <v>0</v>
      </c>
      <c r="BQ246" s="78">
        <f t="shared" si="166"/>
        <v>0</v>
      </c>
      <c r="BR246" s="78">
        <f t="shared" si="167"/>
        <v>0</v>
      </c>
      <c r="BS246" s="77"/>
      <c r="BT246" s="77"/>
    </row>
    <row r="247" spans="1:72" ht="14.1" customHeight="1" x14ac:dyDescent="0.2">
      <c r="A247" s="55" t="str">
        <f t="shared" si="138"/>
        <v>RTP-1 (Residential) Non-Summer 0-800 kWh_Market Settlement (part of Day Ahead Energy Charge)</v>
      </c>
      <c r="B247" s="80" t="s">
        <v>635</v>
      </c>
      <c r="C247" s="71" t="s">
        <v>782</v>
      </c>
      <c r="D247" s="150"/>
      <c r="E247" s="81"/>
      <c r="F247" s="73"/>
      <c r="G247" s="73"/>
      <c r="H247" s="73"/>
      <c r="I247" s="74"/>
      <c r="J247" s="75"/>
      <c r="K247" s="74"/>
      <c r="L247" s="82">
        <v>0</v>
      </c>
      <c r="M247" s="138">
        <v>0</v>
      </c>
      <c r="N247" s="138">
        <v>0</v>
      </c>
      <c r="O247" s="138">
        <v>0</v>
      </c>
      <c r="P247" s="138">
        <v>0</v>
      </c>
      <c r="Q247" s="138">
        <v>0</v>
      </c>
      <c r="R247" s="138">
        <v>0</v>
      </c>
      <c r="S247" s="138">
        <v>0</v>
      </c>
      <c r="T247" s="138">
        <v>0</v>
      </c>
      <c r="U247" s="138">
        <v>0</v>
      </c>
      <c r="V247" s="138">
        <v>0</v>
      </c>
      <c r="W247" s="138">
        <v>0</v>
      </c>
      <c r="X247" s="138">
        <v>0</v>
      </c>
      <c r="Y247" s="138">
        <f t="shared" si="168"/>
        <v>0</v>
      </c>
      <c r="Z247" s="138">
        <f t="shared" si="169"/>
        <v>0</v>
      </c>
      <c r="AA247" s="138">
        <f t="shared" si="170"/>
        <v>0</v>
      </c>
      <c r="AB247" s="138">
        <f t="shared" si="171"/>
        <v>0</v>
      </c>
      <c r="AC247" s="138">
        <f t="shared" si="172"/>
        <v>0</v>
      </c>
      <c r="AD247" s="138">
        <f t="shared" si="173"/>
        <v>0</v>
      </c>
      <c r="AE247" s="138">
        <f t="shared" si="174"/>
        <v>0</v>
      </c>
      <c r="AF247" s="138">
        <f t="shared" si="175"/>
        <v>0</v>
      </c>
      <c r="AG247" s="138">
        <f t="shared" si="176"/>
        <v>0</v>
      </c>
      <c r="AH247" s="138">
        <f t="shared" si="177"/>
        <v>0</v>
      </c>
      <c r="AI247" s="138">
        <f t="shared" si="178"/>
        <v>0</v>
      </c>
      <c r="AJ247" s="138">
        <f t="shared" si="179"/>
        <v>0</v>
      </c>
      <c r="AK247" s="138">
        <f t="shared" si="180"/>
        <v>0</v>
      </c>
      <c r="AL247" s="138">
        <f t="shared" si="181"/>
        <v>0</v>
      </c>
      <c r="AM247" s="138">
        <f t="shared" si="182"/>
        <v>0</v>
      </c>
      <c r="AO247" s="77" t="str">
        <f t="shared" si="139"/>
        <v>RTP-1 (Residential) Non-Summer 0-800 kWh</v>
      </c>
      <c r="AP247" s="78" t="s">
        <v>634</v>
      </c>
      <c r="AQ247" s="77" t="str">
        <f t="shared" si="140"/>
        <v>Market Settlement (part of Day Ahead Energy Charge)</v>
      </c>
      <c r="AR247" s="78">
        <f t="shared" si="141"/>
        <v>0</v>
      </c>
      <c r="AS247" s="79">
        <f t="shared" si="142"/>
        <v>0</v>
      </c>
      <c r="AT247" s="78">
        <f t="shared" si="143"/>
        <v>0</v>
      </c>
      <c r="AU247" s="78">
        <f t="shared" si="144"/>
        <v>0</v>
      </c>
      <c r="AV247" s="78">
        <f t="shared" si="145"/>
        <v>0</v>
      </c>
      <c r="AW247" s="78">
        <f t="shared" si="146"/>
        <v>0</v>
      </c>
      <c r="AX247" s="78">
        <f t="shared" si="147"/>
        <v>0</v>
      </c>
      <c r="AY247" s="78">
        <f t="shared" si="148"/>
        <v>0</v>
      </c>
      <c r="AZ247" s="78">
        <f t="shared" si="149"/>
        <v>0</v>
      </c>
      <c r="BA247" s="78">
        <f t="shared" si="150"/>
        <v>0</v>
      </c>
      <c r="BB247" s="78">
        <f t="shared" si="151"/>
        <v>0</v>
      </c>
      <c r="BC247" s="78">
        <f t="shared" si="152"/>
        <v>0</v>
      </c>
      <c r="BD247" s="78">
        <f t="shared" si="153"/>
        <v>0</v>
      </c>
      <c r="BE247" s="78">
        <f t="shared" si="154"/>
        <v>0</v>
      </c>
      <c r="BF247" s="78">
        <f t="shared" si="155"/>
        <v>0</v>
      </c>
      <c r="BG247" s="78">
        <f t="shared" si="156"/>
        <v>0</v>
      </c>
      <c r="BH247" s="78">
        <f t="shared" si="157"/>
        <v>0</v>
      </c>
      <c r="BI247" s="78">
        <f t="shared" si="158"/>
        <v>0</v>
      </c>
      <c r="BJ247" s="78">
        <f t="shared" si="159"/>
        <v>0</v>
      </c>
      <c r="BK247" s="78">
        <f t="shared" si="160"/>
        <v>0</v>
      </c>
      <c r="BL247" s="78">
        <f t="shared" si="161"/>
        <v>0</v>
      </c>
      <c r="BM247" s="78">
        <f t="shared" si="162"/>
        <v>0</v>
      </c>
      <c r="BN247" s="78">
        <f t="shared" si="163"/>
        <v>0</v>
      </c>
      <c r="BO247" s="78">
        <f t="shared" si="164"/>
        <v>0</v>
      </c>
      <c r="BP247" s="78">
        <f t="shared" si="165"/>
        <v>0</v>
      </c>
      <c r="BQ247" s="78">
        <f t="shared" si="166"/>
        <v>0</v>
      </c>
      <c r="BR247" s="78">
        <f t="shared" si="167"/>
        <v>0</v>
      </c>
      <c r="BS247" s="77"/>
      <c r="BT247" s="77"/>
    </row>
    <row r="248" spans="1:72" ht="14.1" customHeight="1" x14ac:dyDescent="0.2">
      <c r="A248" s="55" t="str">
        <f t="shared" si="138"/>
        <v>RTP-1 (Residential) Non-Summer - +800_Market Settlement (part of Day Ahead Energy Charge)</v>
      </c>
      <c r="B248" s="80" t="s">
        <v>636</v>
      </c>
      <c r="C248" s="71" t="s">
        <v>782</v>
      </c>
      <c r="D248" s="150"/>
      <c r="E248" s="81"/>
      <c r="F248" s="73"/>
      <c r="G248" s="73"/>
      <c r="H248" s="73"/>
      <c r="I248" s="74"/>
      <c r="J248" s="75"/>
      <c r="K248" s="74"/>
      <c r="L248" s="82">
        <v>0</v>
      </c>
      <c r="M248" s="138">
        <v>0</v>
      </c>
      <c r="N248" s="138">
        <v>0</v>
      </c>
      <c r="O248" s="138">
        <v>0</v>
      </c>
      <c r="P248" s="138">
        <v>0</v>
      </c>
      <c r="Q248" s="138">
        <v>0</v>
      </c>
      <c r="R248" s="138">
        <v>0</v>
      </c>
      <c r="S248" s="138">
        <v>0</v>
      </c>
      <c r="T248" s="138">
        <v>0</v>
      </c>
      <c r="U248" s="138">
        <v>0</v>
      </c>
      <c r="V248" s="138">
        <v>0</v>
      </c>
      <c r="W248" s="138">
        <v>0</v>
      </c>
      <c r="X248" s="138">
        <v>0</v>
      </c>
      <c r="Y248" s="138">
        <f t="shared" si="168"/>
        <v>0</v>
      </c>
      <c r="Z248" s="138">
        <f t="shared" si="169"/>
        <v>0</v>
      </c>
      <c r="AA248" s="138">
        <f t="shared" si="170"/>
        <v>0</v>
      </c>
      <c r="AB248" s="138">
        <f t="shared" si="171"/>
        <v>0</v>
      </c>
      <c r="AC248" s="138">
        <f t="shared" si="172"/>
        <v>0</v>
      </c>
      <c r="AD248" s="138">
        <f t="shared" si="173"/>
        <v>0</v>
      </c>
      <c r="AE248" s="138">
        <f t="shared" si="174"/>
        <v>0</v>
      </c>
      <c r="AF248" s="138">
        <f t="shared" si="175"/>
        <v>0</v>
      </c>
      <c r="AG248" s="138">
        <f t="shared" si="176"/>
        <v>0</v>
      </c>
      <c r="AH248" s="138">
        <f t="shared" si="177"/>
        <v>0</v>
      </c>
      <c r="AI248" s="138">
        <f t="shared" si="178"/>
        <v>0</v>
      </c>
      <c r="AJ248" s="138">
        <f t="shared" si="179"/>
        <v>0</v>
      </c>
      <c r="AK248" s="138">
        <f t="shared" si="180"/>
        <v>0</v>
      </c>
      <c r="AL248" s="138">
        <f t="shared" si="181"/>
        <v>0</v>
      </c>
      <c r="AM248" s="138">
        <f t="shared" si="182"/>
        <v>0</v>
      </c>
      <c r="AO248" s="77" t="str">
        <f t="shared" si="139"/>
        <v>RTP-1 (Residential) Non-Summer - +800</v>
      </c>
      <c r="AP248" s="78" t="s">
        <v>634</v>
      </c>
      <c r="AQ248" s="77" t="str">
        <f t="shared" si="140"/>
        <v>Market Settlement (part of Day Ahead Energy Charge)</v>
      </c>
      <c r="AR248" s="78">
        <f t="shared" si="141"/>
        <v>0</v>
      </c>
      <c r="AS248" s="79">
        <f t="shared" si="142"/>
        <v>0</v>
      </c>
      <c r="AT248" s="78">
        <f t="shared" si="143"/>
        <v>0</v>
      </c>
      <c r="AU248" s="78">
        <f t="shared" si="144"/>
        <v>0</v>
      </c>
      <c r="AV248" s="78">
        <f t="shared" si="145"/>
        <v>0</v>
      </c>
      <c r="AW248" s="78">
        <f t="shared" si="146"/>
        <v>0</v>
      </c>
      <c r="AX248" s="78">
        <f t="shared" si="147"/>
        <v>0</v>
      </c>
      <c r="AY248" s="78">
        <f t="shared" si="148"/>
        <v>0</v>
      </c>
      <c r="AZ248" s="78">
        <f t="shared" si="149"/>
        <v>0</v>
      </c>
      <c r="BA248" s="78">
        <f t="shared" si="150"/>
        <v>0</v>
      </c>
      <c r="BB248" s="78">
        <f t="shared" si="151"/>
        <v>0</v>
      </c>
      <c r="BC248" s="78">
        <f t="shared" si="152"/>
        <v>0</v>
      </c>
      <c r="BD248" s="78">
        <f t="shared" si="153"/>
        <v>0</v>
      </c>
      <c r="BE248" s="78">
        <f t="shared" si="154"/>
        <v>0</v>
      </c>
      <c r="BF248" s="78">
        <f t="shared" si="155"/>
        <v>0</v>
      </c>
      <c r="BG248" s="78">
        <f t="shared" si="156"/>
        <v>0</v>
      </c>
      <c r="BH248" s="78">
        <f t="shared" si="157"/>
        <v>0</v>
      </c>
      <c r="BI248" s="78">
        <f t="shared" si="158"/>
        <v>0</v>
      </c>
      <c r="BJ248" s="78">
        <f t="shared" si="159"/>
        <v>0</v>
      </c>
      <c r="BK248" s="78">
        <f t="shared" si="160"/>
        <v>0</v>
      </c>
      <c r="BL248" s="78">
        <f t="shared" si="161"/>
        <v>0</v>
      </c>
      <c r="BM248" s="78">
        <f t="shared" si="162"/>
        <v>0</v>
      </c>
      <c r="BN248" s="78">
        <f t="shared" si="163"/>
        <v>0</v>
      </c>
      <c r="BO248" s="78">
        <f t="shared" si="164"/>
        <v>0</v>
      </c>
      <c r="BP248" s="78">
        <f t="shared" si="165"/>
        <v>0</v>
      </c>
      <c r="BQ248" s="78">
        <f t="shared" si="166"/>
        <v>0</v>
      </c>
      <c r="BR248" s="78">
        <f t="shared" si="167"/>
        <v>0</v>
      </c>
      <c r="BS248" s="77"/>
      <c r="BT248" s="77"/>
    </row>
    <row r="249" spans="1:72" ht="14.1" customHeight="1" x14ac:dyDescent="0.2">
      <c r="A249" s="55" t="str">
        <f t="shared" si="138"/>
        <v>RTP-2 (Non-Residential) Summer - All kWh_Market Settlement (part of Day Ahead Energy Charge)</v>
      </c>
      <c r="B249" s="80" t="s">
        <v>637</v>
      </c>
      <c r="C249" s="71" t="s">
        <v>782</v>
      </c>
      <c r="D249" s="150"/>
      <c r="E249" s="81"/>
      <c r="F249" s="73"/>
      <c r="G249" s="73"/>
      <c r="H249" s="73"/>
      <c r="I249" s="74"/>
      <c r="J249" s="75"/>
      <c r="K249" s="74"/>
      <c r="L249" s="82">
        <v>0</v>
      </c>
      <c r="M249" s="138">
        <v>0</v>
      </c>
      <c r="N249" s="138">
        <v>0</v>
      </c>
      <c r="O249" s="138">
        <v>0</v>
      </c>
      <c r="P249" s="138">
        <v>0</v>
      </c>
      <c r="Q249" s="138">
        <v>0</v>
      </c>
      <c r="R249" s="138">
        <v>0</v>
      </c>
      <c r="S249" s="138">
        <v>0</v>
      </c>
      <c r="T249" s="138">
        <v>0</v>
      </c>
      <c r="U249" s="138">
        <v>0</v>
      </c>
      <c r="V249" s="138">
        <v>0</v>
      </c>
      <c r="W249" s="138">
        <v>0</v>
      </c>
      <c r="X249" s="138">
        <v>0</v>
      </c>
      <c r="Y249" s="138">
        <f t="shared" si="168"/>
        <v>0</v>
      </c>
      <c r="Z249" s="138">
        <f t="shared" si="169"/>
        <v>0</v>
      </c>
      <c r="AA249" s="138">
        <f t="shared" si="170"/>
        <v>0</v>
      </c>
      <c r="AB249" s="138">
        <f t="shared" si="171"/>
        <v>0</v>
      </c>
      <c r="AC249" s="138">
        <f t="shared" si="172"/>
        <v>0</v>
      </c>
      <c r="AD249" s="138">
        <f t="shared" si="173"/>
        <v>0</v>
      </c>
      <c r="AE249" s="138">
        <f t="shared" si="174"/>
        <v>0</v>
      </c>
      <c r="AF249" s="138">
        <f t="shared" si="175"/>
        <v>0</v>
      </c>
      <c r="AG249" s="138">
        <f t="shared" si="176"/>
        <v>0</v>
      </c>
      <c r="AH249" s="138">
        <f t="shared" si="177"/>
        <v>0</v>
      </c>
      <c r="AI249" s="138">
        <f t="shared" si="178"/>
        <v>0</v>
      </c>
      <c r="AJ249" s="138">
        <f t="shared" si="179"/>
        <v>0</v>
      </c>
      <c r="AK249" s="138">
        <f t="shared" si="180"/>
        <v>0</v>
      </c>
      <c r="AL249" s="138">
        <f t="shared" si="181"/>
        <v>0</v>
      </c>
      <c r="AM249" s="138">
        <f t="shared" si="182"/>
        <v>0</v>
      </c>
      <c r="AO249" s="77" t="str">
        <f t="shared" si="139"/>
        <v>RTP-2 (Non-Residential) Summer - All kWh</v>
      </c>
      <c r="AP249" s="78" t="s">
        <v>634</v>
      </c>
      <c r="AQ249" s="77" t="str">
        <f t="shared" si="140"/>
        <v>Market Settlement (part of Day Ahead Energy Charge)</v>
      </c>
      <c r="AR249" s="78">
        <f t="shared" si="141"/>
        <v>0</v>
      </c>
      <c r="AS249" s="79">
        <f t="shared" si="142"/>
        <v>0</v>
      </c>
      <c r="AT249" s="78">
        <f t="shared" si="143"/>
        <v>0</v>
      </c>
      <c r="AU249" s="78">
        <f t="shared" si="144"/>
        <v>0</v>
      </c>
      <c r="AV249" s="78">
        <f t="shared" si="145"/>
        <v>0</v>
      </c>
      <c r="AW249" s="78">
        <f t="shared" si="146"/>
        <v>0</v>
      </c>
      <c r="AX249" s="78">
        <f t="shared" si="147"/>
        <v>0</v>
      </c>
      <c r="AY249" s="78">
        <f t="shared" si="148"/>
        <v>0</v>
      </c>
      <c r="AZ249" s="78">
        <f t="shared" si="149"/>
        <v>0</v>
      </c>
      <c r="BA249" s="78">
        <f t="shared" si="150"/>
        <v>0</v>
      </c>
      <c r="BB249" s="78">
        <f t="shared" si="151"/>
        <v>0</v>
      </c>
      <c r="BC249" s="78">
        <f t="shared" si="152"/>
        <v>0</v>
      </c>
      <c r="BD249" s="78">
        <f t="shared" si="153"/>
        <v>0</v>
      </c>
      <c r="BE249" s="78">
        <f t="shared" si="154"/>
        <v>0</v>
      </c>
      <c r="BF249" s="78">
        <f t="shared" si="155"/>
        <v>0</v>
      </c>
      <c r="BG249" s="78">
        <f t="shared" si="156"/>
        <v>0</v>
      </c>
      <c r="BH249" s="78">
        <f t="shared" si="157"/>
        <v>0</v>
      </c>
      <c r="BI249" s="78">
        <f t="shared" si="158"/>
        <v>0</v>
      </c>
      <c r="BJ249" s="78">
        <f t="shared" si="159"/>
        <v>0</v>
      </c>
      <c r="BK249" s="78">
        <f t="shared" si="160"/>
        <v>0</v>
      </c>
      <c r="BL249" s="78">
        <f t="shared" si="161"/>
        <v>0</v>
      </c>
      <c r="BM249" s="78">
        <f t="shared" si="162"/>
        <v>0</v>
      </c>
      <c r="BN249" s="78">
        <f t="shared" si="163"/>
        <v>0</v>
      </c>
      <c r="BO249" s="78">
        <f t="shared" si="164"/>
        <v>0</v>
      </c>
      <c r="BP249" s="78">
        <f t="shared" si="165"/>
        <v>0</v>
      </c>
      <c r="BQ249" s="78">
        <f t="shared" si="166"/>
        <v>0</v>
      </c>
      <c r="BR249" s="78">
        <f t="shared" si="167"/>
        <v>0</v>
      </c>
      <c r="BS249" s="77"/>
      <c r="BT249" s="77"/>
    </row>
    <row r="250" spans="1:72" ht="14.1" customHeight="1" x14ac:dyDescent="0.2">
      <c r="A250" s="55" t="str">
        <f t="shared" si="138"/>
        <v>RTP-2 (Non-Residential) Non-Summer - All kWh_Market Settlement (part of Day Ahead Energy Charge)</v>
      </c>
      <c r="B250" s="80" t="s">
        <v>638</v>
      </c>
      <c r="C250" s="71" t="s">
        <v>782</v>
      </c>
      <c r="D250" s="150"/>
      <c r="E250" s="81"/>
      <c r="F250" s="73"/>
      <c r="G250" s="73"/>
      <c r="H250" s="73"/>
      <c r="I250" s="74"/>
      <c r="J250" s="75"/>
      <c r="K250" s="74"/>
      <c r="L250" s="82">
        <v>0</v>
      </c>
      <c r="M250" s="138">
        <v>0</v>
      </c>
      <c r="N250" s="138">
        <v>0</v>
      </c>
      <c r="O250" s="138">
        <v>0</v>
      </c>
      <c r="P250" s="138">
        <v>0</v>
      </c>
      <c r="Q250" s="138">
        <v>0</v>
      </c>
      <c r="R250" s="138">
        <v>0</v>
      </c>
      <c r="S250" s="138">
        <v>0</v>
      </c>
      <c r="T250" s="138">
        <v>0</v>
      </c>
      <c r="U250" s="138">
        <v>0</v>
      </c>
      <c r="V250" s="138">
        <v>0</v>
      </c>
      <c r="W250" s="138">
        <v>0</v>
      </c>
      <c r="X250" s="138">
        <v>0</v>
      </c>
      <c r="Y250" s="138">
        <f t="shared" si="168"/>
        <v>0</v>
      </c>
      <c r="Z250" s="138">
        <f t="shared" si="169"/>
        <v>0</v>
      </c>
      <c r="AA250" s="138">
        <f t="shared" si="170"/>
        <v>0</v>
      </c>
      <c r="AB250" s="138">
        <f t="shared" si="171"/>
        <v>0</v>
      </c>
      <c r="AC250" s="138">
        <f t="shared" si="172"/>
        <v>0</v>
      </c>
      <c r="AD250" s="138">
        <f t="shared" si="173"/>
        <v>0</v>
      </c>
      <c r="AE250" s="138">
        <f t="shared" si="174"/>
        <v>0</v>
      </c>
      <c r="AF250" s="138">
        <f t="shared" si="175"/>
        <v>0</v>
      </c>
      <c r="AG250" s="138">
        <f t="shared" si="176"/>
        <v>0</v>
      </c>
      <c r="AH250" s="138">
        <f t="shared" si="177"/>
        <v>0</v>
      </c>
      <c r="AI250" s="138">
        <f t="shared" si="178"/>
        <v>0</v>
      </c>
      <c r="AJ250" s="138">
        <f t="shared" si="179"/>
        <v>0</v>
      </c>
      <c r="AK250" s="138">
        <f t="shared" si="180"/>
        <v>0</v>
      </c>
      <c r="AL250" s="138">
        <f t="shared" si="181"/>
        <v>0</v>
      </c>
      <c r="AM250" s="138">
        <f t="shared" si="182"/>
        <v>0</v>
      </c>
      <c r="AO250" s="77" t="str">
        <f t="shared" si="139"/>
        <v>RTP-2 (Non-Residential) Non-Summer - All kWh</v>
      </c>
      <c r="AP250" s="78" t="s">
        <v>634</v>
      </c>
      <c r="AQ250" s="77" t="str">
        <f t="shared" si="140"/>
        <v>Market Settlement (part of Day Ahead Energy Charge)</v>
      </c>
      <c r="AR250" s="78">
        <f t="shared" si="141"/>
        <v>0</v>
      </c>
      <c r="AS250" s="79">
        <f t="shared" si="142"/>
        <v>0</v>
      </c>
      <c r="AT250" s="78">
        <f t="shared" si="143"/>
        <v>0</v>
      </c>
      <c r="AU250" s="78">
        <f t="shared" si="144"/>
        <v>0</v>
      </c>
      <c r="AV250" s="78">
        <f t="shared" si="145"/>
        <v>0</v>
      </c>
      <c r="AW250" s="78">
        <f t="shared" si="146"/>
        <v>0</v>
      </c>
      <c r="AX250" s="78">
        <f t="shared" si="147"/>
        <v>0</v>
      </c>
      <c r="AY250" s="78">
        <f t="shared" si="148"/>
        <v>0</v>
      </c>
      <c r="AZ250" s="78">
        <f t="shared" si="149"/>
        <v>0</v>
      </c>
      <c r="BA250" s="78">
        <f t="shared" si="150"/>
        <v>0</v>
      </c>
      <c r="BB250" s="78">
        <f t="shared" si="151"/>
        <v>0</v>
      </c>
      <c r="BC250" s="78">
        <f t="shared" si="152"/>
        <v>0</v>
      </c>
      <c r="BD250" s="78">
        <f t="shared" si="153"/>
        <v>0</v>
      </c>
      <c r="BE250" s="78">
        <f t="shared" si="154"/>
        <v>0</v>
      </c>
      <c r="BF250" s="78">
        <f t="shared" si="155"/>
        <v>0</v>
      </c>
      <c r="BG250" s="78">
        <f t="shared" si="156"/>
        <v>0</v>
      </c>
      <c r="BH250" s="78">
        <f t="shared" si="157"/>
        <v>0</v>
      </c>
      <c r="BI250" s="78">
        <f t="shared" si="158"/>
        <v>0</v>
      </c>
      <c r="BJ250" s="78">
        <f t="shared" si="159"/>
        <v>0</v>
      </c>
      <c r="BK250" s="78">
        <f t="shared" si="160"/>
        <v>0</v>
      </c>
      <c r="BL250" s="78">
        <f t="shared" si="161"/>
        <v>0</v>
      </c>
      <c r="BM250" s="78">
        <f t="shared" si="162"/>
        <v>0</v>
      </c>
      <c r="BN250" s="78">
        <f t="shared" si="163"/>
        <v>0</v>
      </c>
      <c r="BO250" s="78">
        <f t="shared" si="164"/>
        <v>0</v>
      </c>
      <c r="BP250" s="78">
        <f t="shared" si="165"/>
        <v>0</v>
      </c>
      <c r="BQ250" s="78">
        <f t="shared" si="166"/>
        <v>0</v>
      </c>
      <c r="BR250" s="78">
        <f t="shared" si="167"/>
        <v>0</v>
      </c>
      <c r="BS250" s="77"/>
      <c r="BT250" s="77"/>
    </row>
    <row r="251" spans="1:72" ht="14.1" customHeight="1" x14ac:dyDescent="0.2">
      <c r="A251" s="55" t="str">
        <f t="shared" si="138"/>
        <v>DS-4 (Large General Service)_Market Settlement (part of Day Ahead Energy Charge)</v>
      </c>
      <c r="B251" s="80" t="s">
        <v>639</v>
      </c>
      <c r="C251" s="71" t="s">
        <v>782</v>
      </c>
      <c r="D251" s="150"/>
      <c r="E251" s="81"/>
      <c r="F251" s="73" t="s">
        <v>640</v>
      </c>
      <c r="G251" s="73">
        <v>0</v>
      </c>
      <c r="H251" s="73">
        <v>6</v>
      </c>
      <c r="I251" s="74" t="s">
        <v>641</v>
      </c>
      <c r="J251" s="75" t="s">
        <v>634</v>
      </c>
      <c r="K251" s="74"/>
      <c r="L251" s="82">
        <v>0</v>
      </c>
      <c r="M251" s="138">
        <v>0</v>
      </c>
      <c r="N251" s="138">
        <v>0</v>
      </c>
      <c r="O251" s="138">
        <v>0</v>
      </c>
      <c r="P251" s="138">
        <v>0</v>
      </c>
      <c r="Q251" s="138">
        <v>0</v>
      </c>
      <c r="R251" s="138">
        <v>0</v>
      </c>
      <c r="S251" s="138">
        <v>0</v>
      </c>
      <c r="T251" s="138">
        <v>0</v>
      </c>
      <c r="U251" s="138">
        <v>0</v>
      </c>
      <c r="V251" s="138">
        <v>0</v>
      </c>
      <c r="W251" s="138">
        <v>0</v>
      </c>
      <c r="X251" s="138">
        <v>0</v>
      </c>
      <c r="Y251" s="138">
        <f t="shared" si="168"/>
        <v>0</v>
      </c>
      <c r="Z251" s="138">
        <f t="shared" si="169"/>
        <v>0</v>
      </c>
      <c r="AA251" s="138">
        <f t="shared" si="170"/>
        <v>0</v>
      </c>
      <c r="AB251" s="138">
        <f t="shared" si="171"/>
        <v>0</v>
      </c>
      <c r="AC251" s="138">
        <f t="shared" si="172"/>
        <v>0</v>
      </c>
      <c r="AD251" s="138">
        <f t="shared" si="173"/>
        <v>0</v>
      </c>
      <c r="AE251" s="138">
        <f t="shared" si="174"/>
        <v>0</v>
      </c>
      <c r="AF251" s="138">
        <f t="shared" si="175"/>
        <v>0</v>
      </c>
      <c r="AG251" s="138">
        <f t="shared" si="176"/>
        <v>0</v>
      </c>
      <c r="AH251" s="138">
        <f t="shared" si="177"/>
        <v>0</v>
      </c>
      <c r="AI251" s="138">
        <f t="shared" si="178"/>
        <v>0</v>
      </c>
      <c r="AJ251" s="138">
        <f t="shared" si="179"/>
        <v>0</v>
      </c>
      <c r="AK251" s="138">
        <f t="shared" si="180"/>
        <v>0</v>
      </c>
      <c r="AL251" s="138">
        <f t="shared" si="181"/>
        <v>0</v>
      </c>
      <c r="AM251" s="138">
        <f t="shared" si="182"/>
        <v>0</v>
      </c>
      <c r="AO251" s="77" t="str">
        <f t="shared" si="139"/>
        <v>DS-4 (Large General Service)</v>
      </c>
      <c r="AP251" s="78" t="s">
        <v>642</v>
      </c>
      <c r="AQ251" s="77" t="str">
        <f t="shared" si="140"/>
        <v>Market Settlement (part of Day Ahead Energy Charge)</v>
      </c>
      <c r="AR251" s="78" t="str">
        <f t="shared" si="141"/>
        <v>Prorated</v>
      </c>
      <c r="AS251" s="79">
        <f t="shared" si="142"/>
        <v>6</v>
      </c>
      <c r="AT251" s="78">
        <f t="shared" si="143"/>
        <v>0</v>
      </c>
      <c r="AU251" s="78">
        <f t="shared" si="144"/>
        <v>0</v>
      </c>
      <c r="AV251" s="78">
        <f t="shared" si="145"/>
        <v>0</v>
      </c>
      <c r="AW251" s="78">
        <f t="shared" si="146"/>
        <v>0</v>
      </c>
      <c r="AX251" s="78">
        <f t="shared" si="147"/>
        <v>0</v>
      </c>
      <c r="AY251" s="78">
        <f t="shared" si="148"/>
        <v>0</v>
      </c>
      <c r="AZ251" s="78">
        <f t="shared" si="149"/>
        <v>0</v>
      </c>
      <c r="BA251" s="78">
        <f t="shared" si="150"/>
        <v>0</v>
      </c>
      <c r="BB251" s="78">
        <f t="shared" si="151"/>
        <v>0</v>
      </c>
      <c r="BC251" s="78">
        <f t="shared" si="152"/>
        <v>0</v>
      </c>
      <c r="BD251" s="78">
        <f t="shared" si="153"/>
        <v>0</v>
      </c>
      <c r="BE251" s="78">
        <f t="shared" si="154"/>
        <v>0</v>
      </c>
      <c r="BF251" s="78">
        <f t="shared" si="155"/>
        <v>0</v>
      </c>
      <c r="BG251" s="78">
        <f t="shared" si="156"/>
        <v>0</v>
      </c>
      <c r="BH251" s="78">
        <f t="shared" si="157"/>
        <v>0</v>
      </c>
      <c r="BI251" s="78">
        <f t="shared" si="158"/>
        <v>0</v>
      </c>
      <c r="BJ251" s="78">
        <f t="shared" si="159"/>
        <v>0</v>
      </c>
      <c r="BK251" s="78">
        <f t="shared" si="160"/>
        <v>0</v>
      </c>
      <c r="BL251" s="78">
        <f t="shared" si="161"/>
        <v>0</v>
      </c>
      <c r="BM251" s="78">
        <f t="shared" si="162"/>
        <v>0</v>
      </c>
      <c r="BN251" s="78">
        <f t="shared" si="163"/>
        <v>0</v>
      </c>
      <c r="BO251" s="78">
        <f t="shared" si="164"/>
        <v>0</v>
      </c>
      <c r="BP251" s="78">
        <f t="shared" si="165"/>
        <v>0</v>
      </c>
      <c r="BQ251" s="78">
        <f t="shared" si="166"/>
        <v>0</v>
      </c>
      <c r="BR251" s="78">
        <f t="shared" si="167"/>
        <v>0</v>
      </c>
      <c r="BS251" s="77"/>
      <c r="BT251" s="77"/>
    </row>
    <row r="252" spans="1:72" ht="14.1" customHeight="1" x14ac:dyDescent="0.2">
      <c r="A252" s="55" t="str">
        <f t="shared" si="138"/>
        <v>DS-6 (DS-3) Temp. Sensitive DS_Market Settlement (part of Day Ahead Energy Charge)</v>
      </c>
      <c r="B252" s="80" t="s">
        <v>643</v>
      </c>
      <c r="C252" s="71" t="s">
        <v>782</v>
      </c>
      <c r="D252" s="150"/>
      <c r="E252" s="81"/>
      <c r="F252" s="73" t="s">
        <v>640</v>
      </c>
      <c r="G252" s="73">
        <v>0</v>
      </c>
      <c r="H252" s="73">
        <v>6</v>
      </c>
      <c r="I252" s="74" t="s">
        <v>641</v>
      </c>
      <c r="J252" s="75" t="s">
        <v>634</v>
      </c>
      <c r="K252" s="74"/>
      <c r="L252" s="82">
        <v>0</v>
      </c>
      <c r="M252" s="138">
        <v>0</v>
      </c>
      <c r="N252" s="138">
        <v>0</v>
      </c>
      <c r="O252" s="138">
        <v>0</v>
      </c>
      <c r="P252" s="138">
        <v>0</v>
      </c>
      <c r="Q252" s="138">
        <v>0</v>
      </c>
      <c r="R252" s="138">
        <v>0</v>
      </c>
      <c r="S252" s="138">
        <v>0</v>
      </c>
      <c r="T252" s="138">
        <v>0</v>
      </c>
      <c r="U252" s="138">
        <v>0</v>
      </c>
      <c r="V252" s="138">
        <v>0</v>
      </c>
      <c r="W252" s="138">
        <v>0</v>
      </c>
      <c r="X252" s="138">
        <v>0</v>
      </c>
      <c r="Y252" s="138">
        <f t="shared" si="168"/>
        <v>0</v>
      </c>
      <c r="Z252" s="138">
        <f t="shared" si="169"/>
        <v>0</v>
      </c>
      <c r="AA252" s="138">
        <f t="shared" si="170"/>
        <v>0</v>
      </c>
      <c r="AB252" s="138">
        <f t="shared" si="171"/>
        <v>0</v>
      </c>
      <c r="AC252" s="138">
        <f t="shared" si="172"/>
        <v>0</v>
      </c>
      <c r="AD252" s="138">
        <f t="shared" si="173"/>
        <v>0</v>
      </c>
      <c r="AE252" s="138">
        <f t="shared" si="174"/>
        <v>0</v>
      </c>
      <c r="AF252" s="138">
        <f t="shared" si="175"/>
        <v>0</v>
      </c>
      <c r="AG252" s="138">
        <f t="shared" si="176"/>
        <v>0</v>
      </c>
      <c r="AH252" s="138">
        <f t="shared" si="177"/>
        <v>0</v>
      </c>
      <c r="AI252" s="138">
        <f t="shared" si="178"/>
        <v>0</v>
      </c>
      <c r="AJ252" s="138">
        <f t="shared" si="179"/>
        <v>0</v>
      </c>
      <c r="AK252" s="138">
        <f t="shared" si="180"/>
        <v>0</v>
      </c>
      <c r="AL252" s="138">
        <f t="shared" si="181"/>
        <v>0</v>
      </c>
      <c r="AM252" s="138">
        <f t="shared" si="182"/>
        <v>0</v>
      </c>
      <c r="AO252" s="77" t="str">
        <f t="shared" si="139"/>
        <v>DS-6 (DS-3) Temp. Sensitive DS</v>
      </c>
      <c r="AP252" s="78" t="s">
        <v>644</v>
      </c>
      <c r="AQ252" s="77" t="str">
        <f t="shared" si="140"/>
        <v>Market Settlement (part of Day Ahead Energy Charge)</v>
      </c>
      <c r="AR252" s="78" t="str">
        <f t="shared" si="141"/>
        <v>Prorated</v>
      </c>
      <c r="AS252" s="79">
        <f t="shared" si="142"/>
        <v>6</v>
      </c>
      <c r="AT252" s="78">
        <f t="shared" si="143"/>
        <v>0</v>
      </c>
      <c r="AU252" s="78">
        <f t="shared" si="144"/>
        <v>0</v>
      </c>
      <c r="AV252" s="78">
        <f t="shared" si="145"/>
        <v>0</v>
      </c>
      <c r="AW252" s="78">
        <f t="shared" si="146"/>
        <v>0</v>
      </c>
      <c r="AX252" s="78">
        <f t="shared" si="147"/>
        <v>0</v>
      </c>
      <c r="AY252" s="78">
        <f t="shared" si="148"/>
        <v>0</v>
      </c>
      <c r="AZ252" s="78">
        <f t="shared" si="149"/>
        <v>0</v>
      </c>
      <c r="BA252" s="78">
        <f t="shared" si="150"/>
        <v>0</v>
      </c>
      <c r="BB252" s="78">
        <f t="shared" si="151"/>
        <v>0</v>
      </c>
      <c r="BC252" s="78">
        <f t="shared" si="152"/>
        <v>0</v>
      </c>
      <c r="BD252" s="78">
        <f t="shared" si="153"/>
        <v>0</v>
      </c>
      <c r="BE252" s="78">
        <f t="shared" si="154"/>
        <v>0</v>
      </c>
      <c r="BF252" s="78">
        <f t="shared" si="155"/>
        <v>0</v>
      </c>
      <c r="BG252" s="78">
        <f t="shared" si="156"/>
        <v>0</v>
      </c>
      <c r="BH252" s="78">
        <f t="shared" si="157"/>
        <v>0</v>
      </c>
      <c r="BI252" s="78">
        <f t="shared" si="158"/>
        <v>0</v>
      </c>
      <c r="BJ252" s="78">
        <f t="shared" si="159"/>
        <v>0</v>
      </c>
      <c r="BK252" s="78">
        <f t="shared" si="160"/>
        <v>0</v>
      </c>
      <c r="BL252" s="78">
        <f t="shared" si="161"/>
        <v>0</v>
      </c>
      <c r="BM252" s="78">
        <f t="shared" si="162"/>
        <v>0</v>
      </c>
      <c r="BN252" s="78">
        <f t="shared" si="163"/>
        <v>0</v>
      </c>
      <c r="BO252" s="78">
        <f t="shared" si="164"/>
        <v>0</v>
      </c>
      <c r="BP252" s="78">
        <f t="shared" si="165"/>
        <v>0</v>
      </c>
      <c r="BQ252" s="78">
        <f t="shared" si="166"/>
        <v>0</v>
      </c>
      <c r="BR252" s="78">
        <f t="shared" si="167"/>
        <v>0</v>
      </c>
      <c r="BS252" s="77"/>
      <c r="BT252" s="77"/>
    </row>
    <row r="253" spans="1:72" ht="14.1" customHeight="1" x14ac:dyDescent="0.2">
      <c r="A253" s="55" t="str">
        <f t="shared" si="138"/>
        <v>DS-6 (DS-4) Temp. Sensitive DS_Market Settlement (part of Day Ahead Energy Charge)</v>
      </c>
      <c r="B253" s="80" t="s">
        <v>645</v>
      </c>
      <c r="C253" s="71" t="s">
        <v>782</v>
      </c>
      <c r="D253" s="150"/>
      <c r="E253" s="81"/>
      <c r="F253" s="73" t="s">
        <v>640</v>
      </c>
      <c r="G253" s="73">
        <v>0</v>
      </c>
      <c r="H253" s="73">
        <v>6</v>
      </c>
      <c r="I253" s="74" t="s">
        <v>641</v>
      </c>
      <c r="J253" s="75" t="s">
        <v>634</v>
      </c>
      <c r="K253" s="74"/>
      <c r="L253" s="82">
        <v>0</v>
      </c>
      <c r="M253" s="138">
        <v>0</v>
      </c>
      <c r="N253" s="138">
        <v>0</v>
      </c>
      <c r="O253" s="138">
        <v>0</v>
      </c>
      <c r="P253" s="138">
        <v>0</v>
      </c>
      <c r="Q253" s="138">
        <v>0</v>
      </c>
      <c r="R253" s="138">
        <v>0</v>
      </c>
      <c r="S253" s="138">
        <v>0</v>
      </c>
      <c r="T253" s="138">
        <v>0</v>
      </c>
      <c r="U253" s="138">
        <v>0</v>
      </c>
      <c r="V253" s="138">
        <v>0</v>
      </c>
      <c r="W253" s="138">
        <v>0</v>
      </c>
      <c r="X253" s="138">
        <v>0</v>
      </c>
      <c r="Y253" s="138">
        <f t="shared" si="168"/>
        <v>0</v>
      </c>
      <c r="Z253" s="138">
        <f t="shared" si="169"/>
        <v>0</v>
      </c>
      <c r="AA253" s="138">
        <f t="shared" si="170"/>
        <v>0</v>
      </c>
      <c r="AB253" s="138">
        <f t="shared" si="171"/>
        <v>0</v>
      </c>
      <c r="AC253" s="138">
        <f t="shared" si="172"/>
        <v>0</v>
      </c>
      <c r="AD253" s="138">
        <f t="shared" si="173"/>
        <v>0</v>
      </c>
      <c r="AE253" s="138">
        <f t="shared" si="174"/>
        <v>0</v>
      </c>
      <c r="AF253" s="138">
        <f t="shared" si="175"/>
        <v>0</v>
      </c>
      <c r="AG253" s="138">
        <f t="shared" si="176"/>
        <v>0</v>
      </c>
      <c r="AH253" s="138">
        <f t="shared" si="177"/>
        <v>0</v>
      </c>
      <c r="AI253" s="138">
        <f t="shared" si="178"/>
        <v>0</v>
      </c>
      <c r="AJ253" s="138">
        <f t="shared" si="179"/>
        <v>0</v>
      </c>
      <c r="AK253" s="138">
        <f t="shared" si="180"/>
        <v>0</v>
      </c>
      <c r="AL253" s="138">
        <f t="shared" si="181"/>
        <v>0</v>
      </c>
      <c r="AM253" s="138">
        <f t="shared" si="182"/>
        <v>0</v>
      </c>
      <c r="AO253" s="77" t="str">
        <f t="shared" si="139"/>
        <v>DS-6 (DS-4) Temp. Sensitive DS</v>
      </c>
      <c r="AP253" s="78" t="s">
        <v>646</v>
      </c>
      <c r="AQ253" s="77" t="str">
        <f t="shared" si="140"/>
        <v>Market Settlement (part of Day Ahead Energy Charge)</v>
      </c>
      <c r="AR253" s="78" t="str">
        <f t="shared" si="141"/>
        <v>Prorated</v>
      </c>
      <c r="AS253" s="79">
        <f t="shared" si="142"/>
        <v>6</v>
      </c>
      <c r="AT253" s="78">
        <f t="shared" si="143"/>
        <v>0</v>
      </c>
      <c r="AU253" s="78">
        <f t="shared" si="144"/>
        <v>0</v>
      </c>
      <c r="AV253" s="78">
        <f t="shared" si="145"/>
        <v>0</v>
      </c>
      <c r="AW253" s="78">
        <f t="shared" si="146"/>
        <v>0</v>
      </c>
      <c r="AX253" s="78">
        <f t="shared" si="147"/>
        <v>0</v>
      </c>
      <c r="AY253" s="78">
        <f t="shared" si="148"/>
        <v>0</v>
      </c>
      <c r="AZ253" s="78">
        <f t="shared" si="149"/>
        <v>0</v>
      </c>
      <c r="BA253" s="78">
        <f t="shared" si="150"/>
        <v>0</v>
      </c>
      <c r="BB253" s="78">
        <f t="shared" si="151"/>
        <v>0</v>
      </c>
      <c r="BC253" s="78">
        <f t="shared" si="152"/>
        <v>0</v>
      </c>
      <c r="BD253" s="78">
        <f t="shared" si="153"/>
        <v>0</v>
      </c>
      <c r="BE253" s="78">
        <f t="shared" si="154"/>
        <v>0</v>
      </c>
      <c r="BF253" s="78">
        <f t="shared" si="155"/>
        <v>0</v>
      </c>
      <c r="BG253" s="78">
        <f t="shared" si="156"/>
        <v>0</v>
      </c>
      <c r="BH253" s="78">
        <f t="shared" si="157"/>
        <v>0</v>
      </c>
      <c r="BI253" s="78">
        <f t="shared" si="158"/>
        <v>0</v>
      </c>
      <c r="BJ253" s="78">
        <f t="shared" si="159"/>
        <v>0</v>
      </c>
      <c r="BK253" s="78">
        <f t="shared" si="160"/>
        <v>0</v>
      </c>
      <c r="BL253" s="78">
        <f t="shared" si="161"/>
        <v>0</v>
      </c>
      <c r="BM253" s="78">
        <f t="shared" si="162"/>
        <v>0</v>
      </c>
      <c r="BN253" s="78">
        <f t="shared" si="163"/>
        <v>0</v>
      </c>
      <c r="BO253" s="78">
        <f t="shared" si="164"/>
        <v>0</v>
      </c>
      <c r="BP253" s="78">
        <f t="shared" si="165"/>
        <v>0</v>
      </c>
      <c r="BQ253" s="78">
        <f t="shared" si="166"/>
        <v>0</v>
      </c>
      <c r="BR253" s="78">
        <f t="shared" si="167"/>
        <v>0</v>
      </c>
      <c r="BS253" s="77"/>
      <c r="BT253" s="77"/>
    </row>
    <row r="254" spans="1:72" ht="14.1" customHeight="1" x14ac:dyDescent="0.2">
      <c r="A254" s="55" t="str">
        <f t="shared" si="138"/>
        <v>DS-5 (Lighting Service)_Metal Halide, 150 Nominal Watts -Zone I</v>
      </c>
      <c r="B254" s="80" t="s">
        <v>647</v>
      </c>
      <c r="C254" s="83" t="s">
        <v>783</v>
      </c>
      <c r="D254" s="150"/>
      <c r="E254" s="81"/>
      <c r="F254" s="73" t="s">
        <v>649</v>
      </c>
      <c r="G254" s="73">
        <v>0</v>
      </c>
      <c r="H254" s="73">
        <v>6</v>
      </c>
      <c r="I254" s="74" t="s">
        <v>641</v>
      </c>
      <c r="J254" s="75" t="s">
        <v>634</v>
      </c>
      <c r="K254" s="74"/>
      <c r="L254" s="82">
        <v>5.26</v>
      </c>
      <c r="M254" s="138">
        <v>5.26</v>
      </c>
      <c r="N254" s="138">
        <v>5.26</v>
      </c>
      <c r="O254" s="138">
        <v>5.26</v>
      </c>
      <c r="P254" s="138">
        <v>5.26</v>
      </c>
      <c r="Q254" s="138">
        <v>5.26</v>
      </c>
      <c r="R254" s="138">
        <v>5.26</v>
      </c>
      <c r="S254" s="138">
        <v>5.26</v>
      </c>
      <c r="T254" s="138">
        <v>5.26</v>
      </c>
      <c r="U254" s="138">
        <v>5.26</v>
      </c>
      <c r="V254" s="138">
        <v>5.26</v>
      </c>
      <c r="W254" s="138">
        <v>5.26</v>
      </c>
      <c r="X254" s="138">
        <v>5.26</v>
      </c>
      <c r="Y254" s="138">
        <f t="shared" si="168"/>
        <v>5.26</v>
      </c>
      <c r="Z254" s="138">
        <f t="shared" si="169"/>
        <v>5.26</v>
      </c>
      <c r="AA254" s="138">
        <f t="shared" si="170"/>
        <v>5.26</v>
      </c>
      <c r="AB254" s="138">
        <f t="shared" si="171"/>
        <v>5.26</v>
      </c>
      <c r="AC254" s="138">
        <f t="shared" si="172"/>
        <v>5.26</v>
      </c>
      <c r="AD254" s="138">
        <f t="shared" si="173"/>
        <v>5.26</v>
      </c>
      <c r="AE254" s="138">
        <f t="shared" si="174"/>
        <v>5.26</v>
      </c>
      <c r="AF254" s="138">
        <f t="shared" si="175"/>
        <v>5.26</v>
      </c>
      <c r="AG254" s="138">
        <f t="shared" si="176"/>
        <v>5.26</v>
      </c>
      <c r="AH254" s="138">
        <f t="shared" si="177"/>
        <v>5.26</v>
      </c>
      <c r="AI254" s="138">
        <f t="shared" si="178"/>
        <v>5.26</v>
      </c>
      <c r="AJ254" s="138">
        <f t="shared" si="179"/>
        <v>5.26</v>
      </c>
      <c r="AK254" s="138">
        <f t="shared" si="180"/>
        <v>5.26</v>
      </c>
      <c r="AL254" s="138">
        <f t="shared" si="181"/>
        <v>5.2599999999999989</v>
      </c>
      <c r="AM254" s="138">
        <f t="shared" si="182"/>
        <v>5.2600000000000016</v>
      </c>
      <c r="AO254" s="77" t="str">
        <f t="shared" si="139"/>
        <v>DS-5 (Lighting Service)</v>
      </c>
      <c r="AP254" s="78" t="s">
        <v>650</v>
      </c>
      <c r="AQ254" s="77" t="str">
        <f t="shared" si="140"/>
        <v>Metal Halide, 150 Nominal Watts -Zone I</v>
      </c>
      <c r="AR254" s="78" t="str">
        <f t="shared" si="141"/>
        <v>Billing Cycle</v>
      </c>
      <c r="AS254" s="79">
        <f t="shared" si="142"/>
        <v>6</v>
      </c>
      <c r="AT254" s="78">
        <f t="shared" si="143"/>
        <v>5</v>
      </c>
      <c r="AU254" s="78">
        <f t="shared" si="144"/>
        <v>5.26</v>
      </c>
      <c r="AV254" s="78">
        <f t="shared" si="145"/>
        <v>5.26</v>
      </c>
      <c r="AW254" s="78">
        <f t="shared" si="146"/>
        <v>5.26</v>
      </c>
      <c r="AX254" s="78">
        <f t="shared" si="147"/>
        <v>5.26</v>
      </c>
      <c r="AY254" s="78">
        <f t="shared" si="148"/>
        <v>5.26</v>
      </c>
      <c r="AZ254" s="78">
        <f t="shared" si="149"/>
        <v>5.26</v>
      </c>
      <c r="BA254" s="78">
        <f t="shared" si="150"/>
        <v>5.26</v>
      </c>
      <c r="BB254" s="78">
        <f t="shared" si="151"/>
        <v>5.26</v>
      </c>
      <c r="BC254" s="78">
        <f t="shared" si="152"/>
        <v>5.26</v>
      </c>
      <c r="BD254" s="78">
        <f t="shared" si="153"/>
        <v>5.26</v>
      </c>
      <c r="BE254" s="78">
        <f t="shared" si="154"/>
        <v>5.26</v>
      </c>
      <c r="BF254" s="78">
        <f t="shared" si="155"/>
        <v>5.26</v>
      </c>
      <c r="BG254" s="78">
        <f t="shared" si="156"/>
        <v>5.26</v>
      </c>
      <c r="BH254" s="78">
        <f t="shared" si="157"/>
        <v>5.26</v>
      </c>
      <c r="BI254" s="78">
        <f t="shared" si="158"/>
        <v>5.26</v>
      </c>
      <c r="BJ254" s="78">
        <f t="shared" si="159"/>
        <v>5.26</v>
      </c>
      <c r="BK254" s="78">
        <f t="shared" si="160"/>
        <v>5.26</v>
      </c>
      <c r="BL254" s="78">
        <f t="shared" si="161"/>
        <v>5.26</v>
      </c>
      <c r="BM254" s="78">
        <f t="shared" si="162"/>
        <v>5.26</v>
      </c>
      <c r="BN254" s="78">
        <f t="shared" si="163"/>
        <v>5.26</v>
      </c>
      <c r="BO254" s="78">
        <f t="shared" si="164"/>
        <v>5.26</v>
      </c>
      <c r="BP254" s="78">
        <f t="shared" si="165"/>
        <v>5.26</v>
      </c>
      <c r="BQ254" s="78">
        <f t="shared" si="166"/>
        <v>5.26</v>
      </c>
      <c r="BR254" s="78">
        <f t="shared" si="167"/>
        <v>5.26</v>
      </c>
      <c r="BS254" s="77"/>
      <c r="BT254" s="77"/>
    </row>
    <row r="255" spans="1:72" ht="14.1" customHeight="1" x14ac:dyDescent="0.2">
      <c r="A255" s="55" t="str">
        <f t="shared" si="138"/>
        <v>DS-5 (Lighting Service)_Metal Halide, 150 Nominal Watts -Zone II</v>
      </c>
      <c r="B255" s="80" t="s">
        <v>647</v>
      </c>
      <c r="C255" s="83" t="s">
        <v>784</v>
      </c>
      <c r="D255" s="150"/>
      <c r="E255" s="81"/>
      <c r="F255" s="73" t="s">
        <v>649</v>
      </c>
      <c r="G255" s="73">
        <v>0</v>
      </c>
      <c r="H255" s="73">
        <v>6</v>
      </c>
      <c r="I255" s="74" t="s">
        <v>641</v>
      </c>
      <c r="J255" s="75" t="s">
        <v>634</v>
      </c>
      <c r="K255" s="74"/>
      <c r="L255" s="82">
        <v>5.26</v>
      </c>
      <c r="M255" s="138">
        <v>5.26</v>
      </c>
      <c r="N255" s="138">
        <v>5.26</v>
      </c>
      <c r="O255" s="138">
        <v>5.26</v>
      </c>
      <c r="P255" s="138">
        <v>5.26</v>
      </c>
      <c r="Q255" s="138">
        <v>5.26</v>
      </c>
      <c r="R255" s="138">
        <v>5.26</v>
      </c>
      <c r="S255" s="138">
        <v>5.26</v>
      </c>
      <c r="T255" s="138">
        <v>5.26</v>
      </c>
      <c r="U255" s="138">
        <v>5.26</v>
      </c>
      <c r="V255" s="138">
        <v>5.26</v>
      </c>
      <c r="W255" s="138">
        <v>5.26</v>
      </c>
      <c r="X255" s="138">
        <v>5.26</v>
      </c>
      <c r="Y255" s="138">
        <f t="shared" si="168"/>
        <v>5.26</v>
      </c>
      <c r="Z255" s="138">
        <f t="shared" si="169"/>
        <v>5.26</v>
      </c>
      <c r="AA255" s="138">
        <f t="shared" si="170"/>
        <v>5.26</v>
      </c>
      <c r="AB255" s="138">
        <f t="shared" si="171"/>
        <v>5.26</v>
      </c>
      <c r="AC255" s="138">
        <f t="shared" si="172"/>
        <v>5.26</v>
      </c>
      <c r="AD255" s="138">
        <f t="shared" si="173"/>
        <v>5.26</v>
      </c>
      <c r="AE255" s="138">
        <f t="shared" si="174"/>
        <v>5.26</v>
      </c>
      <c r="AF255" s="138">
        <f t="shared" si="175"/>
        <v>5.26</v>
      </c>
      <c r="AG255" s="138">
        <f t="shared" si="176"/>
        <v>5.26</v>
      </c>
      <c r="AH255" s="138">
        <f t="shared" si="177"/>
        <v>5.26</v>
      </c>
      <c r="AI255" s="138">
        <f t="shared" si="178"/>
        <v>5.26</v>
      </c>
      <c r="AJ255" s="138">
        <f t="shared" si="179"/>
        <v>5.26</v>
      </c>
      <c r="AK255" s="138">
        <f t="shared" si="180"/>
        <v>5.26</v>
      </c>
      <c r="AL255" s="138">
        <f t="shared" si="181"/>
        <v>5.2599999999999989</v>
      </c>
      <c r="AM255" s="138">
        <f t="shared" si="182"/>
        <v>5.2600000000000016</v>
      </c>
      <c r="AO255" s="77" t="str">
        <f t="shared" si="139"/>
        <v>DS-5 (Lighting Service)</v>
      </c>
      <c r="AP255" s="78" t="s">
        <v>650</v>
      </c>
      <c r="AQ255" s="77" t="str">
        <f t="shared" si="140"/>
        <v>Metal Halide, 150 Nominal Watts -Zone II</v>
      </c>
      <c r="AR255" s="78" t="str">
        <f t="shared" si="141"/>
        <v>Billing Cycle</v>
      </c>
      <c r="AS255" s="79">
        <f t="shared" si="142"/>
        <v>6</v>
      </c>
      <c r="AT255" s="78">
        <f t="shared" si="143"/>
        <v>5</v>
      </c>
      <c r="AU255" s="78">
        <f t="shared" si="144"/>
        <v>5.26</v>
      </c>
      <c r="AV255" s="78">
        <f t="shared" si="145"/>
        <v>5.26</v>
      </c>
      <c r="AW255" s="78">
        <f t="shared" si="146"/>
        <v>5.26</v>
      </c>
      <c r="AX255" s="78">
        <f t="shared" si="147"/>
        <v>5.26</v>
      </c>
      <c r="AY255" s="78">
        <f t="shared" si="148"/>
        <v>5.26</v>
      </c>
      <c r="AZ255" s="78">
        <f t="shared" si="149"/>
        <v>5.26</v>
      </c>
      <c r="BA255" s="78">
        <f t="shared" si="150"/>
        <v>5.26</v>
      </c>
      <c r="BB255" s="78">
        <f t="shared" si="151"/>
        <v>5.26</v>
      </c>
      <c r="BC255" s="78">
        <f t="shared" si="152"/>
        <v>5.26</v>
      </c>
      <c r="BD255" s="78">
        <f t="shared" si="153"/>
        <v>5.26</v>
      </c>
      <c r="BE255" s="78">
        <f t="shared" si="154"/>
        <v>5.26</v>
      </c>
      <c r="BF255" s="78">
        <f t="shared" si="155"/>
        <v>5.26</v>
      </c>
      <c r="BG255" s="78">
        <f t="shared" si="156"/>
        <v>5.26</v>
      </c>
      <c r="BH255" s="78">
        <f t="shared" si="157"/>
        <v>5.26</v>
      </c>
      <c r="BI255" s="78">
        <f t="shared" si="158"/>
        <v>5.26</v>
      </c>
      <c r="BJ255" s="78">
        <f t="shared" si="159"/>
        <v>5.26</v>
      </c>
      <c r="BK255" s="78">
        <f t="shared" si="160"/>
        <v>5.26</v>
      </c>
      <c r="BL255" s="78">
        <f t="shared" si="161"/>
        <v>5.26</v>
      </c>
      <c r="BM255" s="78">
        <f t="shared" si="162"/>
        <v>5.26</v>
      </c>
      <c r="BN255" s="78">
        <f t="shared" si="163"/>
        <v>5.26</v>
      </c>
      <c r="BO255" s="78">
        <f t="shared" si="164"/>
        <v>5.26</v>
      </c>
      <c r="BP255" s="78">
        <f t="shared" si="165"/>
        <v>5.26</v>
      </c>
      <c r="BQ255" s="78">
        <f t="shared" si="166"/>
        <v>5.26</v>
      </c>
      <c r="BR255" s="78">
        <f t="shared" si="167"/>
        <v>5.26</v>
      </c>
      <c r="BS255" s="77"/>
      <c r="BT255" s="77"/>
    </row>
    <row r="256" spans="1:72" ht="14.1" customHeight="1" x14ac:dyDescent="0.2">
      <c r="A256" s="55" t="str">
        <f t="shared" si="138"/>
        <v>DS-5 (Lighting Service)_Metal Halide, 150 Nominal Watts -Zone III</v>
      </c>
      <c r="B256" s="80" t="s">
        <v>647</v>
      </c>
      <c r="C256" s="83" t="s">
        <v>785</v>
      </c>
      <c r="D256" s="150"/>
      <c r="E256" s="81"/>
      <c r="F256" s="73" t="s">
        <v>649</v>
      </c>
      <c r="G256" s="73">
        <v>0</v>
      </c>
      <c r="H256" s="73">
        <v>6</v>
      </c>
      <c r="I256" s="74" t="s">
        <v>641</v>
      </c>
      <c r="J256" s="75" t="s">
        <v>634</v>
      </c>
      <c r="K256" s="74"/>
      <c r="L256" s="82">
        <v>5.26</v>
      </c>
      <c r="M256" s="138">
        <v>5.26</v>
      </c>
      <c r="N256" s="138">
        <v>5.26</v>
      </c>
      <c r="O256" s="138">
        <v>5.26</v>
      </c>
      <c r="P256" s="138">
        <v>5.26</v>
      </c>
      <c r="Q256" s="138">
        <v>5.26</v>
      </c>
      <c r="R256" s="138">
        <v>5.26</v>
      </c>
      <c r="S256" s="138">
        <v>5.26</v>
      </c>
      <c r="T256" s="138">
        <v>5.26</v>
      </c>
      <c r="U256" s="138">
        <v>5.26</v>
      </c>
      <c r="V256" s="138">
        <v>5.26</v>
      </c>
      <c r="W256" s="138">
        <v>5.26</v>
      </c>
      <c r="X256" s="138">
        <v>5.26</v>
      </c>
      <c r="Y256" s="138">
        <f t="shared" si="168"/>
        <v>5.26</v>
      </c>
      <c r="Z256" s="138">
        <f t="shared" si="169"/>
        <v>5.26</v>
      </c>
      <c r="AA256" s="138">
        <f t="shared" si="170"/>
        <v>5.26</v>
      </c>
      <c r="AB256" s="138">
        <f t="shared" si="171"/>
        <v>5.26</v>
      </c>
      <c r="AC256" s="138">
        <f t="shared" si="172"/>
        <v>5.26</v>
      </c>
      <c r="AD256" s="138">
        <f t="shared" si="173"/>
        <v>5.26</v>
      </c>
      <c r="AE256" s="138">
        <f t="shared" si="174"/>
        <v>5.26</v>
      </c>
      <c r="AF256" s="138">
        <f t="shared" si="175"/>
        <v>5.26</v>
      </c>
      <c r="AG256" s="138">
        <f t="shared" si="176"/>
        <v>5.26</v>
      </c>
      <c r="AH256" s="138">
        <f t="shared" si="177"/>
        <v>5.26</v>
      </c>
      <c r="AI256" s="138">
        <f t="shared" si="178"/>
        <v>5.26</v>
      </c>
      <c r="AJ256" s="138">
        <f t="shared" si="179"/>
        <v>5.26</v>
      </c>
      <c r="AK256" s="138">
        <f t="shared" si="180"/>
        <v>5.26</v>
      </c>
      <c r="AL256" s="138">
        <f t="shared" si="181"/>
        <v>5.2599999999999989</v>
      </c>
      <c r="AM256" s="138">
        <f t="shared" si="182"/>
        <v>5.2600000000000016</v>
      </c>
      <c r="AO256" s="77" t="str">
        <f t="shared" si="139"/>
        <v>DS-5 (Lighting Service)</v>
      </c>
      <c r="AP256" s="78" t="s">
        <v>650</v>
      </c>
      <c r="AQ256" s="77" t="str">
        <f t="shared" si="140"/>
        <v>Metal Halide, 150 Nominal Watts -Zone III</v>
      </c>
      <c r="AR256" s="78" t="str">
        <f t="shared" si="141"/>
        <v>Billing Cycle</v>
      </c>
      <c r="AS256" s="79">
        <f t="shared" si="142"/>
        <v>6</v>
      </c>
      <c r="AT256" s="78">
        <f t="shared" si="143"/>
        <v>5</v>
      </c>
      <c r="AU256" s="78">
        <f t="shared" si="144"/>
        <v>5.26</v>
      </c>
      <c r="AV256" s="78">
        <f t="shared" si="145"/>
        <v>5.26</v>
      </c>
      <c r="AW256" s="78">
        <f t="shared" si="146"/>
        <v>5.26</v>
      </c>
      <c r="AX256" s="78">
        <f t="shared" si="147"/>
        <v>5.26</v>
      </c>
      <c r="AY256" s="78">
        <f t="shared" si="148"/>
        <v>5.26</v>
      </c>
      <c r="AZ256" s="78">
        <f t="shared" si="149"/>
        <v>5.26</v>
      </c>
      <c r="BA256" s="78">
        <f t="shared" si="150"/>
        <v>5.26</v>
      </c>
      <c r="BB256" s="78">
        <f t="shared" si="151"/>
        <v>5.26</v>
      </c>
      <c r="BC256" s="78">
        <f t="shared" si="152"/>
        <v>5.26</v>
      </c>
      <c r="BD256" s="78">
        <f t="shared" si="153"/>
        <v>5.26</v>
      </c>
      <c r="BE256" s="78">
        <f t="shared" si="154"/>
        <v>5.26</v>
      </c>
      <c r="BF256" s="78">
        <f t="shared" si="155"/>
        <v>5.26</v>
      </c>
      <c r="BG256" s="78">
        <f t="shared" si="156"/>
        <v>5.26</v>
      </c>
      <c r="BH256" s="78">
        <f t="shared" si="157"/>
        <v>5.26</v>
      </c>
      <c r="BI256" s="78">
        <f t="shared" si="158"/>
        <v>5.26</v>
      </c>
      <c r="BJ256" s="78">
        <f t="shared" si="159"/>
        <v>5.26</v>
      </c>
      <c r="BK256" s="78">
        <f t="shared" si="160"/>
        <v>5.26</v>
      </c>
      <c r="BL256" s="78">
        <f t="shared" si="161"/>
        <v>5.26</v>
      </c>
      <c r="BM256" s="78">
        <f t="shared" si="162"/>
        <v>5.26</v>
      </c>
      <c r="BN256" s="78">
        <f t="shared" si="163"/>
        <v>5.26</v>
      </c>
      <c r="BO256" s="78">
        <f t="shared" si="164"/>
        <v>5.26</v>
      </c>
      <c r="BP256" s="78">
        <f t="shared" si="165"/>
        <v>5.26</v>
      </c>
      <c r="BQ256" s="78">
        <f t="shared" si="166"/>
        <v>5.26</v>
      </c>
      <c r="BR256" s="78">
        <f t="shared" si="167"/>
        <v>5.26</v>
      </c>
      <c r="BS256" s="77"/>
      <c r="BT256" s="77"/>
    </row>
    <row r="257" spans="1:72" ht="14.1" customHeight="1" x14ac:dyDescent="0.2">
      <c r="A257" s="55" t="str">
        <f t="shared" si="138"/>
        <v>DS-1 (Residential)_Meter Charge</v>
      </c>
      <c r="B257" s="80" t="s">
        <v>90</v>
      </c>
      <c r="C257" s="83" t="s">
        <v>560</v>
      </c>
      <c r="D257" s="150" t="s">
        <v>560</v>
      </c>
      <c r="E257" s="81"/>
      <c r="F257" s="73" t="s">
        <v>649</v>
      </c>
      <c r="G257" s="73">
        <v>0</v>
      </c>
      <c r="H257" s="73">
        <v>6</v>
      </c>
      <c r="I257" s="74" t="s">
        <v>641</v>
      </c>
      <c r="J257" s="75" t="s">
        <v>634</v>
      </c>
      <c r="K257" s="74"/>
      <c r="L257" s="82">
        <v>5.22</v>
      </c>
      <c r="M257" s="138">
        <v>4.84</v>
      </c>
      <c r="N257" s="138">
        <v>4.84</v>
      </c>
      <c r="O257" s="138">
        <v>4.84</v>
      </c>
      <c r="P257" s="138">
        <v>4.84</v>
      </c>
      <c r="Q257" s="138">
        <v>4.84</v>
      </c>
      <c r="R257" s="138">
        <v>4.84</v>
      </c>
      <c r="S257" s="138">
        <v>5.0599999999999996</v>
      </c>
      <c r="T257" s="138">
        <v>5.0599999999999996</v>
      </c>
      <c r="U257" s="138">
        <v>5.0599999999999996</v>
      </c>
      <c r="V257" s="138">
        <v>5.0599999999999996</v>
      </c>
      <c r="W257" s="138">
        <v>5.0599999999999996</v>
      </c>
      <c r="X257" s="138">
        <v>5.0599999999999996</v>
      </c>
      <c r="Y257" s="138">
        <f t="shared" si="168"/>
        <v>5.0599999999999996</v>
      </c>
      <c r="Z257" s="138">
        <f t="shared" si="169"/>
        <v>5.0599999999999996</v>
      </c>
      <c r="AA257" s="138">
        <f t="shared" si="170"/>
        <v>5.0599999999999996</v>
      </c>
      <c r="AB257" s="138">
        <f t="shared" si="171"/>
        <v>5.0599999999999996</v>
      </c>
      <c r="AC257" s="138">
        <f t="shared" si="172"/>
        <v>5.0599999999999996</v>
      </c>
      <c r="AD257" s="138">
        <f t="shared" si="173"/>
        <v>5.0599999999999996</v>
      </c>
      <c r="AE257" s="138">
        <f t="shared" si="174"/>
        <v>5.0599999999999996</v>
      </c>
      <c r="AF257" s="138">
        <f t="shared" si="175"/>
        <v>5.0599999999999996</v>
      </c>
      <c r="AG257" s="138">
        <f t="shared" si="176"/>
        <v>5.0599999999999996</v>
      </c>
      <c r="AH257" s="138">
        <f t="shared" si="177"/>
        <v>5.0599999999999996</v>
      </c>
      <c r="AI257" s="138">
        <f t="shared" si="178"/>
        <v>5.0599999999999996</v>
      </c>
      <c r="AJ257" s="138">
        <f t="shared" si="179"/>
        <v>5.0599999999999996</v>
      </c>
      <c r="AK257" s="138">
        <f t="shared" si="180"/>
        <v>5.0599999999999996</v>
      </c>
      <c r="AL257" s="138">
        <f t="shared" si="181"/>
        <v>5.0600000000000005</v>
      </c>
      <c r="AM257" s="138">
        <f t="shared" si="182"/>
        <v>5.014166666666668</v>
      </c>
      <c r="AO257" s="77" t="str">
        <f t="shared" si="139"/>
        <v>DS-1 (Residential)</v>
      </c>
      <c r="AP257" s="78" t="s">
        <v>662</v>
      </c>
      <c r="AQ257" s="77" t="str">
        <f t="shared" si="140"/>
        <v>Meter Charge</v>
      </c>
      <c r="AR257" s="78" t="str">
        <f t="shared" si="141"/>
        <v>Billing Cycle</v>
      </c>
      <c r="AS257" s="79">
        <f t="shared" si="142"/>
        <v>6</v>
      </c>
      <c r="AT257" s="78">
        <f t="shared" si="143"/>
        <v>5</v>
      </c>
      <c r="AU257" s="78">
        <f t="shared" si="144"/>
        <v>4.84</v>
      </c>
      <c r="AV257" s="78">
        <f t="shared" si="145"/>
        <v>4.84</v>
      </c>
      <c r="AW257" s="78">
        <f t="shared" si="146"/>
        <v>4.84</v>
      </c>
      <c r="AX257" s="78">
        <f t="shared" si="147"/>
        <v>4.84</v>
      </c>
      <c r="AY257" s="78">
        <f t="shared" si="148"/>
        <v>4.84</v>
      </c>
      <c r="AZ257" s="78">
        <f t="shared" si="149"/>
        <v>4.84</v>
      </c>
      <c r="BA257" s="78">
        <f t="shared" si="150"/>
        <v>5.0599999999999996</v>
      </c>
      <c r="BB257" s="78">
        <f t="shared" si="151"/>
        <v>5.0599999999999996</v>
      </c>
      <c r="BC257" s="78">
        <f t="shared" si="152"/>
        <v>5.0599999999999996</v>
      </c>
      <c r="BD257" s="78">
        <f t="shared" si="153"/>
        <v>5.0599999999999996</v>
      </c>
      <c r="BE257" s="78">
        <f t="shared" si="154"/>
        <v>5.0599999999999996</v>
      </c>
      <c r="BF257" s="78">
        <f t="shared" si="155"/>
        <v>5.0599999999999996</v>
      </c>
      <c r="BG257" s="78">
        <f t="shared" si="156"/>
        <v>5.0599999999999996</v>
      </c>
      <c r="BH257" s="78">
        <f t="shared" si="157"/>
        <v>5.0599999999999996</v>
      </c>
      <c r="BI257" s="78">
        <f t="shared" si="158"/>
        <v>5.0599999999999996</v>
      </c>
      <c r="BJ257" s="78">
        <f t="shared" si="159"/>
        <v>5.0599999999999996</v>
      </c>
      <c r="BK257" s="78">
        <f t="shared" si="160"/>
        <v>5.0599999999999996</v>
      </c>
      <c r="BL257" s="78">
        <f t="shared" si="161"/>
        <v>5.0599999999999996</v>
      </c>
      <c r="BM257" s="78">
        <f t="shared" si="162"/>
        <v>5.0599999999999996</v>
      </c>
      <c r="BN257" s="78">
        <f t="shared" si="163"/>
        <v>5.0599999999999996</v>
      </c>
      <c r="BO257" s="78">
        <f t="shared" si="164"/>
        <v>5.0599999999999996</v>
      </c>
      <c r="BP257" s="78">
        <f t="shared" si="165"/>
        <v>5.0599999999999996</v>
      </c>
      <c r="BQ257" s="78">
        <f t="shared" si="166"/>
        <v>5.0599999999999996</v>
      </c>
      <c r="BR257" s="78">
        <f t="shared" si="167"/>
        <v>5.0599999999999996</v>
      </c>
      <c r="BS257" s="77"/>
      <c r="BT257" s="77"/>
    </row>
    <row r="258" spans="1:72" ht="14.1" customHeight="1" x14ac:dyDescent="0.2">
      <c r="A258" s="55" t="str">
        <f t="shared" si="138"/>
        <v>DS-2 (Small General Service)_Meter Charge (all other electric service)</v>
      </c>
      <c r="B258" s="80" t="s">
        <v>665</v>
      </c>
      <c r="C258" s="71" t="s">
        <v>786</v>
      </c>
      <c r="D258" s="150"/>
      <c r="E258" s="81"/>
      <c r="F258" s="73" t="s">
        <v>649</v>
      </c>
      <c r="G258" s="73">
        <v>0</v>
      </c>
      <c r="H258" s="73">
        <v>6</v>
      </c>
      <c r="I258" s="74" t="s">
        <v>641</v>
      </c>
      <c r="J258" s="75" t="s">
        <v>634</v>
      </c>
      <c r="K258" s="74"/>
      <c r="L258" s="82">
        <v>7.66</v>
      </c>
      <c r="M258" s="138">
        <v>7.31</v>
      </c>
      <c r="N258" s="138">
        <v>7.31</v>
      </c>
      <c r="O258" s="138">
        <v>7.31</v>
      </c>
      <c r="P258" s="138">
        <v>7.31</v>
      </c>
      <c r="Q258" s="138">
        <v>7.31</v>
      </c>
      <c r="R258" s="138">
        <v>7.31</v>
      </c>
      <c r="S258" s="138">
        <v>7.63</v>
      </c>
      <c r="T258" s="138">
        <v>7.63</v>
      </c>
      <c r="U258" s="138">
        <v>7.63</v>
      </c>
      <c r="V258" s="138">
        <v>7.63</v>
      </c>
      <c r="W258" s="138">
        <v>7.63</v>
      </c>
      <c r="X258" s="138">
        <v>7.63</v>
      </c>
      <c r="Y258" s="138">
        <f t="shared" si="168"/>
        <v>7.63</v>
      </c>
      <c r="Z258" s="138">
        <f t="shared" si="169"/>
        <v>7.63</v>
      </c>
      <c r="AA258" s="138">
        <f t="shared" si="170"/>
        <v>7.63</v>
      </c>
      <c r="AB258" s="138">
        <f t="shared" si="171"/>
        <v>7.63</v>
      </c>
      <c r="AC258" s="138">
        <f t="shared" si="172"/>
        <v>7.63</v>
      </c>
      <c r="AD258" s="138">
        <f t="shared" si="173"/>
        <v>7.63</v>
      </c>
      <c r="AE258" s="138">
        <f t="shared" si="174"/>
        <v>7.63</v>
      </c>
      <c r="AF258" s="138">
        <f t="shared" si="175"/>
        <v>7.63</v>
      </c>
      <c r="AG258" s="138">
        <f t="shared" si="176"/>
        <v>7.63</v>
      </c>
      <c r="AH258" s="138">
        <f t="shared" si="177"/>
        <v>7.63</v>
      </c>
      <c r="AI258" s="138">
        <f t="shared" si="178"/>
        <v>7.63</v>
      </c>
      <c r="AJ258" s="138">
        <f t="shared" si="179"/>
        <v>7.63</v>
      </c>
      <c r="AK258" s="138">
        <f t="shared" si="180"/>
        <v>7.63</v>
      </c>
      <c r="AL258" s="138">
        <f t="shared" si="181"/>
        <v>7.629999999999999</v>
      </c>
      <c r="AM258" s="138">
        <f t="shared" si="182"/>
        <v>7.5633333333333317</v>
      </c>
      <c r="AO258" s="77" t="str">
        <f t="shared" si="139"/>
        <v>DS-2 (Small General Service)</v>
      </c>
      <c r="AP258" s="78" t="s">
        <v>664</v>
      </c>
      <c r="AQ258" s="77" t="str">
        <f t="shared" si="140"/>
        <v>Meter Charge (all other electric service)</v>
      </c>
      <c r="AR258" s="78" t="str">
        <f t="shared" si="141"/>
        <v>Billing Cycle</v>
      </c>
      <c r="AS258" s="79">
        <f t="shared" si="142"/>
        <v>6</v>
      </c>
      <c r="AT258" s="78">
        <f t="shared" si="143"/>
        <v>8</v>
      </c>
      <c r="AU258" s="78">
        <f t="shared" si="144"/>
        <v>7.31</v>
      </c>
      <c r="AV258" s="78">
        <f t="shared" si="145"/>
        <v>7.31</v>
      </c>
      <c r="AW258" s="78">
        <f t="shared" si="146"/>
        <v>7.31</v>
      </c>
      <c r="AX258" s="78">
        <f t="shared" si="147"/>
        <v>7.31</v>
      </c>
      <c r="AY258" s="78">
        <f t="shared" si="148"/>
        <v>7.31</v>
      </c>
      <c r="AZ258" s="78">
        <f t="shared" si="149"/>
        <v>7.31</v>
      </c>
      <c r="BA258" s="78">
        <f t="shared" si="150"/>
        <v>7.63</v>
      </c>
      <c r="BB258" s="78">
        <f t="shared" si="151"/>
        <v>7.63</v>
      </c>
      <c r="BC258" s="78">
        <f t="shared" si="152"/>
        <v>7.63</v>
      </c>
      <c r="BD258" s="78">
        <f t="shared" si="153"/>
        <v>7.63</v>
      </c>
      <c r="BE258" s="78">
        <f t="shared" si="154"/>
        <v>7.63</v>
      </c>
      <c r="BF258" s="78">
        <f t="shared" si="155"/>
        <v>7.63</v>
      </c>
      <c r="BG258" s="78">
        <f t="shared" si="156"/>
        <v>7.63</v>
      </c>
      <c r="BH258" s="78">
        <f t="shared" si="157"/>
        <v>7.63</v>
      </c>
      <c r="BI258" s="78">
        <f t="shared" si="158"/>
        <v>7.63</v>
      </c>
      <c r="BJ258" s="78">
        <f t="shared" si="159"/>
        <v>7.63</v>
      </c>
      <c r="BK258" s="78">
        <f t="shared" si="160"/>
        <v>7.63</v>
      </c>
      <c r="BL258" s="78">
        <f t="shared" si="161"/>
        <v>7.63</v>
      </c>
      <c r="BM258" s="78">
        <f t="shared" si="162"/>
        <v>7.63</v>
      </c>
      <c r="BN258" s="78">
        <f t="shared" si="163"/>
        <v>7.63</v>
      </c>
      <c r="BO258" s="78">
        <f t="shared" si="164"/>
        <v>7.63</v>
      </c>
      <c r="BP258" s="78">
        <f t="shared" si="165"/>
        <v>7.63</v>
      </c>
      <c r="BQ258" s="78">
        <f t="shared" si="166"/>
        <v>7.63</v>
      </c>
      <c r="BR258" s="78">
        <f t="shared" si="167"/>
        <v>7.63</v>
      </c>
      <c r="BS258" s="77"/>
      <c r="BT258" s="77"/>
    </row>
    <row r="259" spans="1:72" ht="14.1" customHeight="1" x14ac:dyDescent="0.2">
      <c r="A259" s="55" t="str">
        <f t="shared" si="138"/>
        <v>DS-5 (Lighting Service)_Meter Charge (Customer-owned Lighting Fixtures)</v>
      </c>
      <c r="B259" s="85" t="s">
        <v>647</v>
      </c>
      <c r="C259" s="83" t="s">
        <v>787</v>
      </c>
      <c r="D259" s="150"/>
      <c r="E259" s="81"/>
      <c r="F259" s="73" t="s">
        <v>649</v>
      </c>
      <c r="G259" s="73">
        <v>0</v>
      </c>
      <c r="H259" s="73">
        <v>6</v>
      </c>
      <c r="I259" s="74" t="s">
        <v>641</v>
      </c>
      <c r="J259" s="75" t="s">
        <v>634</v>
      </c>
      <c r="K259" s="74"/>
      <c r="L259" s="82">
        <v>7.66</v>
      </c>
      <c r="M259" s="138">
        <v>7.31</v>
      </c>
      <c r="N259" s="138">
        <v>7.31</v>
      </c>
      <c r="O259" s="138">
        <v>7.31</v>
      </c>
      <c r="P259" s="138">
        <v>7.31</v>
      </c>
      <c r="Q259" s="138">
        <v>7.31</v>
      </c>
      <c r="R259" s="138">
        <v>7.31</v>
      </c>
      <c r="S259" s="138">
        <v>7.63</v>
      </c>
      <c r="T259" s="138">
        <v>7.63</v>
      </c>
      <c r="U259" s="138">
        <v>7.63</v>
      </c>
      <c r="V259" s="138">
        <v>7.63</v>
      </c>
      <c r="W259" s="138">
        <v>7.63</v>
      </c>
      <c r="X259" s="138">
        <v>7.63</v>
      </c>
      <c r="Y259" s="138">
        <f t="shared" si="168"/>
        <v>7.63</v>
      </c>
      <c r="Z259" s="138">
        <f t="shared" si="169"/>
        <v>7.63</v>
      </c>
      <c r="AA259" s="138">
        <f t="shared" si="170"/>
        <v>7.63</v>
      </c>
      <c r="AB259" s="138">
        <f t="shared" si="171"/>
        <v>7.63</v>
      </c>
      <c r="AC259" s="138">
        <f t="shared" si="172"/>
        <v>7.63</v>
      </c>
      <c r="AD259" s="138">
        <f t="shared" si="173"/>
        <v>7.63</v>
      </c>
      <c r="AE259" s="138">
        <f t="shared" si="174"/>
        <v>7.63</v>
      </c>
      <c r="AF259" s="138">
        <f t="shared" si="175"/>
        <v>7.63</v>
      </c>
      <c r="AG259" s="138">
        <f t="shared" si="176"/>
        <v>7.63</v>
      </c>
      <c r="AH259" s="138">
        <f t="shared" si="177"/>
        <v>7.63</v>
      </c>
      <c r="AI259" s="138">
        <f t="shared" si="178"/>
        <v>7.63</v>
      </c>
      <c r="AJ259" s="138">
        <f t="shared" si="179"/>
        <v>7.63</v>
      </c>
      <c r="AK259" s="138">
        <f t="shared" si="180"/>
        <v>7.63</v>
      </c>
      <c r="AL259" s="138">
        <f t="shared" si="181"/>
        <v>7.629999999999999</v>
      </c>
      <c r="AM259" s="138">
        <f t="shared" si="182"/>
        <v>7.5633333333333317</v>
      </c>
      <c r="AO259" s="77" t="str">
        <f t="shared" si="139"/>
        <v>DS-5 (Lighting Service)</v>
      </c>
      <c r="AP259" s="78" t="s">
        <v>650</v>
      </c>
      <c r="AQ259" s="77" t="str">
        <f t="shared" si="140"/>
        <v>Meter Charge (Customer-owned Lighting Fixtures)</v>
      </c>
      <c r="AR259" s="78" t="str">
        <f t="shared" si="141"/>
        <v>Billing Cycle</v>
      </c>
      <c r="AS259" s="79">
        <f t="shared" si="142"/>
        <v>6</v>
      </c>
      <c r="AT259" s="78">
        <f t="shared" si="143"/>
        <v>8</v>
      </c>
      <c r="AU259" s="78">
        <f t="shared" si="144"/>
        <v>7.31</v>
      </c>
      <c r="AV259" s="78">
        <f t="shared" si="145"/>
        <v>7.31</v>
      </c>
      <c r="AW259" s="78">
        <f t="shared" si="146"/>
        <v>7.31</v>
      </c>
      <c r="AX259" s="78">
        <f t="shared" si="147"/>
        <v>7.31</v>
      </c>
      <c r="AY259" s="78">
        <f t="shared" si="148"/>
        <v>7.31</v>
      </c>
      <c r="AZ259" s="78">
        <f t="shared" si="149"/>
        <v>7.31</v>
      </c>
      <c r="BA259" s="78">
        <f t="shared" si="150"/>
        <v>7.63</v>
      </c>
      <c r="BB259" s="78">
        <f t="shared" si="151"/>
        <v>7.63</v>
      </c>
      <c r="BC259" s="78">
        <f t="shared" si="152"/>
        <v>7.63</v>
      </c>
      <c r="BD259" s="78">
        <f t="shared" si="153"/>
        <v>7.63</v>
      </c>
      <c r="BE259" s="78">
        <f t="shared" si="154"/>
        <v>7.63</v>
      </c>
      <c r="BF259" s="78">
        <f t="shared" si="155"/>
        <v>7.63</v>
      </c>
      <c r="BG259" s="78">
        <f t="shared" si="156"/>
        <v>7.63</v>
      </c>
      <c r="BH259" s="78">
        <f t="shared" si="157"/>
        <v>7.63</v>
      </c>
      <c r="BI259" s="78">
        <f t="shared" si="158"/>
        <v>7.63</v>
      </c>
      <c r="BJ259" s="78">
        <f t="shared" si="159"/>
        <v>7.63</v>
      </c>
      <c r="BK259" s="78">
        <f t="shared" si="160"/>
        <v>7.63</v>
      </c>
      <c r="BL259" s="78">
        <f t="shared" si="161"/>
        <v>7.63</v>
      </c>
      <c r="BM259" s="78">
        <f t="shared" si="162"/>
        <v>7.63</v>
      </c>
      <c r="BN259" s="78">
        <f t="shared" si="163"/>
        <v>7.63</v>
      </c>
      <c r="BO259" s="78">
        <f t="shared" si="164"/>
        <v>7.63</v>
      </c>
      <c r="BP259" s="78">
        <f t="shared" si="165"/>
        <v>7.63</v>
      </c>
      <c r="BQ259" s="78">
        <f t="shared" si="166"/>
        <v>7.63</v>
      </c>
      <c r="BR259" s="78">
        <f t="shared" si="167"/>
        <v>7.63</v>
      </c>
      <c r="BS259" s="77"/>
      <c r="BT259" s="77"/>
    </row>
    <row r="260" spans="1:72" ht="14.1" customHeight="1" x14ac:dyDescent="0.2">
      <c r="A260" s="55" t="str">
        <f t="shared" si="138"/>
        <v>DS-3 (General Delivery Service)_Meter Charge &gt;100kV</v>
      </c>
      <c r="B260" s="80" t="s">
        <v>666</v>
      </c>
      <c r="C260" s="83" t="s">
        <v>788</v>
      </c>
      <c r="D260" s="150"/>
      <c r="E260" s="81"/>
      <c r="F260" s="73" t="s">
        <v>649</v>
      </c>
      <c r="G260" s="73">
        <v>0</v>
      </c>
      <c r="H260" s="73">
        <v>6</v>
      </c>
      <c r="I260" s="74" t="s">
        <v>641</v>
      </c>
      <c r="J260" s="75" t="s">
        <v>634</v>
      </c>
      <c r="K260" s="74"/>
      <c r="L260" s="82">
        <v>12.26</v>
      </c>
      <c r="M260" s="138">
        <v>11.39</v>
      </c>
      <c r="N260" s="138">
        <v>11.39</v>
      </c>
      <c r="O260" s="138">
        <v>11.39</v>
      </c>
      <c r="P260" s="138">
        <v>11.39</v>
      </c>
      <c r="Q260" s="138">
        <v>11.39</v>
      </c>
      <c r="R260" s="138">
        <v>11.39</v>
      </c>
      <c r="S260" s="138">
        <v>11.9</v>
      </c>
      <c r="T260" s="138">
        <v>11.9</v>
      </c>
      <c r="U260" s="138">
        <v>11.9</v>
      </c>
      <c r="V260" s="138">
        <v>11.9</v>
      </c>
      <c r="W260" s="138">
        <v>11.9</v>
      </c>
      <c r="X260" s="138">
        <v>11.9</v>
      </c>
      <c r="Y260" s="138">
        <f t="shared" si="168"/>
        <v>11.9</v>
      </c>
      <c r="Z260" s="138">
        <f t="shared" si="169"/>
        <v>11.9</v>
      </c>
      <c r="AA260" s="138">
        <f t="shared" si="170"/>
        <v>11.9</v>
      </c>
      <c r="AB260" s="138">
        <f t="shared" si="171"/>
        <v>11.9</v>
      </c>
      <c r="AC260" s="138">
        <f t="shared" si="172"/>
        <v>11.9</v>
      </c>
      <c r="AD260" s="138">
        <f t="shared" si="173"/>
        <v>11.9</v>
      </c>
      <c r="AE260" s="138">
        <f t="shared" si="174"/>
        <v>11.9</v>
      </c>
      <c r="AF260" s="138">
        <f t="shared" si="175"/>
        <v>11.9</v>
      </c>
      <c r="AG260" s="138">
        <f t="shared" si="176"/>
        <v>11.9</v>
      </c>
      <c r="AH260" s="138">
        <f t="shared" si="177"/>
        <v>11.9</v>
      </c>
      <c r="AI260" s="138">
        <f t="shared" si="178"/>
        <v>11.9</v>
      </c>
      <c r="AJ260" s="138">
        <f t="shared" si="179"/>
        <v>11.9</v>
      </c>
      <c r="AK260" s="138">
        <f t="shared" si="180"/>
        <v>11.9</v>
      </c>
      <c r="AL260" s="138">
        <f t="shared" si="181"/>
        <v>11.900000000000004</v>
      </c>
      <c r="AM260" s="138">
        <f t="shared" si="182"/>
        <v>11.793750000000001</v>
      </c>
      <c r="AO260" s="77" t="str">
        <f t="shared" si="139"/>
        <v>DS-3 (General Delivery Service)</v>
      </c>
      <c r="AP260" s="78" t="s">
        <v>667</v>
      </c>
      <c r="AQ260" s="77" t="str">
        <f t="shared" si="140"/>
        <v>Meter Charge &gt;100kV</v>
      </c>
      <c r="AR260" s="78" t="str">
        <f t="shared" si="141"/>
        <v>Billing Cycle</v>
      </c>
      <c r="AS260" s="79">
        <f t="shared" si="142"/>
        <v>6</v>
      </c>
      <c r="AT260" s="78">
        <f t="shared" si="143"/>
        <v>12</v>
      </c>
      <c r="AU260" s="78">
        <f t="shared" si="144"/>
        <v>11.39</v>
      </c>
      <c r="AV260" s="78">
        <f t="shared" si="145"/>
        <v>11.39</v>
      </c>
      <c r="AW260" s="78">
        <f t="shared" si="146"/>
        <v>11.39</v>
      </c>
      <c r="AX260" s="78">
        <f t="shared" si="147"/>
        <v>11.39</v>
      </c>
      <c r="AY260" s="78">
        <f t="shared" si="148"/>
        <v>11.39</v>
      </c>
      <c r="AZ260" s="78">
        <f t="shared" si="149"/>
        <v>11.39</v>
      </c>
      <c r="BA260" s="78">
        <f t="shared" si="150"/>
        <v>11.9</v>
      </c>
      <c r="BB260" s="78">
        <f t="shared" si="151"/>
        <v>11.9</v>
      </c>
      <c r="BC260" s="78">
        <f t="shared" si="152"/>
        <v>11.9</v>
      </c>
      <c r="BD260" s="78">
        <f t="shared" si="153"/>
        <v>11.9</v>
      </c>
      <c r="BE260" s="78">
        <f t="shared" si="154"/>
        <v>11.9</v>
      </c>
      <c r="BF260" s="78">
        <f t="shared" si="155"/>
        <v>11.9</v>
      </c>
      <c r="BG260" s="78">
        <f t="shared" si="156"/>
        <v>11.9</v>
      </c>
      <c r="BH260" s="78">
        <f t="shared" si="157"/>
        <v>11.9</v>
      </c>
      <c r="BI260" s="78">
        <f t="shared" si="158"/>
        <v>11.9</v>
      </c>
      <c r="BJ260" s="78">
        <f t="shared" si="159"/>
        <v>11.9</v>
      </c>
      <c r="BK260" s="78">
        <f t="shared" si="160"/>
        <v>11.9</v>
      </c>
      <c r="BL260" s="78">
        <f t="shared" si="161"/>
        <v>11.9</v>
      </c>
      <c r="BM260" s="78">
        <f t="shared" si="162"/>
        <v>11.9</v>
      </c>
      <c r="BN260" s="78">
        <f t="shared" si="163"/>
        <v>11.9</v>
      </c>
      <c r="BO260" s="78">
        <f t="shared" si="164"/>
        <v>11.9</v>
      </c>
      <c r="BP260" s="78">
        <f t="shared" si="165"/>
        <v>11.9</v>
      </c>
      <c r="BQ260" s="78">
        <f t="shared" si="166"/>
        <v>11.9</v>
      </c>
      <c r="BR260" s="78">
        <f t="shared" si="167"/>
        <v>11.9</v>
      </c>
      <c r="BS260" s="77"/>
      <c r="BT260" s="77"/>
    </row>
    <row r="261" spans="1:72" ht="14.1" customHeight="1" x14ac:dyDescent="0.2">
      <c r="A261" s="55" t="str">
        <f t="shared" si="138"/>
        <v>DS-4 (Large General Service)_Meter Charge &gt;100kV</v>
      </c>
      <c r="B261" s="80" t="s">
        <v>639</v>
      </c>
      <c r="C261" s="83" t="s">
        <v>788</v>
      </c>
      <c r="D261" s="150"/>
      <c r="E261" s="81"/>
      <c r="F261" s="73" t="s">
        <v>649</v>
      </c>
      <c r="G261" s="73">
        <v>0</v>
      </c>
      <c r="H261" s="73">
        <v>6</v>
      </c>
      <c r="I261" s="74" t="s">
        <v>641</v>
      </c>
      <c r="J261" s="75" t="s">
        <v>634</v>
      </c>
      <c r="K261" s="74"/>
      <c r="L261" s="82">
        <v>14.74</v>
      </c>
      <c r="M261" s="138">
        <v>13.63</v>
      </c>
      <c r="N261" s="138">
        <v>13.63</v>
      </c>
      <c r="O261" s="138">
        <v>13.63</v>
      </c>
      <c r="P261" s="138">
        <v>13.63</v>
      </c>
      <c r="Q261" s="138">
        <v>13.63</v>
      </c>
      <c r="R261" s="138">
        <v>13.63</v>
      </c>
      <c r="S261" s="138">
        <v>14.23</v>
      </c>
      <c r="T261" s="138">
        <v>14.23</v>
      </c>
      <c r="U261" s="138">
        <v>14.23</v>
      </c>
      <c r="V261" s="138">
        <v>14.23</v>
      </c>
      <c r="W261" s="138">
        <v>14.23</v>
      </c>
      <c r="X261" s="138">
        <v>14.23</v>
      </c>
      <c r="Y261" s="138">
        <f t="shared" si="168"/>
        <v>14.23</v>
      </c>
      <c r="Z261" s="138">
        <f t="shared" si="169"/>
        <v>14.23</v>
      </c>
      <c r="AA261" s="138">
        <f t="shared" si="170"/>
        <v>14.23</v>
      </c>
      <c r="AB261" s="138">
        <f t="shared" si="171"/>
        <v>14.23</v>
      </c>
      <c r="AC261" s="138">
        <f t="shared" si="172"/>
        <v>14.23</v>
      </c>
      <c r="AD261" s="138">
        <f t="shared" si="173"/>
        <v>14.23</v>
      </c>
      <c r="AE261" s="138">
        <f t="shared" si="174"/>
        <v>14.23</v>
      </c>
      <c r="AF261" s="138">
        <f t="shared" si="175"/>
        <v>14.23</v>
      </c>
      <c r="AG261" s="138">
        <f t="shared" si="176"/>
        <v>14.23</v>
      </c>
      <c r="AH261" s="138">
        <f t="shared" si="177"/>
        <v>14.23</v>
      </c>
      <c r="AI261" s="138">
        <f t="shared" si="178"/>
        <v>14.23</v>
      </c>
      <c r="AJ261" s="138">
        <f t="shared" si="179"/>
        <v>14.23</v>
      </c>
      <c r="AK261" s="138">
        <f t="shared" si="180"/>
        <v>14.23</v>
      </c>
      <c r="AL261" s="138">
        <f t="shared" si="181"/>
        <v>14.229999999999999</v>
      </c>
      <c r="AM261" s="138">
        <f t="shared" si="182"/>
        <v>14.105000000000002</v>
      </c>
      <c r="AO261" s="77" t="str">
        <f t="shared" si="139"/>
        <v>DS-4 (Large General Service)</v>
      </c>
      <c r="AP261" s="78" t="s">
        <v>642</v>
      </c>
      <c r="AQ261" s="77" t="str">
        <f t="shared" si="140"/>
        <v>Meter Charge &gt;100kV</v>
      </c>
      <c r="AR261" s="78" t="str">
        <f t="shared" si="141"/>
        <v>Billing Cycle</v>
      </c>
      <c r="AS261" s="79">
        <f t="shared" si="142"/>
        <v>6</v>
      </c>
      <c r="AT261" s="78">
        <f t="shared" si="143"/>
        <v>15</v>
      </c>
      <c r="AU261" s="78">
        <f t="shared" si="144"/>
        <v>13.63</v>
      </c>
      <c r="AV261" s="78">
        <f t="shared" si="145"/>
        <v>13.63</v>
      </c>
      <c r="AW261" s="78">
        <f t="shared" si="146"/>
        <v>13.63</v>
      </c>
      <c r="AX261" s="78">
        <f t="shared" si="147"/>
        <v>13.63</v>
      </c>
      <c r="AY261" s="78">
        <f t="shared" si="148"/>
        <v>13.63</v>
      </c>
      <c r="AZ261" s="78">
        <f t="shared" si="149"/>
        <v>13.63</v>
      </c>
      <c r="BA261" s="78">
        <f t="shared" si="150"/>
        <v>14.23</v>
      </c>
      <c r="BB261" s="78">
        <f t="shared" si="151"/>
        <v>14.23</v>
      </c>
      <c r="BC261" s="78">
        <f t="shared" si="152"/>
        <v>14.23</v>
      </c>
      <c r="BD261" s="78">
        <f t="shared" si="153"/>
        <v>14.23</v>
      </c>
      <c r="BE261" s="78">
        <f t="shared" si="154"/>
        <v>14.23</v>
      </c>
      <c r="BF261" s="78">
        <f t="shared" si="155"/>
        <v>14.23</v>
      </c>
      <c r="BG261" s="78">
        <f t="shared" si="156"/>
        <v>14.23</v>
      </c>
      <c r="BH261" s="78">
        <f t="shared" si="157"/>
        <v>14.23</v>
      </c>
      <c r="BI261" s="78">
        <f t="shared" si="158"/>
        <v>14.23</v>
      </c>
      <c r="BJ261" s="78">
        <f t="shared" si="159"/>
        <v>14.23</v>
      </c>
      <c r="BK261" s="78">
        <f t="shared" si="160"/>
        <v>14.23</v>
      </c>
      <c r="BL261" s="78">
        <f t="shared" si="161"/>
        <v>14.23</v>
      </c>
      <c r="BM261" s="78">
        <f t="shared" si="162"/>
        <v>14.23</v>
      </c>
      <c r="BN261" s="78">
        <f t="shared" si="163"/>
        <v>14.23</v>
      </c>
      <c r="BO261" s="78">
        <f t="shared" si="164"/>
        <v>14.23</v>
      </c>
      <c r="BP261" s="78">
        <f t="shared" si="165"/>
        <v>14.23</v>
      </c>
      <c r="BQ261" s="78">
        <f t="shared" si="166"/>
        <v>14.23</v>
      </c>
      <c r="BR261" s="78">
        <f t="shared" si="167"/>
        <v>14.23</v>
      </c>
      <c r="BS261" s="77"/>
      <c r="BT261" s="77"/>
    </row>
    <row r="262" spans="1:72" ht="14.1" customHeight="1" x14ac:dyDescent="0.2">
      <c r="A262" s="55" t="str">
        <f t="shared" ref="A262:A325" si="183">B262&amp;"_"&amp;C262</f>
        <v>DS-6 (DS-3) Temp. Sensitive DS_Meter Charge &gt;100kV</v>
      </c>
      <c r="B262" s="80" t="s">
        <v>643</v>
      </c>
      <c r="C262" s="83" t="s">
        <v>788</v>
      </c>
      <c r="D262" s="150"/>
      <c r="E262" s="81"/>
      <c r="F262" s="73" t="s">
        <v>649</v>
      </c>
      <c r="G262" s="73">
        <v>0</v>
      </c>
      <c r="H262" s="73">
        <v>6</v>
      </c>
      <c r="I262" s="74" t="s">
        <v>641</v>
      </c>
      <c r="J262" s="75" t="s">
        <v>634</v>
      </c>
      <c r="K262" s="74"/>
      <c r="L262" s="82">
        <v>12.53</v>
      </c>
      <c r="M262" s="138">
        <v>12.01</v>
      </c>
      <c r="N262" s="138">
        <v>12.01</v>
      </c>
      <c r="O262" s="138">
        <v>12.01</v>
      </c>
      <c r="P262" s="138">
        <v>12.01</v>
      </c>
      <c r="Q262" s="138">
        <v>12.01</v>
      </c>
      <c r="R262" s="138">
        <v>12.01</v>
      </c>
      <c r="S262" s="138">
        <v>12.54</v>
      </c>
      <c r="T262" s="138">
        <v>12.54</v>
      </c>
      <c r="U262" s="138">
        <v>12.54</v>
      </c>
      <c r="V262" s="138">
        <v>12.54</v>
      </c>
      <c r="W262" s="138">
        <v>12.54</v>
      </c>
      <c r="X262" s="138">
        <v>12.54</v>
      </c>
      <c r="Y262" s="138">
        <f t="shared" si="168"/>
        <v>12.54</v>
      </c>
      <c r="Z262" s="138">
        <f t="shared" si="169"/>
        <v>12.54</v>
      </c>
      <c r="AA262" s="138">
        <f t="shared" si="170"/>
        <v>12.54</v>
      </c>
      <c r="AB262" s="138">
        <f t="shared" si="171"/>
        <v>12.54</v>
      </c>
      <c r="AC262" s="138">
        <f t="shared" si="172"/>
        <v>12.54</v>
      </c>
      <c r="AD262" s="138">
        <f t="shared" si="173"/>
        <v>12.54</v>
      </c>
      <c r="AE262" s="138">
        <f t="shared" si="174"/>
        <v>12.54</v>
      </c>
      <c r="AF262" s="138">
        <f t="shared" si="175"/>
        <v>12.54</v>
      </c>
      <c r="AG262" s="138">
        <f t="shared" si="176"/>
        <v>12.54</v>
      </c>
      <c r="AH262" s="138">
        <f t="shared" si="177"/>
        <v>12.54</v>
      </c>
      <c r="AI262" s="138">
        <f t="shared" si="178"/>
        <v>12.54</v>
      </c>
      <c r="AJ262" s="138">
        <f t="shared" si="179"/>
        <v>12.54</v>
      </c>
      <c r="AK262" s="138">
        <f t="shared" si="180"/>
        <v>12.54</v>
      </c>
      <c r="AL262" s="138">
        <f t="shared" si="181"/>
        <v>12.539999999999997</v>
      </c>
      <c r="AM262" s="138">
        <f t="shared" si="182"/>
        <v>12.429583333333332</v>
      </c>
      <c r="AO262" s="77" t="str">
        <f t="shared" ref="AO262:AO325" si="184">IF(B262="","",B262)</f>
        <v>DS-6 (DS-3) Temp. Sensitive DS</v>
      </c>
      <c r="AP262" s="78" t="s">
        <v>644</v>
      </c>
      <c r="AQ262" s="77" t="str">
        <f t="shared" ref="AQ262:AQ325" si="185">IF(B262="","",C262)</f>
        <v>Meter Charge &gt;100kV</v>
      </c>
      <c r="AR262" s="78" t="str">
        <f t="shared" ref="AR262:AR325" si="186">IF(B262="","",F262)</f>
        <v>Billing Cycle</v>
      </c>
      <c r="AS262" s="79">
        <f t="shared" ref="AS262:AS325" si="187">IF(B262="","",H262)</f>
        <v>6</v>
      </c>
      <c r="AT262" s="78">
        <f t="shared" ref="AT262:AT325" si="188">IF(B262="","",ROUND(L262,$H$6))</f>
        <v>13</v>
      </c>
      <c r="AU262" s="78">
        <f t="shared" ref="AU262:AU325" si="189">IF($B262="","",ROUND(IF(M262="",AT262,M262),$H262))</f>
        <v>12.01</v>
      </c>
      <c r="AV262" s="78">
        <f t="shared" ref="AV262:AV325" si="190">IF($B262="","",ROUND(IF(N262="",AU262,N262),$H262))</f>
        <v>12.01</v>
      </c>
      <c r="AW262" s="78">
        <f t="shared" ref="AW262:AW325" si="191">IF($B262="","",ROUND(IF(O262="",AV262,O262),$H262))</f>
        <v>12.01</v>
      </c>
      <c r="AX262" s="78">
        <f t="shared" ref="AX262:AX325" si="192">IF($B262="","",ROUND(IF(P262="",AW262,P262),$H262))</f>
        <v>12.01</v>
      </c>
      <c r="AY262" s="78">
        <f t="shared" ref="AY262:AY325" si="193">IF($B262="","",ROUND(IF(Q262="",AX262,Q262),$H262))</f>
        <v>12.01</v>
      </c>
      <c r="AZ262" s="78">
        <f t="shared" ref="AZ262:AZ325" si="194">IF($B262="","",ROUND(IF(R262="",AY262,R262),$H262))</f>
        <v>12.01</v>
      </c>
      <c r="BA262" s="78">
        <f t="shared" ref="BA262:BA325" si="195">IF($B262="","",ROUND(IF(S262="",AZ262,S262),$H262))</f>
        <v>12.54</v>
      </c>
      <c r="BB262" s="78">
        <f t="shared" ref="BB262:BB325" si="196">IF($B262="","",ROUND(IF(T262="",BA262,T262),$H262))</f>
        <v>12.54</v>
      </c>
      <c r="BC262" s="78">
        <f t="shared" ref="BC262:BC325" si="197">IF($B262="","",ROUND(IF(U262="",BB262,U262),$H262))</f>
        <v>12.54</v>
      </c>
      <c r="BD262" s="78">
        <f t="shared" ref="BD262:BD325" si="198">IF($B262="","",ROUND(IF(V262="",BC262,V262),$H262))</f>
        <v>12.54</v>
      </c>
      <c r="BE262" s="78">
        <f t="shared" ref="BE262:BE325" si="199">IF($B262="","",ROUND(IF(W262="",BD262,W262),$H262))</f>
        <v>12.54</v>
      </c>
      <c r="BF262" s="78">
        <f t="shared" ref="BF262:BF325" si="200">IF($B262="","",ROUND(IF(X262="",BE262,X262),$H262))</f>
        <v>12.54</v>
      </c>
      <c r="BG262" s="78">
        <f t="shared" ref="BG262:BG325" si="201">IF($B262="","",ROUND(IF(Y262="",BF262,Y262),$H262))</f>
        <v>12.54</v>
      </c>
      <c r="BH262" s="78">
        <f t="shared" ref="BH262:BH325" si="202">IF($B262="","",ROUND(IF(Z262="",BG262,Z262),$H262))</f>
        <v>12.54</v>
      </c>
      <c r="BI262" s="78">
        <f t="shared" ref="BI262:BI325" si="203">IF($B262="","",ROUND(IF(AA262="",BH262,AA262),$H262))</f>
        <v>12.54</v>
      </c>
      <c r="BJ262" s="78">
        <f t="shared" ref="BJ262:BJ325" si="204">IF($B262="","",ROUND(IF(AB262="",BI262,AB262),$H262))</f>
        <v>12.54</v>
      </c>
      <c r="BK262" s="78">
        <f t="shared" ref="BK262:BK325" si="205">IF($B262="","",ROUND(IF(AC262="",BJ262,AC262),$H262))</f>
        <v>12.54</v>
      </c>
      <c r="BL262" s="78">
        <f t="shared" ref="BL262:BL325" si="206">IF($B262="","",ROUND(IF(AD262="",BK262,AD262),$H262))</f>
        <v>12.54</v>
      </c>
      <c r="BM262" s="78">
        <f t="shared" ref="BM262:BM325" si="207">IF($B262="","",ROUND(IF(AE262="",BL262,AE262),$H262))</f>
        <v>12.54</v>
      </c>
      <c r="BN262" s="78">
        <f t="shared" ref="BN262:BN325" si="208">IF($B262="","",ROUND(IF(AF262="",BM262,AF262),$H262))</f>
        <v>12.54</v>
      </c>
      <c r="BO262" s="78">
        <f t="shared" ref="BO262:BO325" si="209">IF($B262="","",ROUND(IF(AG262="",BN262,AG262),$H262))</f>
        <v>12.54</v>
      </c>
      <c r="BP262" s="78">
        <f t="shared" ref="BP262:BP325" si="210">IF($B262="","",ROUND(IF(AH262="",BO262,AH262),$H262))</f>
        <v>12.54</v>
      </c>
      <c r="BQ262" s="78">
        <f t="shared" ref="BQ262:BQ325" si="211">IF($B262="","",ROUND(IF(AI262="",BP262,AI262),$H262))</f>
        <v>12.54</v>
      </c>
      <c r="BR262" s="78">
        <f t="shared" ref="BR262:BR325" si="212">IF($B262="","",ROUND(IF(AJ262="",BQ262,AJ262),$H262))</f>
        <v>12.54</v>
      </c>
      <c r="BS262" s="77"/>
      <c r="BT262" s="77"/>
    </row>
    <row r="263" spans="1:72" ht="14.1" customHeight="1" x14ac:dyDescent="0.2">
      <c r="A263" s="55" t="str">
        <f t="shared" si="183"/>
        <v>DS-6 (DS-4) Temp. Sensitive DS_Meter Charge &gt;100kV</v>
      </c>
      <c r="B263" s="80" t="s">
        <v>645</v>
      </c>
      <c r="C263" s="83" t="s">
        <v>788</v>
      </c>
      <c r="D263" s="150"/>
      <c r="E263" s="81"/>
      <c r="F263" s="73" t="s">
        <v>649</v>
      </c>
      <c r="G263" s="73">
        <v>0</v>
      </c>
      <c r="H263" s="73">
        <v>6</v>
      </c>
      <c r="I263" s="74" t="s">
        <v>641</v>
      </c>
      <c r="J263" s="75" t="s">
        <v>634</v>
      </c>
      <c r="K263" s="74"/>
      <c r="L263" s="82">
        <v>12.53</v>
      </c>
      <c r="M263" s="138">
        <v>12.01</v>
      </c>
      <c r="N263" s="138">
        <v>12.01</v>
      </c>
      <c r="O263" s="138">
        <v>12.01</v>
      </c>
      <c r="P263" s="138">
        <v>12.01</v>
      </c>
      <c r="Q263" s="138">
        <v>12.01</v>
      </c>
      <c r="R263" s="138">
        <v>12.01</v>
      </c>
      <c r="S263" s="138">
        <v>12.54</v>
      </c>
      <c r="T263" s="138">
        <v>12.54</v>
      </c>
      <c r="U263" s="138">
        <v>12.54</v>
      </c>
      <c r="V263" s="138">
        <v>12.54</v>
      </c>
      <c r="W263" s="138">
        <v>12.54</v>
      </c>
      <c r="X263" s="138">
        <v>12.54</v>
      </c>
      <c r="Y263" s="138">
        <f t="shared" ref="Y263:Y326" si="213">X263</f>
        <v>12.54</v>
      </c>
      <c r="Z263" s="138">
        <f t="shared" ref="Z263:Z326" si="214">Y263</f>
        <v>12.54</v>
      </c>
      <c r="AA263" s="138">
        <f t="shared" ref="AA263:AA326" si="215">Z263</f>
        <v>12.54</v>
      </c>
      <c r="AB263" s="138">
        <f t="shared" ref="AB263:AB326" si="216">AA263</f>
        <v>12.54</v>
      </c>
      <c r="AC263" s="138">
        <f t="shared" ref="AC263:AC326" si="217">AB263</f>
        <v>12.54</v>
      </c>
      <c r="AD263" s="138">
        <f t="shared" ref="AD263:AD326" si="218">AC263</f>
        <v>12.54</v>
      </c>
      <c r="AE263" s="138">
        <f t="shared" ref="AE263:AE326" si="219">AD263</f>
        <v>12.54</v>
      </c>
      <c r="AF263" s="138">
        <f t="shared" ref="AF263:AF326" si="220">AE263</f>
        <v>12.54</v>
      </c>
      <c r="AG263" s="138">
        <f t="shared" ref="AG263:AG326" si="221">AF263</f>
        <v>12.54</v>
      </c>
      <c r="AH263" s="138">
        <f t="shared" ref="AH263:AH326" si="222">AG263</f>
        <v>12.54</v>
      </c>
      <c r="AI263" s="138">
        <f t="shared" ref="AI263:AI326" si="223">AH263</f>
        <v>12.54</v>
      </c>
      <c r="AJ263" s="138">
        <f t="shared" ref="AJ263:AJ326" si="224">AI263</f>
        <v>12.54</v>
      </c>
      <c r="AK263" s="138">
        <f t="shared" ref="AK263:AK326" si="225">AJ263</f>
        <v>12.54</v>
      </c>
      <c r="AL263" s="138">
        <f t="shared" ref="AL263:AL326" si="226">AVERAGE(Z263:AK263)</f>
        <v>12.539999999999997</v>
      </c>
      <c r="AM263" s="138">
        <f t="shared" ref="AM263:AM326" si="227">AVERAGE(N263:AK263)</f>
        <v>12.429583333333332</v>
      </c>
      <c r="AO263" s="77" t="str">
        <f t="shared" si="184"/>
        <v>DS-6 (DS-4) Temp. Sensitive DS</v>
      </c>
      <c r="AP263" s="78" t="s">
        <v>646</v>
      </c>
      <c r="AQ263" s="77" t="str">
        <f t="shared" si="185"/>
        <v>Meter Charge &gt;100kV</v>
      </c>
      <c r="AR263" s="78" t="str">
        <f t="shared" si="186"/>
        <v>Billing Cycle</v>
      </c>
      <c r="AS263" s="79">
        <f t="shared" si="187"/>
        <v>6</v>
      </c>
      <c r="AT263" s="78">
        <f t="shared" si="188"/>
        <v>13</v>
      </c>
      <c r="AU263" s="78">
        <f t="shared" si="189"/>
        <v>12.01</v>
      </c>
      <c r="AV263" s="78">
        <f t="shared" si="190"/>
        <v>12.01</v>
      </c>
      <c r="AW263" s="78">
        <f t="shared" si="191"/>
        <v>12.01</v>
      </c>
      <c r="AX263" s="78">
        <f t="shared" si="192"/>
        <v>12.01</v>
      </c>
      <c r="AY263" s="78">
        <f t="shared" si="193"/>
        <v>12.01</v>
      </c>
      <c r="AZ263" s="78">
        <f t="shared" si="194"/>
        <v>12.01</v>
      </c>
      <c r="BA263" s="78">
        <f t="shared" si="195"/>
        <v>12.54</v>
      </c>
      <c r="BB263" s="78">
        <f t="shared" si="196"/>
        <v>12.54</v>
      </c>
      <c r="BC263" s="78">
        <f t="shared" si="197"/>
        <v>12.54</v>
      </c>
      <c r="BD263" s="78">
        <f t="shared" si="198"/>
        <v>12.54</v>
      </c>
      <c r="BE263" s="78">
        <f t="shared" si="199"/>
        <v>12.54</v>
      </c>
      <c r="BF263" s="78">
        <f t="shared" si="200"/>
        <v>12.54</v>
      </c>
      <c r="BG263" s="78">
        <f t="shared" si="201"/>
        <v>12.54</v>
      </c>
      <c r="BH263" s="78">
        <f t="shared" si="202"/>
        <v>12.54</v>
      </c>
      <c r="BI263" s="78">
        <f t="shared" si="203"/>
        <v>12.54</v>
      </c>
      <c r="BJ263" s="78">
        <f t="shared" si="204"/>
        <v>12.54</v>
      </c>
      <c r="BK263" s="78">
        <f t="shared" si="205"/>
        <v>12.54</v>
      </c>
      <c r="BL263" s="78">
        <f t="shared" si="206"/>
        <v>12.54</v>
      </c>
      <c r="BM263" s="78">
        <f t="shared" si="207"/>
        <v>12.54</v>
      </c>
      <c r="BN263" s="78">
        <f t="shared" si="208"/>
        <v>12.54</v>
      </c>
      <c r="BO263" s="78">
        <f t="shared" si="209"/>
        <v>12.54</v>
      </c>
      <c r="BP263" s="78">
        <f t="shared" si="210"/>
        <v>12.54</v>
      </c>
      <c r="BQ263" s="78">
        <f t="shared" si="211"/>
        <v>12.54</v>
      </c>
      <c r="BR263" s="78">
        <f t="shared" si="212"/>
        <v>12.54</v>
      </c>
      <c r="BS263" s="77"/>
      <c r="BT263" s="77"/>
    </row>
    <row r="264" spans="1:72" ht="14.1" customHeight="1" x14ac:dyDescent="0.2">
      <c r="A264" s="55" t="str">
        <f t="shared" si="183"/>
        <v>DS-3 (General Delivery Service)_Meter Charge High Voltage</v>
      </c>
      <c r="B264" s="80" t="s">
        <v>666</v>
      </c>
      <c r="C264" s="83" t="s">
        <v>789</v>
      </c>
      <c r="D264" s="150"/>
      <c r="E264" s="81"/>
      <c r="F264" s="73" t="s">
        <v>649</v>
      </c>
      <c r="G264" s="73">
        <v>0</v>
      </c>
      <c r="H264" s="73">
        <v>6</v>
      </c>
      <c r="I264" s="74" t="s">
        <v>641</v>
      </c>
      <c r="J264" s="75" t="s">
        <v>634</v>
      </c>
      <c r="K264" s="74"/>
      <c r="L264" s="82">
        <v>12.26</v>
      </c>
      <c r="M264" s="138">
        <v>11.39</v>
      </c>
      <c r="N264" s="138">
        <v>11.39</v>
      </c>
      <c r="O264" s="138">
        <v>11.39</v>
      </c>
      <c r="P264" s="138">
        <v>11.39</v>
      </c>
      <c r="Q264" s="138">
        <v>11.39</v>
      </c>
      <c r="R264" s="138">
        <v>11.39</v>
      </c>
      <c r="S264" s="138">
        <v>11.9</v>
      </c>
      <c r="T264" s="138">
        <v>11.9</v>
      </c>
      <c r="U264" s="138">
        <v>11.9</v>
      </c>
      <c r="V264" s="138">
        <v>11.9</v>
      </c>
      <c r="W264" s="138">
        <v>11.9</v>
      </c>
      <c r="X264" s="138">
        <v>11.9</v>
      </c>
      <c r="Y264" s="138">
        <f t="shared" si="213"/>
        <v>11.9</v>
      </c>
      <c r="Z264" s="138">
        <f t="shared" si="214"/>
        <v>11.9</v>
      </c>
      <c r="AA264" s="138">
        <f t="shared" si="215"/>
        <v>11.9</v>
      </c>
      <c r="AB264" s="138">
        <f t="shared" si="216"/>
        <v>11.9</v>
      </c>
      <c r="AC264" s="138">
        <f t="shared" si="217"/>
        <v>11.9</v>
      </c>
      <c r="AD264" s="138">
        <f t="shared" si="218"/>
        <v>11.9</v>
      </c>
      <c r="AE264" s="138">
        <f t="shared" si="219"/>
        <v>11.9</v>
      </c>
      <c r="AF264" s="138">
        <f t="shared" si="220"/>
        <v>11.9</v>
      </c>
      <c r="AG264" s="138">
        <f t="shared" si="221"/>
        <v>11.9</v>
      </c>
      <c r="AH264" s="138">
        <f t="shared" si="222"/>
        <v>11.9</v>
      </c>
      <c r="AI264" s="138">
        <f t="shared" si="223"/>
        <v>11.9</v>
      </c>
      <c r="AJ264" s="138">
        <f t="shared" si="224"/>
        <v>11.9</v>
      </c>
      <c r="AK264" s="138">
        <f t="shared" si="225"/>
        <v>11.9</v>
      </c>
      <c r="AL264" s="138">
        <f t="shared" si="226"/>
        <v>11.900000000000004</v>
      </c>
      <c r="AM264" s="138">
        <f t="shared" si="227"/>
        <v>11.793750000000001</v>
      </c>
      <c r="AO264" s="77" t="str">
        <f t="shared" si="184"/>
        <v>DS-3 (General Delivery Service)</v>
      </c>
      <c r="AP264" s="78" t="s">
        <v>667</v>
      </c>
      <c r="AQ264" s="77" t="str">
        <f t="shared" si="185"/>
        <v>Meter Charge High Voltage</v>
      </c>
      <c r="AR264" s="78" t="str">
        <f t="shared" si="186"/>
        <v>Billing Cycle</v>
      </c>
      <c r="AS264" s="79">
        <f t="shared" si="187"/>
        <v>6</v>
      </c>
      <c r="AT264" s="78">
        <f t="shared" si="188"/>
        <v>12</v>
      </c>
      <c r="AU264" s="78">
        <f t="shared" si="189"/>
        <v>11.39</v>
      </c>
      <c r="AV264" s="78">
        <f t="shared" si="190"/>
        <v>11.39</v>
      </c>
      <c r="AW264" s="78">
        <f t="shared" si="191"/>
        <v>11.39</v>
      </c>
      <c r="AX264" s="78">
        <f t="shared" si="192"/>
        <v>11.39</v>
      </c>
      <c r="AY264" s="78">
        <f t="shared" si="193"/>
        <v>11.39</v>
      </c>
      <c r="AZ264" s="78">
        <f t="shared" si="194"/>
        <v>11.39</v>
      </c>
      <c r="BA264" s="78">
        <f t="shared" si="195"/>
        <v>11.9</v>
      </c>
      <c r="BB264" s="78">
        <f t="shared" si="196"/>
        <v>11.9</v>
      </c>
      <c r="BC264" s="78">
        <f t="shared" si="197"/>
        <v>11.9</v>
      </c>
      <c r="BD264" s="78">
        <f t="shared" si="198"/>
        <v>11.9</v>
      </c>
      <c r="BE264" s="78">
        <f t="shared" si="199"/>
        <v>11.9</v>
      </c>
      <c r="BF264" s="78">
        <f t="shared" si="200"/>
        <v>11.9</v>
      </c>
      <c r="BG264" s="78">
        <f t="shared" si="201"/>
        <v>11.9</v>
      </c>
      <c r="BH264" s="78">
        <f t="shared" si="202"/>
        <v>11.9</v>
      </c>
      <c r="BI264" s="78">
        <f t="shared" si="203"/>
        <v>11.9</v>
      </c>
      <c r="BJ264" s="78">
        <f t="shared" si="204"/>
        <v>11.9</v>
      </c>
      <c r="BK264" s="78">
        <f t="shared" si="205"/>
        <v>11.9</v>
      </c>
      <c r="BL264" s="78">
        <f t="shared" si="206"/>
        <v>11.9</v>
      </c>
      <c r="BM264" s="78">
        <f t="shared" si="207"/>
        <v>11.9</v>
      </c>
      <c r="BN264" s="78">
        <f t="shared" si="208"/>
        <v>11.9</v>
      </c>
      <c r="BO264" s="78">
        <f t="shared" si="209"/>
        <v>11.9</v>
      </c>
      <c r="BP264" s="78">
        <f t="shared" si="210"/>
        <v>11.9</v>
      </c>
      <c r="BQ264" s="78">
        <f t="shared" si="211"/>
        <v>11.9</v>
      </c>
      <c r="BR264" s="78">
        <f t="shared" si="212"/>
        <v>11.9</v>
      </c>
      <c r="BS264" s="77"/>
      <c r="BT264" s="77"/>
    </row>
    <row r="265" spans="1:72" ht="14.1" customHeight="1" x14ac:dyDescent="0.2">
      <c r="A265" s="55" t="str">
        <f t="shared" si="183"/>
        <v>DS-4 (Large General Service)_Meter Charge High Voltage</v>
      </c>
      <c r="B265" s="80" t="s">
        <v>639</v>
      </c>
      <c r="C265" s="83" t="s">
        <v>789</v>
      </c>
      <c r="D265" s="150"/>
      <c r="E265" s="81"/>
      <c r="F265" s="73" t="s">
        <v>649</v>
      </c>
      <c r="G265" s="73">
        <v>0</v>
      </c>
      <c r="H265" s="73">
        <v>6</v>
      </c>
      <c r="I265" s="74" t="s">
        <v>641</v>
      </c>
      <c r="J265" s="75" t="s">
        <v>634</v>
      </c>
      <c r="K265" s="74"/>
      <c r="L265" s="82">
        <v>14.74</v>
      </c>
      <c r="M265" s="138">
        <v>13.63</v>
      </c>
      <c r="N265" s="138">
        <v>13.63</v>
      </c>
      <c r="O265" s="138">
        <v>13.63</v>
      </c>
      <c r="P265" s="138">
        <v>13.63</v>
      </c>
      <c r="Q265" s="138">
        <v>13.63</v>
      </c>
      <c r="R265" s="138">
        <v>13.63</v>
      </c>
      <c r="S265" s="138">
        <v>14.23</v>
      </c>
      <c r="T265" s="138">
        <v>14.23</v>
      </c>
      <c r="U265" s="138">
        <v>14.23</v>
      </c>
      <c r="V265" s="138">
        <v>14.23</v>
      </c>
      <c r="W265" s="138">
        <v>14.23</v>
      </c>
      <c r="X265" s="138">
        <v>14.23</v>
      </c>
      <c r="Y265" s="138">
        <f t="shared" si="213"/>
        <v>14.23</v>
      </c>
      <c r="Z265" s="138">
        <f t="shared" si="214"/>
        <v>14.23</v>
      </c>
      <c r="AA265" s="138">
        <f t="shared" si="215"/>
        <v>14.23</v>
      </c>
      <c r="AB265" s="138">
        <f t="shared" si="216"/>
        <v>14.23</v>
      </c>
      <c r="AC265" s="138">
        <f t="shared" si="217"/>
        <v>14.23</v>
      </c>
      <c r="AD265" s="138">
        <f t="shared" si="218"/>
        <v>14.23</v>
      </c>
      <c r="AE265" s="138">
        <f t="shared" si="219"/>
        <v>14.23</v>
      </c>
      <c r="AF265" s="138">
        <f t="shared" si="220"/>
        <v>14.23</v>
      </c>
      <c r="AG265" s="138">
        <f t="shared" si="221"/>
        <v>14.23</v>
      </c>
      <c r="AH265" s="138">
        <f t="shared" si="222"/>
        <v>14.23</v>
      </c>
      <c r="AI265" s="138">
        <f t="shared" si="223"/>
        <v>14.23</v>
      </c>
      <c r="AJ265" s="138">
        <f t="shared" si="224"/>
        <v>14.23</v>
      </c>
      <c r="AK265" s="138">
        <f t="shared" si="225"/>
        <v>14.23</v>
      </c>
      <c r="AL265" s="138">
        <f t="shared" si="226"/>
        <v>14.229999999999999</v>
      </c>
      <c r="AM265" s="138">
        <f t="shared" si="227"/>
        <v>14.105000000000002</v>
      </c>
      <c r="AO265" s="77" t="str">
        <f t="shared" si="184"/>
        <v>DS-4 (Large General Service)</v>
      </c>
      <c r="AP265" s="78" t="s">
        <v>642</v>
      </c>
      <c r="AQ265" s="77" t="str">
        <f t="shared" si="185"/>
        <v>Meter Charge High Voltage</v>
      </c>
      <c r="AR265" s="78" t="str">
        <f t="shared" si="186"/>
        <v>Billing Cycle</v>
      </c>
      <c r="AS265" s="79">
        <f t="shared" si="187"/>
        <v>6</v>
      </c>
      <c r="AT265" s="78">
        <f t="shared" si="188"/>
        <v>15</v>
      </c>
      <c r="AU265" s="78">
        <f t="shared" si="189"/>
        <v>13.63</v>
      </c>
      <c r="AV265" s="78">
        <f t="shared" si="190"/>
        <v>13.63</v>
      </c>
      <c r="AW265" s="78">
        <f t="shared" si="191"/>
        <v>13.63</v>
      </c>
      <c r="AX265" s="78">
        <f t="shared" si="192"/>
        <v>13.63</v>
      </c>
      <c r="AY265" s="78">
        <f t="shared" si="193"/>
        <v>13.63</v>
      </c>
      <c r="AZ265" s="78">
        <f t="shared" si="194"/>
        <v>13.63</v>
      </c>
      <c r="BA265" s="78">
        <f t="shared" si="195"/>
        <v>14.23</v>
      </c>
      <c r="BB265" s="78">
        <f t="shared" si="196"/>
        <v>14.23</v>
      </c>
      <c r="BC265" s="78">
        <f t="shared" si="197"/>
        <v>14.23</v>
      </c>
      <c r="BD265" s="78">
        <f t="shared" si="198"/>
        <v>14.23</v>
      </c>
      <c r="BE265" s="78">
        <f t="shared" si="199"/>
        <v>14.23</v>
      </c>
      <c r="BF265" s="78">
        <f t="shared" si="200"/>
        <v>14.23</v>
      </c>
      <c r="BG265" s="78">
        <f t="shared" si="201"/>
        <v>14.23</v>
      </c>
      <c r="BH265" s="78">
        <f t="shared" si="202"/>
        <v>14.23</v>
      </c>
      <c r="BI265" s="78">
        <f t="shared" si="203"/>
        <v>14.23</v>
      </c>
      <c r="BJ265" s="78">
        <f t="shared" si="204"/>
        <v>14.23</v>
      </c>
      <c r="BK265" s="78">
        <f t="shared" si="205"/>
        <v>14.23</v>
      </c>
      <c r="BL265" s="78">
        <f t="shared" si="206"/>
        <v>14.23</v>
      </c>
      <c r="BM265" s="78">
        <f t="shared" si="207"/>
        <v>14.23</v>
      </c>
      <c r="BN265" s="78">
        <f t="shared" si="208"/>
        <v>14.23</v>
      </c>
      <c r="BO265" s="78">
        <f t="shared" si="209"/>
        <v>14.23</v>
      </c>
      <c r="BP265" s="78">
        <f t="shared" si="210"/>
        <v>14.23</v>
      </c>
      <c r="BQ265" s="78">
        <f t="shared" si="211"/>
        <v>14.23</v>
      </c>
      <c r="BR265" s="78">
        <f t="shared" si="212"/>
        <v>14.23</v>
      </c>
      <c r="BS265" s="77"/>
      <c r="BT265" s="77"/>
    </row>
    <row r="266" spans="1:72" ht="14.1" customHeight="1" x14ac:dyDescent="0.2">
      <c r="A266" s="55" t="str">
        <f t="shared" si="183"/>
        <v>DS-6 (DS-3) Temp. Sensitive DS_Meter Charge High Voltage</v>
      </c>
      <c r="B266" s="80" t="s">
        <v>643</v>
      </c>
      <c r="C266" s="83" t="s">
        <v>789</v>
      </c>
      <c r="D266" s="150"/>
      <c r="E266" s="81"/>
      <c r="F266" s="73" t="s">
        <v>649</v>
      </c>
      <c r="G266" s="73">
        <v>0</v>
      </c>
      <c r="H266" s="73">
        <v>6</v>
      </c>
      <c r="I266" s="74" t="s">
        <v>641</v>
      </c>
      <c r="J266" s="75" t="s">
        <v>634</v>
      </c>
      <c r="K266" s="74"/>
      <c r="L266" s="82">
        <v>12.53</v>
      </c>
      <c r="M266" s="138">
        <v>12.01</v>
      </c>
      <c r="N266" s="138">
        <v>12.01</v>
      </c>
      <c r="O266" s="138">
        <v>12.01</v>
      </c>
      <c r="P266" s="138">
        <v>12.01</v>
      </c>
      <c r="Q266" s="138">
        <v>12.01</v>
      </c>
      <c r="R266" s="138">
        <v>12.01</v>
      </c>
      <c r="S266" s="138">
        <v>12.54</v>
      </c>
      <c r="T266" s="138">
        <v>12.54</v>
      </c>
      <c r="U266" s="138">
        <v>12.54</v>
      </c>
      <c r="V266" s="138">
        <v>12.54</v>
      </c>
      <c r="W266" s="138">
        <v>12.54</v>
      </c>
      <c r="X266" s="138">
        <v>12.54</v>
      </c>
      <c r="Y266" s="138">
        <f t="shared" si="213"/>
        <v>12.54</v>
      </c>
      <c r="Z266" s="138">
        <f t="shared" si="214"/>
        <v>12.54</v>
      </c>
      <c r="AA266" s="138">
        <f t="shared" si="215"/>
        <v>12.54</v>
      </c>
      <c r="AB266" s="138">
        <f t="shared" si="216"/>
        <v>12.54</v>
      </c>
      <c r="AC266" s="138">
        <f t="shared" si="217"/>
        <v>12.54</v>
      </c>
      <c r="AD266" s="138">
        <f t="shared" si="218"/>
        <v>12.54</v>
      </c>
      <c r="AE266" s="138">
        <f t="shared" si="219"/>
        <v>12.54</v>
      </c>
      <c r="AF266" s="138">
        <f t="shared" si="220"/>
        <v>12.54</v>
      </c>
      <c r="AG266" s="138">
        <f t="shared" si="221"/>
        <v>12.54</v>
      </c>
      <c r="AH266" s="138">
        <f t="shared" si="222"/>
        <v>12.54</v>
      </c>
      <c r="AI266" s="138">
        <f t="shared" si="223"/>
        <v>12.54</v>
      </c>
      <c r="AJ266" s="138">
        <f t="shared" si="224"/>
        <v>12.54</v>
      </c>
      <c r="AK266" s="138">
        <f t="shared" si="225"/>
        <v>12.54</v>
      </c>
      <c r="AL266" s="138">
        <f t="shared" si="226"/>
        <v>12.539999999999997</v>
      </c>
      <c r="AM266" s="138">
        <f t="shared" si="227"/>
        <v>12.429583333333332</v>
      </c>
      <c r="AO266" s="77" t="str">
        <f t="shared" si="184"/>
        <v>DS-6 (DS-3) Temp. Sensitive DS</v>
      </c>
      <c r="AP266" s="78" t="s">
        <v>644</v>
      </c>
      <c r="AQ266" s="77" t="str">
        <f t="shared" si="185"/>
        <v>Meter Charge High Voltage</v>
      </c>
      <c r="AR266" s="78" t="str">
        <f t="shared" si="186"/>
        <v>Billing Cycle</v>
      </c>
      <c r="AS266" s="79">
        <f t="shared" si="187"/>
        <v>6</v>
      </c>
      <c r="AT266" s="78">
        <f t="shared" si="188"/>
        <v>13</v>
      </c>
      <c r="AU266" s="78">
        <f t="shared" si="189"/>
        <v>12.01</v>
      </c>
      <c r="AV266" s="78">
        <f t="shared" si="190"/>
        <v>12.01</v>
      </c>
      <c r="AW266" s="78">
        <f t="shared" si="191"/>
        <v>12.01</v>
      </c>
      <c r="AX266" s="78">
        <f t="shared" si="192"/>
        <v>12.01</v>
      </c>
      <c r="AY266" s="78">
        <f t="shared" si="193"/>
        <v>12.01</v>
      </c>
      <c r="AZ266" s="78">
        <f t="shared" si="194"/>
        <v>12.01</v>
      </c>
      <c r="BA266" s="78">
        <f t="shared" si="195"/>
        <v>12.54</v>
      </c>
      <c r="BB266" s="78">
        <f t="shared" si="196"/>
        <v>12.54</v>
      </c>
      <c r="BC266" s="78">
        <f t="shared" si="197"/>
        <v>12.54</v>
      </c>
      <c r="BD266" s="78">
        <f t="shared" si="198"/>
        <v>12.54</v>
      </c>
      <c r="BE266" s="78">
        <f t="shared" si="199"/>
        <v>12.54</v>
      </c>
      <c r="BF266" s="78">
        <f t="shared" si="200"/>
        <v>12.54</v>
      </c>
      <c r="BG266" s="78">
        <f t="shared" si="201"/>
        <v>12.54</v>
      </c>
      <c r="BH266" s="78">
        <f t="shared" si="202"/>
        <v>12.54</v>
      </c>
      <c r="BI266" s="78">
        <f t="shared" si="203"/>
        <v>12.54</v>
      </c>
      <c r="BJ266" s="78">
        <f t="shared" si="204"/>
        <v>12.54</v>
      </c>
      <c r="BK266" s="78">
        <f t="shared" si="205"/>
        <v>12.54</v>
      </c>
      <c r="BL266" s="78">
        <f t="shared" si="206"/>
        <v>12.54</v>
      </c>
      <c r="BM266" s="78">
        <f t="shared" si="207"/>
        <v>12.54</v>
      </c>
      <c r="BN266" s="78">
        <f t="shared" si="208"/>
        <v>12.54</v>
      </c>
      <c r="BO266" s="78">
        <f t="shared" si="209"/>
        <v>12.54</v>
      </c>
      <c r="BP266" s="78">
        <f t="shared" si="210"/>
        <v>12.54</v>
      </c>
      <c r="BQ266" s="78">
        <f t="shared" si="211"/>
        <v>12.54</v>
      </c>
      <c r="BR266" s="78">
        <f t="shared" si="212"/>
        <v>12.54</v>
      </c>
      <c r="BS266" s="77"/>
      <c r="BT266" s="77"/>
    </row>
    <row r="267" spans="1:72" ht="14.1" customHeight="1" x14ac:dyDescent="0.2">
      <c r="A267" s="55" t="str">
        <f t="shared" si="183"/>
        <v>DS-6 (DS-4) Temp. Sensitive DS_Meter Charge High Voltage</v>
      </c>
      <c r="B267" s="80" t="s">
        <v>645</v>
      </c>
      <c r="C267" s="83" t="s">
        <v>789</v>
      </c>
      <c r="D267" s="150"/>
      <c r="E267" s="81"/>
      <c r="F267" s="73" t="s">
        <v>649</v>
      </c>
      <c r="G267" s="73">
        <v>0</v>
      </c>
      <c r="H267" s="73">
        <v>6</v>
      </c>
      <c r="I267" s="74" t="s">
        <v>641</v>
      </c>
      <c r="J267" s="75" t="s">
        <v>634</v>
      </c>
      <c r="K267" s="74"/>
      <c r="L267" s="82">
        <v>12.53</v>
      </c>
      <c r="M267" s="138">
        <v>12.01</v>
      </c>
      <c r="N267" s="138">
        <v>12.01</v>
      </c>
      <c r="O267" s="138">
        <v>12.01</v>
      </c>
      <c r="P267" s="138">
        <v>12.01</v>
      </c>
      <c r="Q267" s="138">
        <v>12.01</v>
      </c>
      <c r="R267" s="138">
        <v>12.01</v>
      </c>
      <c r="S267" s="138">
        <v>12.54</v>
      </c>
      <c r="T267" s="138">
        <v>12.54</v>
      </c>
      <c r="U267" s="138">
        <v>12.54</v>
      </c>
      <c r="V267" s="138">
        <v>12.54</v>
      </c>
      <c r="W267" s="138">
        <v>12.54</v>
      </c>
      <c r="X267" s="138">
        <v>12.54</v>
      </c>
      <c r="Y267" s="138">
        <f t="shared" si="213"/>
        <v>12.54</v>
      </c>
      <c r="Z267" s="138">
        <f t="shared" si="214"/>
        <v>12.54</v>
      </c>
      <c r="AA267" s="138">
        <f t="shared" si="215"/>
        <v>12.54</v>
      </c>
      <c r="AB267" s="138">
        <f t="shared" si="216"/>
        <v>12.54</v>
      </c>
      <c r="AC267" s="138">
        <f t="shared" si="217"/>
        <v>12.54</v>
      </c>
      <c r="AD267" s="138">
        <f t="shared" si="218"/>
        <v>12.54</v>
      </c>
      <c r="AE267" s="138">
        <f t="shared" si="219"/>
        <v>12.54</v>
      </c>
      <c r="AF267" s="138">
        <f t="shared" si="220"/>
        <v>12.54</v>
      </c>
      <c r="AG267" s="138">
        <f t="shared" si="221"/>
        <v>12.54</v>
      </c>
      <c r="AH267" s="138">
        <f t="shared" si="222"/>
        <v>12.54</v>
      </c>
      <c r="AI267" s="138">
        <f t="shared" si="223"/>
        <v>12.54</v>
      </c>
      <c r="AJ267" s="138">
        <f t="shared" si="224"/>
        <v>12.54</v>
      </c>
      <c r="AK267" s="138">
        <f t="shared" si="225"/>
        <v>12.54</v>
      </c>
      <c r="AL267" s="138">
        <f t="shared" si="226"/>
        <v>12.539999999999997</v>
      </c>
      <c r="AM267" s="138">
        <f t="shared" si="227"/>
        <v>12.429583333333332</v>
      </c>
      <c r="AO267" s="77" t="str">
        <f t="shared" si="184"/>
        <v>DS-6 (DS-4) Temp. Sensitive DS</v>
      </c>
      <c r="AP267" s="78" t="s">
        <v>646</v>
      </c>
      <c r="AQ267" s="77" t="str">
        <f t="shared" si="185"/>
        <v>Meter Charge High Voltage</v>
      </c>
      <c r="AR267" s="78" t="str">
        <f t="shared" si="186"/>
        <v>Billing Cycle</v>
      </c>
      <c r="AS267" s="79">
        <f t="shared" si="187"/>
        <v>6</v>
      </c>
      <c r="AT267" s="78">
        <f t="shared" si="188"/>
        <v>13</v>
      </c>
      <c r="AU267" s="78">
        <f t="shared" si="189"/>
        <v>12.01</v>
      </c>
      <c r="AV267" s="78">
        <f t="shared" si="190"/>
        <v>12.01</v>
      </c>
      <c r="AW267" s="78">
        <f t="shared" si="191"/>
        <v>12.01</v>
      </c>
      <c r="AX267" s="78">
        <f t="shared" si="192"/>
        <v>12.01</v>
      </c>
      <c r="AY267" s="78">
        <f t="shared" si="193"/>
        <v>12.01</v>
      </c>
      <c r="AZ267" s="78">
        <f t="shared" si="194"/>
        <v>12.01</v>
      </c>
      <c r="BA267" s="78">
        <f t="shared" si="195"/>
        <v>12.54</v>
      </c>
      <c r="BB267" s="78">
        <f t="shared" si="196"/>
        <v>12.54</v>
      </c>
      <c r="BC267" s="78">
        <f t="shared" si="197"/>
        <v>12.54</v>
      </c>
      <c r="BD267" s="78">
        <f t="shared" si="198"/>
        <v>12.54</v>
      </c>
      <c r="BE267" s="78">
        <f t="shared" si="199"/>
        <v>12.54</v>
      </c>
      <c r="BF267" s="78">
        <f t="shared" si="200"/>
        <v>12.54</v>
      </c>
      <c r="BG267" s="78">
        <f t="shared" si="201"/>
        <v>12.54</v>
      </c>
      <c r="BH267" s="78">
        <f t="shared" si="202"/>
        <v>12.54</v>
      </c>
      <c r="BI267" s="78">
        <f t="shared" si="203"/>
        <v>12.54</v>
      </c>
      <c r="BJ267" s="78">
        <f t="shared" si="204"/>
        <v>12.54</v>
      </c>
      <c r="BK267" s="78">
        <f t="shared" si="205"/>
        <v>12.54</v>
      </c>
      <c r="BL267" s="78">
        <f t="shared" si="206"/>
        <v>12.54</v>
      </c>
      <c r="BM267" s="78">
        <f t="shared" si="207"/>
        <v>12.54</v>
      </c>
      <c r="BN267" s="78">
        <f t="shared" si="208"/>
        <v>12.54</v>
      </c>
      <c r="BO267" s="78">
        <f t="shared" si="209"/>
        <v>12.54</v>
      </c>
      <c r="BP267" s="78">
        <f t="shared" si="210"/>
        <v>12.54</v>
      </c>
      <c r="BQ267" s="78">
        <f t="shared" si="211"/>
        <v>12.54</v>
      </c>
      <c r="BR267" s="78">
        <f t="shared" si="212"/>
        <v>12.54</v>
      </c>
      <c r="BS267" s="77"/>
      <c r="BT267" s="77"/>
    </row>
    <row r="268" spans="1:72" ht="14.1" customHeight="1" x14ac:dyDescent="0.2">
      <c r="A268" s="55" t="str">
        <f t="shared" si="183"/>
        <v>DS-3 (General Delivery Service)_Meter Charge Primary</v>
      </c>
      <c r="B268" s="80" t="s">
        <v>666</v>
      </c>
      <c r="C268" s="83" t="s">
        <v>790</v>
      </c>
      <c r="D268" s="150"/>
      <c r="E268" s="81"/>
      <c r="F268" s="73" t="s">
        <v>649</v>
      </c>
      <c r="G268" s="73">
        <v>0</v>
      </c>
      <c r="H268" s="73">
        <v>6</v>
      </c>
      <c r="I268" s="74" t="s">
        <v>641</v>
      </c>
      <c r="J268" s="75" t="s">
        <v>634</v>
      </c>
      <c r="K268" s="74"/>
      <c r="L268" s="82">
        <v>12.26</v>
      </c>
      <c r="M268" s="138">
        <v>11.39</v>
      </c>
      <c r="N268" s="138">
        <v>11.39</v>
      </c>
      <c r="O268" s="138">
        <v>11.39</v>
      </c>
      <c r="P268" s="138">
        <v>11.39</v>
      </c>
      <c r="Q268" s="138">
        <v>11.39</v>
      </c>
      <c r="R268" s="138">
        <v>11.39</v>
      </c>
      <c r="S268" s="138">
        <v>11.9</v>
      </c>
      <c r="T268" s="138">
        <v>11.9</v>
      </c>
      <c r="U268" s="138">
        <v>11.9</v>
      </c>
      <c r="V268" s="138">
        <v>11.9</v>
      </c>
      <c r="W268" s="138">
        <v>11.9</v>
      </c>
      <c r="X268" s="138">
        <v>11.9</v>
      </c>
      <c r="Y268" s="138">
        <f t="shared" si="213"/>
        <v>11.9</v>
      </c>
      <c r="Z268" s="138">
        <f t="shared" si="214"/>
        <v>11.9</v>
      </c>
      <c r="AA268" s="138">
        <f t="shared" si="215"/>
        <v>11.9</v>
      </c>
      <c r="AB268" s="138">
        <f t="shared" si="216"/>
        <v>11.9</v>
      </c>
      <c r="AC268" s="138">
        <f t="shared" si="217"/>
        <v>11.9</v>
      </c>
      <c r="AD268" s="138">
        <f t="shared" si="218"/>
        <v>11.9</v>
      </c>
      <c r="AE268" s="138">
        <f t="shared" si="219"/>
        <v>11.9</v>
      </c>
      <c r="AF268" s="138">
        <f t="shared" si="220"/>
        <v>11.9</v>
      </c>
      <c r="AG268" s="138">
        <f t="shared" si="221"/>
        <v>11.9</v>
      </c>
      <c r="AH268" s="138">
        <f t="shared" si="222"/>
        <v>11.9</v>
      </c>
      <c r="AI268" s="138">
        <f t="shared" si="223"/>
        <v>11.9</v>
      </c>
      <c r="AJ268" s="138">
        <f t="shared" si="224"/>
        <v>11.9</v>
      </c>
      <c r="AK268" s="138">
        <f t="shared" si="225"/>
        <v>11.9</v>
      </c>
      <c r="AL268" s="138">
        <f t="shared" si="226"/>
        <v>11.900000000000004</v>
      </c>
      <c r="AM268" s="138">
        <f t="shared" si="227"/>
        <v>11.793750000000001</v>
      </c>
      <c r="AO268" s="77" t="str">
        <f t="shared" si="184"/>
        <v>DS-3 (General Delivery Service)</v>
      </c>
      <c r="AP268" s="78" t="s">
        <v>667</v>
      </c>
      <c r="AQ268" s="77" t="str">
        <f t="shared" si="185"/>
        <v>Meter Charge Primary</v>
      </c>
      <c r="AR268" s="78" t="str">
        <f t="shared" si="186"/>
        <v>Billing Cycle</v>
      </c>
      <c r="AS268" s="79">
        <f t="shared" si="187"/>
        <v>6</v>
      </c>
      <c r="AT268" s="78">
        <f t="shared" si="188"/>
        <v>12</v>
      </c>
      <c r="AU268" s="78">
        <f t="shared" si="189"/>
        <v>11.39</v>
      </c>
      <c r="AV268" s="78">
        <f t="shared" si="190"/>
        <v>11.39</v>
      </c>
      <c r="AW268" s="78">
        <f t="shared" si="191"/>
        <v>11.39</v>
      </c>
      <c r="AX268" s="78">
        <f t="shared" si="192"/>
        <v>11.39</v>
      </c>
      <c r="AY268" s="78">
        <f t="shared" si="193"/>
        <v>11.39</v>
      </c>
      <c r="AZ268" s="78">
        <f t="shared" si="194"/>
        <v>11.39</v>
      </c>
      <c r="BA268" s="78">
        <f t="shared" si="195"/>
        <v>11.9</v>
      </c>
      <c r="BB268" s="78">
        <f t="shared" si="196"/>
        <v>11.9</v>
      </c>
      <c r="BC268" s="78">
        <f t="shared" si="197"/>
        <v>11.9</v>
      </c>
      <c r="BD268" s="78">
        <f t="shared" si="198"/>
        <v>11.9</v>
      </c>
      <c r="BE268" s="78">
        <f t="shared" si="199"/>
        <v>11.9</v>
      </c>
      <c r="BF268" s="78">
        <f t="shared" si="200"/>
        <v>11.9</v>
      </c>
      <c r="BG268" s="78">
        <f t="shared" si="201"/>
        <v>11.9</v>
      </c>
      <c r="BH268" s="78">
        <f t="shared" si="202"/>
        <v>11.9</v>
      </c>
      <c r="BI268" s="78">
        <f t="shared" si="203"/>
        <v>11.9</v>
      </c>
      <c r="BJ268" s="78">
        <f t="shared" si="204"/>
        <v>11.9</v>
      </c>
      <c r="BK268" s="78">
        <f t="shared" si="205"/>
        <v>11.9</v>
      </c>
      <c r="BL268" s="78">
        <f t="shared" si="206"/>
        <v>11.9</v>
      </c>
      <c r="BM268" s="78">
        <f t="shared" si="207"/>
        <v>11.9</v>
      </c>
      <c r="BN268" s="78">
        <f t="shared" si="208"/>
        <v>11.9</v>
      </c>
      <c r="BO268" s="78">
        <f t="shared" si="209"/>
        <v>11.9</v>
      </c>
      <c r="BP268" s="78">
        <f t="shared" si="210"/>
        <v>11.9</v>
      </c>
      <c r="BQ268" s="78">
        <f t="shared" si="211"/>
        <v>11.9</v>
      </c>
      <c r="BR268" s="78">
        <f t="shared" si="212"/>
        <v>11.9</v>
      </c>
      <c r="BS268" s="77"/>
      <c r="BT268" s="77"/>
    </row>
    <row r="269" spans="1:72" ht="14.1" customHeight="1" x14ac:dyDescent="0.2">
      <c r="A269" s="55" t="str">
        <f t="shared" si="183"/>
        <v>DS-4 (Large General Service)_Meter Charge Primary</v>
      </c>
      <c r="B269" s="80" t="s">
        <v>639</v>
      </c>
      <c r="C269" s="83" t="s">
        <v>790</v>
      </c>
      <c r="D269" s="150"/>
      <c r="E269" s="81"/>
      <c r="F269" s="73" t="s">
        <v>649</v>
      </c>
      <c r="G269" s="73">
        <v>0</v>
      </c>
      <c r="H269" s="73">
        <v>6</v>
      </c>
      <c r="I269" s="74" t="s">
        <v>641</v>
      </c>
      <c r="J269" s="75" t="s">
        <v>634</v>
      </c>
      <c r="K269" s="74"/>
      <c r="L269" s="82">
        <v>14.74</v>
      </c>
      <c r="M269" s="138">
        <v>13.63</v>
      </c>
      <c r="N269" s="138">
        <v>13.63</v>
      </c>
      <c r="O269" s="138">
        <v>13.63</v>
      </c>
      <c r="P269" s="138">
        <v>13.63</v>
      </c>
      <c r="Q269" s="138">
        <v>13.63</v>
      </c>
      <c r="R269" s="138">
        <v>13.63</v>
      </c>
      <c r="S269" s="138">
        <v>14.23</v>
      </c>
      <c r="T269" s="138">
        <v>14.23</v>
      </c>
      <c r="U269" s="138">
        <v>14.23</v>
      </c>
      <c r="V269" s="138">
        <v>14.23</v>
      </c>
      <c r="W269" s="138">
        <v>14.23</v>
      </c>
      <c r="X269" s="138">
        <v>14.23</v>
      </c>
      <c r="Y269" s="138">
        <f t="shared" si="213"/>
        <v>14.23</v>
      </c>
      <c r="Z269" s="138">
        <f t="shared" si="214"/>
        <v>14.23</v>
      </c>
      <c r="AA269" s="138">
        <f t="shared" si="215"/>
        <v>14.23</v>
      </c>
      <c r="AB269" s="138">
        <f t="shared" si="216"/>
        <v>14.23</v>
      </c>
      <c r="AC269" s="138">
        <f t="shared" si="217"/>
        <v>14.23</v>
      </c>
      <c r="AD269" s="138">
        <f t="shared" si="218"/>
        <v>14.23</v>
      </c>
      <c r="AE269" s="138">
        <f t="shared" si="219"/>
        <v>14.23</v>
      </c>
      <c r="AF269" s="138">
        <f t="shared" si="220"/>
        <v>14.23</v>
      </c>
      <c r="AG269" s="138">
        <f t="shared" si="221"/>
        <v>14.23</v>
      </c>
      <c r="AH269" s="138">
        <f t="shared" si="222"/>
        <v>14.23</v>
      </c>
      <c r="AI269" s="138">
        <f t="shared" si="223"/>
        <v>14.23</v>
      </c>
      <c r="AJ269" s="138">
        <f t="shared" si="224"/>
        <v>14.23</v>
      </c>
      <c r="AK269" s="138">
        <f t="shared" si="225"/>
        <v>14.23</v>
      </c>
      <c r="AL269" s="138">
        <f t="shared" si="226"/>
        <v>14.229999999999999</v>
      </c>
      <c r="AM269" s="138">
        <f t="shared" si="227"/>
        <v>14.105000000000002</v>
      </c>
      <c r="AO269" s="77" t="str">
        <f t="shared" si="184"/>
        <v>DS-4 (Large General Service)</v>
      </c>
      <c r="AP269" s="78" t="s">
        <v>642</v>
      </c>
      <c r="AQ269" s="77" t="str">
        <f t="shared" si="185"/>
        <v>Meter Charge Primary</v>
      </c>
      <c r="AR269" s="78" t="str">
        <f t="shared" si="186"/>
        <v>Billing Cycle</v>
      </c>
      <c r="AS269" s="79">
        <f t="shared" si="187"/>
        <v>6</v>
      </c>
      <c r="AT269" s="78">
        <f t="shared" si="188"/>
        <v>15</v>
      </c>
      <c r="AU269" s="78">
        <f t="shared" si="189"/>
        <v>13.63</v>
      </c>
      <c r="AV269" s="78">
        <f t="shared" si="190"/>
        <v>13.63</v>
      </c>
      <c r="AW269" s="78">
        <f t="shared" si="191"/>
        <v>13.63</v>
      </c>
      <c r="AX269" s="78">
        <f t="shared" si="192"/>
        <v>13.63</v>
      </c>
      <c r="AY269" s="78">
        <f t="shared" si="193"/>
        <v>13.63</v>
      </c>
      <c r="AZ269" s="78">
        <f t="shared" si="194"/>
        <v>13.63</v>
      </c>
      <c r="BA269" s="78">
        <f t="shared" si="195"/>
        <v>14.23</v>
      </c>
      <c r="BB269" s="78">
        <f t="shared" si="196"/>
        <v>14.23</v>
      </c>
      <c r="BC269" s="78">
        <f t="shared" si="197"/>
        <v>14.23</v>
      </c>
      <c r="BD269" s="78">
        <f t="shared" si="198"/>
        <v>14.23</v>
      </c>
      <c r="BE269" s="78">
        <f t="shared" si="199"/>
        <v>14.23</v>
      </c>
      <c r="BF269" s="78">
        <f t="shared" si="200"/>
        <v>14.23</v>
      </c>
      <c r="BG269" s="78">
        <f t="shared" si="201"/>
        <v>14.23</v>
      </c>
      <c r="BH269" s="78">
        <f t="shared" si="202"/>
        <v>14.23</v>
      </c>
      <c r="BI269" s="78">
        <f t="shared" si="203"/>
        <v>14.23</v>
      </c>
      <c r="BJ269" s="78">
        <f t="shared" si="204"/>
        <v>14.23</v>
      </c>
      <c r="BK269" s="78">
        <f t="shared" si="205"/>
        <v>14.23</v>
      </c>
      <c r="BL269" s="78">
        <f t="shared" si="206"/>
        <v>14.23</v>
      </c>
      <c r="BM269" s="78">
        <f t="shared" si="207"/>
        <v>14.23</v>
      </c>
      <c r="BN269" s="78">
        <f t="shared" si="208"/>
        <v>14.23</v>
      </c>
      <c r="BO269" s="78">
        <f t="shared" si="209"/>
        <v>14.23</v>
      </c>
      <c r="BP269" s="78">
        <f t="shared" si="210"/>
        <v>14.23</v>
      </c>
      <c r="BQ269" s="78">
        <f t="shared" si="211"/>
        <v>14.23</v>
      </c>
      <c r="BR269" s="78">
        <f t="shared" si="212"/>
        <v>14.23</v>
      </c>
      <c r="BS269" s="77"/>
      <c r="BT269" s="77"/>
    </row>
    <row r="270" spans="1:72" ht="14.1" customHeight="1" x14ac:dyDescent="0.2">
      <c r="A270" s="55" t="str">
        <f t="shared" si="183"/>
        <v>DS-6 (DS-3) Temp. Sensitive DS_Meter Charge Primary</v>
      </c>
      <c r="B270" s="80" t="s">
        <v>643</v>
      </c>
      <c r="C270" s="83" t="s">
        <v>790</v>
      </c>
      <c r="D270" s="150"/>
      <c r="E270" s="81"/>
      <c r="F270" s="73" t="s">
        <v>649</v>
      </c>
      <c r="G270" s="73">
        <v>0</v>
      </c>
      <c r="H270" s="73">
        <v>6</v>
      </c>
      <c r="I270" s="74" t="s">
        <v>641</v>
      </c>
      <c r="J270" s="75" t="s">
        <v>634</v>
      </c>
      <c r="K270" s="74"/>
      <c r="L270" s="82">
        <v>12.53</v>
      </c>
      <c r="M270" s="138">
        <v>12.01</v>
      </c>
      <c r="N270" s="138">
        <v>12.01</v>
      </c>
      <c r="O270" s="138">
        <v>12.01</v>
      </c>
      <c r="P270" s="138">
        <v>12.01</v>
      </c>
      <c r="Q270" s="138">
        <v>12.01</v>
      </c>
      <c r="R270" s="138">
        <v>12.01</v>
      </c>
      <c r="S270" s="138">
        <v>12.54</v>
      </c>
      <c r="T270" s="138">
        <v>12.54</v>
      </c>
      <c r="U270" s="138">
        <v>12.54</v>
      </c>
      <c r="V270" s="138">
        <v>12.54</v>
      </c>
      <c r="W270" s="138">
        <v>12.54</v>
      </c>
      <c r="X270" s="138">
        <v>12.54</v>
      </c>
      <c r="Y270" s="138">
        <f t="shared" si="213"/>
        <v>12.54</v>
      </c>
      <c r="Z270" s="138">
        <f t="shared" si="214"/>
        <v>12.54</v>
      </c>
      <c r="AA270" s="138">
        <f t="shared" si="215"/>
        <v>12.54</v>
      </c>
      <c r="AB270" s="138">
        <f t="shared" si="216"/>
        <v>12.54</v>
      </c>
      <c r="AC270" s="138">
        <f t="shared" si="217"/>
        <v>12.54</v>
      </c>
      <c r="AD270" s="138">
        <f t="shared" si="218"/>
        <v>12.54</v>
      </c>
      <c r="AE270" s="138">
        <f t="shared" si="219"/>
        <v>12.54</v>
      </c>
      <c r="AF270" s="138">
        <f t="shared" si="220"/>
        <v>12.54</v>
      </c>
      <c r="AG270" s="138">
        <f t="shared" si="221"/>
        <v>12.54</v>
      </c>
      <c r="AH270" s="138">
        <f t="shared" si="222"/>
        <v>12.54</v>
      </c>
      <c r="AI270" s="138">
        <f t="shared" si="223"/>
        <v>12.54</v>
      </c>
      <c r="AJ270" s="138">
        <f t="shared" si="224"/>
        <v>12.54</v>
      </c>
      <c r="AK270" s="138">
        <f t="shared" si="225"/>
        <v>12.54</v>
      </c>
      <c r="AL270" s="138">
        <f t="shared" si="226"/>
        <v>12.539999999999997</v>
      </c>
      <c r="AM270" s="138">
        <f t="shared" si="227"/>
        <v>12.429583333333332</v>
      </c>
      <c r="AO270" s="77" t="str">
        <f t="shared" si="184"/>
        <v>DS-6 (DS-3) Temp. Sensitive DS</v>
      </c>
      <c r="AP270" s="78" t="s">
        <v>644</v>
      </c>
      <c r="AQ270" s="77" t="str">
        <f t="shared" si="185"/>
        <v>Meter Charge Primary</v>
      </c>
      <c r="AR270" s="78" t="str">
        <f t="shared" si="186"/>
        <v>Billing Cycle</v>
      </c>
      <c r="AS270" s="79">
        <f t="shared" si="187"/>
        <v>6</v>
      </c>
      <c r="AT270" s="78">
        <f t="shared" si="188"/>
        <v>13</v>
      </c>
      <c r="AU270" s="78">
        <f t="shared" si="189"/>
        <v>12.01</v>
      </c>
      <c r="AV270" s="78">
        <f t="shared" si="190"/>
        <v>12.01</v>
      </c>
      <c r="AW270" s="78">
        <f t="shared" si="191"/>
        <v>12.01</v>
      </c>
      <c r="AX270" s="78">
        <f t="shared" si="192"/>
        <v>12.01</v>
      </c>
      <c r="AY270" s="78">
        <f t="shared" si="193"/>
        <v>12.01</v>
      </c>
      <c r="AZ270" s="78">
        <f t="shared" si="194"/>
        <v>12.01</v>
      </c>
      <c r="BA270" s="78">
        <f t="shared" si="195"/>
        <v>12.54</v>
      </c>
      <c r="BB270" s="78">
        <f t="shared" si="196"/>
        <v>12.54</v>
      </c>
      <c r="BC270" s="78">
        <f t="shared" si="197"/>
        <v>12.54</v>
      </c>
      <c r="BD270" s="78">
        <f t="shared" si="198"/>
        <v>12.54</v>
      </c>
      <c r="BE270" s="78">
        <f t="shared" si="199"/>
        <v>12.54</v>
      </c>
      <c r="BF270" s="78">
        <f t="shared" si="200"/>
        <v>12.54</v>
      </c>
      <c r="BG270" s="78">
        <f t="shared" si="201"/>
        <v>12.54</v>
      </c>
      <c r="BH270" s="78">
        <f t="shared" si="202"/>
        <v>12.54</v>
      </c>
      <c r="BI270" s="78">
        <f t="shared" si="203"/>
        <v>12.54</v>
      </c>
      <c r="BJ270" s="78">
        <f t="shared" si="204"/>
        <v>12.54</v>
      </c>
      <c r="BK270" s="78">
        <f t="shared" si="205"/>
        <v>12.54</v>
      </c>
      <c r="BL270" s="78">
        <f t="shared" si="206"/>
        <v>12.54</v>
      </c>
      <c r="BM270" s="78">
        <f t="shared" si="207"/>
        <v>12.54</v>
      </c>
      <c r="BN270" s="78">
        <f t="shared" si="208"/>
        <v>12.54</v>
      </c>
      <c r="BO270" s="78">
        <f t="shared" si="209"/>
        <v>12.54</v>
      </c>
      <c r="BP270" s="78">
        <f t="shared" si="210"/>
        <v>12.54</v>
      </c>
      <c r="BQ270" s="78">
        <f t="shared" si="211"/>
        <v>12.54</v>
      </c>
      <c r="BR270" s="78">
        <f t="shared" si="212"/>
        <v>12.54</v>
      </c>
      <c r="BS270" s="77"/>
      <c r="BT270" s="77"/>
    </row>
    <row r="271" spans="1:72" ht="14.1" customHeight="1" x14ac:dyDescent="0.2">
      <c r="A271" s="55" t="str">
        <f t="shared" si="183"/>
        <v>DS-6 (DS-4) Temp. Sensitive DS_Meter Charge Primary</v>
      </c>
      <c r="B271" s="80" t="s">
        <v>645</v>
      </c>
      <c r="C271" s="83" t="s">
        <v>790</v>
      </c>
      <c r="D271" s="150"/>
      <c r="E271" s="81"/>
      <c r="F271" s="73" t="s">
        <v>649</v>
      </c>
      <c r="G271" s="73">
        <v>0</v>
      </c>
      <c r="H271" s="73">
        <v>6</v>
      </c>
      <c r="I271" s="74" t="s">
        <v>641</v>
      </c>
      <c r="J271" s="75" t="s">
        <v>634</v>
      </c>
      <c r="K271" s="74"/>
      <c r="L271" s="82">
        <v>12.53</v>
      </c>
      <c r="M271" s="138">
        <v>12.01</v>
      </c>
      <c r="N271" s="138">
        <v>12.01</v>
      </c>
      <c r="O271" s="138">
        <v>12.01</v>
      </c>
      <c r="P271" s="138">
        <v>12.01</v>
      </c>
      <c r="Q271" s="138">
        <v>12.01</v>
      </c>
      <c r="R271" s="138">
        <v>12.01</v>
      </c>
      <c r="S271" s="138">
        <v>12.54</v>
      </c>
      <c r="T271" s="138">
        <v>12.54</v>
      </c>
      <c r="U271" s="138">
        <v>12.54</v>
      </c>
      <c r="V271" s="138">
        <v>12.54</v>
      </c>
      <c r="W271" s="138">
        <v>12.54</v>
      </c>
      <c r="X271" s="138">
        <v>12.54</v>
      </c>
      <c r="Y271" s="138">
        <f t="shared" si="213"/>
        <v>12.54</v>
      </c>
      <c r="Z271" s="138">
        <f t="shared" si="214"/>
        <v>12.54</v>
      </c>
      <c r="AA271" s="138">
        <f t="shared" si="215"/>
        <v>12.54</v>
      </c>
      <c r="AB271" s="138">
        <f t="shared" si="216"/>
        <v>12.54</v>
      </c>
      <c r="AC271" s="138">
        <f t="shared" si="217"/>
        <v>12.54</v>
      </c>
      <c r="AD271" s="138">
        <f t="shared" si="218"/>
        <v>12.54</v>
      </c>
      <c r="AE271" s="138">
        <f t="shared" si="219"/>
        <v>12.54</v>
      </c>
      <c r="AF271" s="138">
        <f t="shared" si="220"/>
        <v>12.54</v>
      </c>
      <c r="AG271" s="138">
        <f t="shared" si="221"/>
        <v>12.54</v>
      </c>
      <c r="AH271" s="138">
        <f t="shared" si="222"/>
        <v>12.54</v>
      </c>
      <c r="AI271" s="138">
        <f t="shared" si="223"/>
        <v>12.54</v>
      </c>
      <c r="AJ271" s="138">
        <f t="shared" si="224"/>
        <v>12.54</v>
      </c>
      <c r="AK271" s="138">
        <f t="shared" si="225"/>
        <v>12.54</v>
      </c>
      <c r="AL271" s="138">
        <f t="shared" si="226"/>
        <v>12.539999999999997</v>
      </c>
      <c r="AM271" s="138">
        <f t="shared" si="227"/>
        <v>12.429583333333332</v>
      </c>
      <c r="AO271" s="77" t="str">
        <f t="shared" si="184"/>
        <v>DS-6 (DS-4) Temp. Sensitive DS</v>
      </c>
      <c r="AP271" s="78" t="s">
        <v>646</v>
      </c>
      <c r="AQ271" s="77" t="str">
        <f t="shared" si="185"/>
        <v>Meter Charge Primary</v>
      </c>
      <c r="AR271" s="78" t="str">
        <f t="shared" si="186"/>
        <v>Billing Cycle</v>
      </c>
      <c r="AS271" s="79">
        <f t="shared" si="187"/>
        <v>6</v>
      </c>
      <c r="AT271" s="78">
        <f t="shared" si="188"/>
        <v>13</v>
      </c>
      <c r="AU271" s="78">
        <f t="shared" si="189"/>
        <v>12.01</v>
      </c>
      <c r="AV271" s="78">
        <f t="shared" si="190"/>
        <v>12.01</v>
      </c>
      <c r="AW271" s="78">
        <f t="shared" si="191"/>
        <v>12.01</v>
      </c>
      <c r="AX271" s="78">
        <f t="shared" si="192"/>
        <v>12.01</v>
      </c>
      <c r="AY271" s="78">
        <f t="shared" si="193"/>
        <v>12.01</v>
      </c>
      <c r="AZ271" s="78">
        <f t="shared" si="194"/>
        <v>12.01</v>
      </c>
      <c r="BA271" s="78">
        <f t="shared" si="195"/>
        <v>12.54</v>
      </c>
      <c r="BB271" s="78">
        <f t="shared" si="196"/>
        <v>12.54</v>
      </c>
      <c r="BC271" s="78">
        <f t="shared" si="197"/>
        <v>12.54</v>
      </c>
      <c r="BD271" s="78">
        <f t="shared" si="198"/>
        <v>12.54</v>
      </c>
      <c r="BE271" s="78">
        <f t="shared" si="199"/>
        <v>12.54</v>
      </c>
      <c r="BF271" s="78">
        <f t="shared" si="200"/>
        <v>12.54</v>
      </c>
      <c r="BG271" s="78">
        <f t="shared" si="201"/>
        <v>12.54</v>
      </c>
      <c r="BH271" s="78">
        <f t="shared" si="202"/>
        <v>12.54</v>
      </c>
      <c r="BI271" s="78">
        <f t="shared" si="203"/>
        <v>12.54</v>
      </c>
      <c r="BJ271" s="78">
        <f t="shared" si="204"/>
        <v>12.54</v>
      </c>
      <c r="BK271" s="78">
        <f t="shared" si="205"/>
        <v>12.54</v>
      </c>
      <c r="BL271" s="78">
        <f t="shared" si="206"/>
        <v>12.54</v>
      </c>
      <c r="BM271" s="78">
        <f t="shared" si="207"/>
        <v>12.54</v>
      </c>
      <c r="BN271" s="78">
        <f t="shared" si="208"/>
        <v>12.54</v>
      </c>
      <c r="BO271" s="78">
        <f t="shared" si="209"/>
        <v>12.54</v>
      </c>
      <c r="BP271" s="78">
        <f t="shared" si="210"/>
        <v>12.54</v>
      </c>
      <c r="BQ271" s="78">
        <f t="shared" si="211"/>
        <v>12.54</v>
      </c>
      <c r="BR271" s="78">
        <f t="shared" si="212"/>
        <v>12.54</v>
      </c>
      <c r="BS271" s="77"/>
      <c r="BT271" s="77"/>
    </row>
    <row r="272" spans="1:72" ht="14.1" customHeight="1" x14ac:dyDescent="0.2">
      <c r="A272" s="55" t="str">
        <f t="shared" si="183"/>
        <v>DS-2 (Small General Service)_Meter Charge Secondary</v>
      </c>
      <c r="B272" s="80" t="s">
        <v>665</v>
      </c>
      <c r="C272" s="71" t="s">
        <v>791</v>
      </c>
      <c r="D272" s="150"/>
      <c r="E272" s="81"/>
      <c r="F272" s="73" t="s">
        <v>649</v>
      </c>
      <c r="G272" s="73">
        <v>0</v>
      </c>
      <c r="H272" s="73">
        <v>6</v>
      </c>
      <c r="I272" s="74" t="s">
        <v>641</v>
      </c>
      <c r="J272" s="75" t="s">
        <v>634</v>
      </c>
      <c r="K272" s="74"/>
      <c r="L272" s="82">
        <v>7.66</v>
      </c>
      <c r="M272" s="138">
        <v>7.31</v>
      </c>
      <c r="N272" s="138">
        <v>7.31</v>
      </c>
      <c r="O272" s="138">
        <v>7.31</v>
      </c>
      <c r="P272" s="138">
        <v>7.31</v>
      </c>
      <c r="Q272" s="138">
        <v>7.31</v>
      </c>
      <c r="R272" s="138">
        <v>7.31</v>
      </c>
      <c r="S272" s="138">
        <v>7.63</v>
      </c>
      <c r="T272" s="138">
        <v>7.63</v>
      </c>
      <c r="U272" s="138">
        <v>7.63</v>
      </c>
      <c r="V272" s="138">
        <v>7.63</v>
      </c>
      <c r="W272" s="138">
        <v>7.63</v>
      </c>
      <c r="X272" s="138">
        <v>7.63</v>
      </c>
      <c r="Y272" s="138">
        <f t="shared" si="213"/>
        <v>7.63</v>
      </c>
      <c r="Z272" s="138">
        <f t="shared" si="214"/>
        <v>7.63</v>
      </c>
      <c r="AA272" s="138">
        <f t="shared" si="215"/>
        <v>7.63</v>
      </c>
      <c r="AB272" s="138">
        <f t="shared" si="216"/>
        <v>7.63</v>
      </c>
      <c r="AC272" s="138">
        <f t="shared" si="217"/>
        <v>7.63</v>
      </c>
      <c r="AD272" s="138">
        <f t="shared" si="218"/>
        <v>7.63</v>
      </c>
      <c r="AE272" s="138">
        <f t="shared" si="219"/>
        <v>7.63</v>
      </c>
      <c r="AF272" s="138">
        <f t="shared" si="220"/>
        <v>7.63</v>
      </c>
      <c r="AG272" s="138">
        <f t="shared" si="221"/>
        <v>7.63</v>
      </c>
      <c r="AH272" s="138">
        <f t="shared" si="222"/>
        <v>7.63</v>
      </c>
      <c r="AI272" s="138">
        <f t="shared" si="223"/>
        <v>7.63</v>
      </c>
      <c r="AJ272" s="138">
        <f t="shared" si="224"/>
        <v>7.63</v>
      </c>
      <c r="AK272" s="138">
        <f t="shared" si="225"/>
        <v>7.63</v>
      </c>
      <c r="AL272" s="138">
        <f t="shared" si="226"/>
        <v>7.629999999999999</v>
      </c>
      <c r="AM272" s="138">
        <f t="shared" si="227"/>
        <v>7.5633333333333317</v>
      </c>
      <c r="AO272" s="77" t="str">
        <f t="shared" si="184"/>
        <v>DS-2 (Small General Service)</v>
      </c>
      <c r="AP272" s="78" t="s">
        <v>664</v>
      </c>
      <c r="AQ272" s="77" t="str">
        <f t="shared" si="185"/>
        <v>Meter Charge Secondary</v>
      </c>
      <c r="AR272" s="78" t="str">
        <f t="shared" si="186"/>
        <v>Billing Cycle</v>
      </c>
      <c r="AS272" s="79">
        <f t="shared" si="187"/>
        <v>6</v>
      </c>
      <c r="AT272" s="78">
        <f t="shared" si="188"/>
        <v>8</v>
      </c>
      <c r="AU272" s="78">
        <f t="shared" si="189"/>
        <v>7.31</v>
      </c>
      <c r="AV272" s="78">
        <f t="shared" si="190"/>
        <v>7.31</v>
      </c>
      <c r="AW272" s="78">
        <f t="shared" si="191"/>
        <v>7.31</v>
      </c>
      <c r="AX272" s="78">
        <f t="shared" si="192"/>
        <v>7.31</v>
      </c>
      <c r="AY272" s="78">
        <f t="shared" si="193"/>
        <v>7.31</v>
      </c>
      <c r="AZ272" s="78">
        <f t="shared" si="194"/>
        <v>7.31</v>
      </c>
      <c r="BA272" s="78">
        <f t="shared" si="195"/>
        <v>7.63</v>
      </c>
      <c r="BB272" s="78">
        <f t="shared" si="196"/>
        <v>7.63</v>
      </c>
      <c r="BC272" s="78">
        <f t="shared" si="197"/>
        <v>7.63</v>
      </c>
      <c r="BD272" s="78">
        <f t="shared" si="198"/>
        <v>7.63</v>
      </c>
      <c r="BE272" s="78">
        <f t="shared" si="199"/>
        <v>7.63</v>
      </c>
      <c r="BF272" s="78">
        <f t="shared" si="200"/>
        <v>7.63</v>
      </c>
      <c r="BG272" s="78">
        <f t="shared" si="201"/>
        <v>7.63</v>
      </c>
      <c r="BH272" s="78">
        <f t="shared" si="202"/>
        <v>7.63</v>
      </c>
      <c r="BI272" s="78">
        <f t="shared" si="203"/>
        <v>7.63</v>
      </c>
      <c r="BJ272" s="78">
        <f t="shared" si="204"/>
        <v>7.63</v>
      </c>
      <c r="BK272" s="78">
        <f t="shared" si="205"/>
        <v>7.63</v>
      </c>
      <c r="BL272" s="78">
        <f t="shared" si="206"/>
        <v>7.63</v>
      </c>
      <c r="BM272" s="78">
        <f t="shared" si="207"/>
        <v>7.63</v>
      </c>
      <c r="BN272" s="78">
        <f t="shared" si="208"/>
        <v>7.63</v>
      </c>
      <c r="BO272" s="78">
        <f t="shared" si="209"/>
        <v>7.63</v>
      </c>
      <c r="BP272" s="78">
        <f t="shared" si="210"/>
        <v>7.63</v>
      </c>
      <c r="BQ272" s="78">
        <f t="shared" si="211"/>
        <v>7.63</v>
      </c>
      <c r="BR272" s="78">
        <f t="shared" si="212"/>
        <v>7.63</v>
      </c>
      <c r="BS272" s="77"/>
      <c r="BT272" s="77"/>
    </row>
    <row r="273" spans="1:72" ht="14.1" customHeight="1" x14ac:dyDescent="0.2">
      <c r="A273" s="55" t="str">
        <f t="shared" si="183"/>
        <v>DS-3 (General Delivery Service)_Meter Charge Secondary</v>
      </c>
      <c r="B273" s="80" t="s">
        <v>666</v>
      </c>
      <c r="C273" s="71" t="s">
        <v>791</v>
      </c>
      <c r="D273" s="150"/>
      <c r="E273" s="81"/>
      <c r="F273" s="73" t="s">
        <v>649</v>
      </c>
      <c r="G273" s="73">
        <v>0</v>
      </c>
      <c r="H273" s="73">
        <v>6</v>
      </c>
      <c r="I273" s="74" t="s">
        <v>641</v>
      </c>
      <c r="J273" s="75" t="s">
        <v>634</v>
      </c>
      <c r="K273" s="74"/>
      <c r="L273" s="82">
        <v>12.26</v>
      </c>
      <c r="M273" s="138">
        <v>11.39</v>
      </c>
      <c r="N273" s="138">
        <v>11.39</v>
      </c>
      <c r="O273" s="138">
        <v>11.39</v>
      </c>
      <c r="P273" s="138">
        <v>11.39</v>
      </c>
      <c r="Q273" s="138">
        <v>11.39</v>
      </c>
      <c r="R273" s="138">
        <v>11.39</v>
      </c>
      <c r="S273" s="138">
        <v>11.9</v>
      </c>
      <c r="T273" s="138">
        <v>11.9</v>
      </c>
      <c r="U273" s="138">
        <v>11.9</v>
      </c>
      <c r="V273" s="138">
        <v>11.9</v>
      </c>
      <c r="W273" s="138">
        <v>11.9</v>
      </c>
      <c r="X273" s="138">
        <v>11.9</v>
      </c>
      <c r="Y273" s="138">
        <f t="shared" si="213"/>
        <v>11.9</v>
      </c>
      <c r="Z273" s="138">
        <f t="shared" si="214"/>
        <v>11.9</v>
      </c>
      <c r="AA273" s="138">
        <f t="shared" si="215"/>
        <v>11.9</v>
      </c>
      <c r="AB273" s="138">
        <f t="shared" si="216"/>
        <v>11.9</v>
      </c>
      <c r="AC273" s="138">
        <f t="shared" si="217"/>
        <v>11.9</v>
      </c>
      <c r="AD273" s="138">
        <f t="shared" si="218"/>
        <v>11.9</v>
      </c>
      <c r="AE273" s="138">
        <f t="shared" si="219"/>
        <v>11.9</v>
      </c>
      <c r="AF273" s="138">
        <f t="shared" si="220"/>
        <v>11.9</v>
      </c>
      <c r="AG273" s="138">
        <f t="shared" si="221"/>
        <v>11.9</v>
      </c>
      <c r="AH273" s="138">
        <f t="shared" si="222"/>
        <v>11.9</v>
      </c>
      <c r="AI273" s="138">
        <f t="shared" si="223"/>
        <v>11.9</v>
      </c>
      <c r="AJ273" s="138">
        <f t="shared" si="224"/>
        <v>11.9</v>
      </c>
      <c r="AK273" s="138">
        <f t="shared" si="225"/>
        <v>11.9</v>
      </c>
      <c r="AL273" s="138">
        <f t="shared" si="226"/>
        <v>11.900000000000004</v>
      </c>
      <c r="AM273" s="138">
        <f t="shared" si="227"/>
        <v>11.793750000000001</v>
      </c>
      <c r="AO273" s="77" t="str">
        <f t="shared" si="184"/>
        <v>DS-3 (General Delivery Service)</v>
      </c>
      <c r="AP273" s="78" t="s">
        <v>667</v>
      </c>
      <c r="AQ273" s="77" t="str">
        <f t="shared" si="185"/>
        <v>Meter Charge Secondary</v>
      </c>
      <c r="AR273" s="78" t="str">
        <f t="shared" si="186"/>
        <v>Billing Cycle</v>
      </c>
      <c r="AS273" s="79">
        <f t="shared" si="187"/>
        <v>6</v>
      </c>
      <c r="AT273" s="78">
        <f t="shared" si="188"/>
        <v>12</v>
      </c>
      <c r="AU273" s="78">
        <f t="shared" si="189"/>
        <v>11.39</v>
      </c>
      <c r="AV273" s="78">
        <f t="shared" si="190"/>
        <v>11.39</v>
      </c>
      <c r="AW273" s="78">
        <f t="shared" si="191"/>
        <v>11.39</v>
      </c>
      <c r="AX273" s="78">
        <f t="shared" si="192"/>
        <v>11.39</v>
      </c>
      <c r="AY273" s="78">
        <f t="shared" si="193"/>
        <v>11.39</v>
      </c>
      <c r="AZ273" s="78">
        <f t="shared" si="194"/>
        <v>11.39</v>
      </c>
      <c r="BA273" s="78">
        <f t="shared" si="195"/>
        <v>11.9</v>
      </c>
      <c r="BB273" s="78">
        <f t="shared" si="196"/>
        <v>11.9</v>
      </c>
      <c r="BC273" s="78">
        <f t="shared" si="197"/>
        <v>11.9</v>
      </c>
      <c r="BD273" s="78">
        <f t="shared" si="198"/>
        <v>11.9</v>
      </c>
      <c r="BE273" s="78">
        <f t="shared" si="199"/>
        <v>11.9</v>
      </c>
      <c r="BF273" s="78">
        <f t="shared" si="200"/>
        <v>11.9</v>
      </c>
      <c r="BG273" s="78">
        <f t="shared" si="201"/>
        <v>11.9</v>
      </c>
      <c r="BH273" s="78">
        <f t="shared" si="202"/>
        <v>11.9</v>
      </c>
      <c r="BI273" s="78">
        <f t="shared" si="203"/>
        <v>11.9</v>
      </c>
      <c r="BJ273" s="78">
        <f t="shared" si="204"/>
        <v>11.9</v>
      </c>
      <c r="BK273" s="78">
        <f t="shared" si="205"/>
        <v>11.9</v>
      </c>
      <c r="BL273" s="78">
        <f t="shared" si="206"/>
        <v>11.9</v>
      </c>
      <c r="BM273" s="78">
        <f t="shared" si="207"/>
        <v>11.9</v>
      </c>
      <c r="BN273" s="78">
        <f t="shared" si="208"/>
        <v>11.9</v>
      </c>
      <c r="BO273" s="78">
        <f t="shared" si="209"/>
        <v>11.9</v>
      </c>
      <c r="BP273" s="78">
        <f t="shared" si="210"/>
        <v>11.9</v>
      </c>
      <c r="BQ273" s="78">
        <f t="shared" si="211"/>
        <v>11.9</v>
      </c>
      <c r="BR273" s="78">
        <f t="shared" si="212"/>
        <v>11.9</v>
      </c>
      <c r="BS273" s="77"/>
      <c r="BT273" s="77"/>
    </row>
    <row r="274" spans="1:72" ht="14.1" customHeight="1" x14ac:dyDescent="0.2">
      <c r="A274" s="55" t="str">
        <f t="shared" si="183"/>
        <v>DS-4 (Large General Service)_Meter Charge Secondary</v>
      </c>
      <c r="B274" s="80" t="s">
        <v>639</v>
      </c>
      <c r="C274" s="71" t="s">
        <v>791</v>
      </c>
      <c r="D274" s="150"/>
      <c r="E274" s="81"/>
      <c r="F274" s="73" t="s">
        <v>649</v>
      </c>
      <c r="G274" s="73">
        <v>0</v>
      </c>
      <c r="H274" s="73">
        <v>6</v>
      </c>
      <c r="I274" s="74" t="s">
        <v>641</v>
      </c>
      <c r="J274" s="75" t="s">
        <v>634</v>
      </c>
      <c r="K274" s="74"/>
      <c r="L274" s="82">
        <v>14.74</v>
      </c>
      <c r="M274" s="138">
        <v>13.63</v>
      </c>
      <c r="N274" s="138">
        <v>13.63</v>
      </c>
      <c r="O274" s="138">
        <v>13.63</v>
      </c>
      <c r="P274" s="138">
        <v>13.63</v>
      </c>
      <c r="Q274" s="138">
        <v>13.63</v>
      </c>
      <c r="R274" s="138">
        <v>13.63</v>
      </c>
      <c r="S274" s="138">
        <v>14.23</v>
      </c>
      <c r="T274" s="138">
        <v>14.23</v>
      </c>
      <c r="U274" s="138">
        <v>14.23</v>
      </c>
      <c r="V274" s="138">
        <v>14.23</v>
      </c>
      <c r="W274" s="138">
        <v>14.23</v>
      </c>
      <c r="X274" s="138">
        <v>14.23</v>
      </c>
      <c r="Y274" s="138">
        <f t="shared" si="213"/>
        <v>14.23</v>
      </c>
      <c r="Z274" s="138">
        <f t="shared" si="214"/>
        <v>14.23</v>
      </c>
      <c r="AA274" s="138">
        <f t="shared" si="215"/>
        <v>14.23</v>
      </c>
      <c r="AB274" s="138">
        <f t="shared" si="216"/>
        <v>14.23</v>
      </c>
      <c r="AC274" s="138">
        <f t="shared" si="217"/>
        <v>14.23</v>
      </c>
      <c r="AD274" s="138">
        <f t="shared" si="218"/>
        <v>14.23</v>
      </c>
      <c r="AE274" s="138">
        <f t="shared" si="219"/>
        <v>14.23</v>
      </c>
      <c r="AF274" s="138">
        <f t="shared" si="220"/>
        <v>14.23</v>
      </c>
      <c r="AG274" s="138">
        <f t="shared" si="221"/>
        <v>14.23</v>
      </c>
      <c r="AH274" s="138">
        <f t="shared" si="222"/>
        <v>14.23</v>
      </c>
      <c r="AI274" s="138">
        <f t="shared" si="223"/>
        <v>14.23</v>
      </c>
      <c r="AJ274" s="138">
        <f t="shared" si="224"/>
        <v>14.23</v>
      </c>
      <c r="AK274" s="138">
        <f t="shared" si="225"/>
        <v>14.23</v>
      </c>
      <c r="AL274" s="138">
        <f t="shared" si="226"/>
        <v>14.229999999999999</v>
      </c>
      <c r="AM274" s="138">
        <f t="shared" si="227"/>
        <v>14.105000000000002</v>
      </c>
      <c r="AO274" s="77" t="str">
        <f t="shared" si="184"/>
        <v>DS-4 (Large General Service)</v>
      </c>
      <c r="AP274" s="78" t="s">
        <v>642</v>
      </c>
      <c r="AQ274" s="77" t="str">
        <f t="shared" si="185"/>
        <v>Meter Charge Secondary</v>
      </c>
      <c r="AR274" s="78" t="str">
        <f t="shared" si="186"/>
        <v>Billing Cycle</v>
      </c>
      <c r="AS274" s="79">
        <f t="shared" si="187"/>
        <v>6</v>
      </c>
      <c r="AT274" s="78">
        <f t="shared" si="188"/>
        <v>15</v>
      </c>
      <c r="AU274" s="78">
        <f t="shared" si="189"/>
        <v>13.63</v>
      </c>
      <c r="AV274" s="78">
        <f t="shared" si="190"/>
        <v>13.63</v>
      </c>
      <c r="AW274" s="78">
        <f t="shared" si="191"/>
        <v>13.63</v>
      </c>
      <c r="AX274" s="78">
        <f t="shared" si="192"/>
        <v>13.63</v>
      </c>
      <c r="AY274" s="78">
        <f t="shared" si="193"/>
        <v>13.63</v>
      </c>
      <c r="AZ274" s="78">
        <f t="shared" si="194"/>
        <v>13.63</v>
      </c>
      <c r="BA274" s="78">
        <f t="shared" si="195"/>
        <v>14.23</v>
      </c>
      <c r="BB274" s="78">
        <f t="shared" si="196"/>
        <v>14.23</v>
      </c>
      <c r="BC274" s="78">
        <f t="shared" si="197"/>
        <v>14.23</v>
      </c>
      <c r="BD274" s="78">
        <f t="shared" si="198"/>
        <v>14.23</v>
      </c>
      <c r="BE274" s="78">
        <f t="shared" si="199"/>
        <v>14.23</v>
      </c>
      <c r="BF274" s="78">
        <f t="shared" si="200"/>
        <v>14.23</v>
      </c>
      <c r="BG274" s="78">
        <f t="shared" si="201"/>
        <v>14.23</v>
      </c>
      <c r="BH274" s="78">
        <f t="shared" si="202"/>
        <v>14.23</v>
      </c>
      <c r="BI274" s="78">
        <f t="shared" si="203"/>
        <v>14.23</v>
      </c>
      <c r="BJ274" s="78">
        <f t="shared" si="204"/>
        <v>14.23</v>
      </c>
      <c r="BK274" s="78">
        <f t="shared" si="205"/>
        <v>14.23</v>
      </c>
      <c r="BL274" s="78">
        <f t="shared" si="206"/>
        <v>14.23</v>
      </c>
      <c r="BM274" s="78">
        <f t="shared" si="207"/>
        <v>14.23</v>
      </c>
      <c r="BN274" s="78">
        <f t="shared" si="208"/>
        <v>14.23</v>
      </c>
      <c r="BO274" s="78">
        <f t="shared" si="209"/>
        <v>14.23</v>
      </c>
      <c r="BP274" s="78">
        <f t="shared" si="210"/>
        <v>14.23</v>
      </c>
      <c r="BQ274" s="78">
        <f t="shared" si="211"/>
        <v>14.23</v>
      </c>
      <c r="BR274" s="78">
        <f t="shared" si="212"/>
        <v>14.23</v>
      </c>
      <c r="BS274" s="77"/>
      <c r="BT274" s="77"/>
    </row>
    <row r="275" spans="1:72" ht="14.1" customHeight="1" x14ac:dyDescent="0.2">
      <c r="A275" s="55" t="str">
        <f t="shared" si="183"/>
        <v>DS-6 (DS-3) Temp. Sensitive DS_Meter Charge Secondary</v>
      </c>
      <c r="B275" s="80" t="s">
        <v>643</v>
      </c>
      <c r="C275" s="71" t="s">
        <v>791</v>
      </c>
      <c r="D275" s="150"/>
      <c r="E275" s="81"/>
      <c r="F275" s="73" t="s">
        <v>649</v>
      </c>
      <c r="G275" s="73">
        <v>0</v>
      </c>
      <c r="H275" s="73">
        <v>6</v>
      </c>
      <c r="I275" s="74" t="s">
        <v>641</v>
      </c>
      <c r="J275" s="75" t="s">
        <v>634</v>
      </c>
      <c r="K275" s="74"/>
      <c r="L275" s="82">
        <v>12.53</v>
      </c>
      <c r="M275" s="138">
        <v>12.01</v>
      </c>
      <c r="N275" s="138">
        <v>12.01</v>
      </c>
      <c r="O275" s="138">
        <v>12.01</v>
      </c>
      <c r="P275" s="138">
        <v>12.01</v>
      </c>
      <c r="Q275" s="138">
        <v>12.01</v>
      </c>
      <c r="R275" s="138">
        <v>12.01</v>
      </c>
      <c r="S275" s="138">
        <v>12.54</v>
      </c>
      <c r="T275" s="138">
        <v>12.54</v>
      </c>
      <c r="U275" s="138">
        <v>12.54</v>
      </c>
      <c r="V275" s="138">
        <v>12.54</v>
      </c>
      <c r="W275" s="138">
        <v>12.54</v>
      </c>
      <c r="X275" s="138">
        <v>12.54</v>
      </c>
      <c r="Y275" s="138">
        <f t="shared" si="213"/>
        <v>12.54</v>
      </c>
      <c r="Z275" s="138">
        <f t="shared" si="214"/>
        <v>12.54</v>
      </c>
      <c r="AA275" s="138">
        <f t="shared" si="215"/>
        <v>12.54</v>
      </c>
      <c r="AB275" s="138">
        <f t="shared" si="216"/>
        <v>12.54</v>
      </c>
      <c r="AC275" s="138">
        <f t="shared" si="217"/>
        <v>12.54</v>
      </c>
      <c r="AD275" s="138">
        <f t="shared" si="218"/>
        <v>12.54</v>
      </c>
      <c r="AE275" s="138">
        <f t="shared" si="219"/>
        <v>12.54</v>
      </c>
      <c r="AF275" s="138">
        <f t="shared" si="220"/>
        <v>12.54</v>
      </c>
      <c r="AG275" s="138">
        <f t="shared" si="221"/>
        <v>12.54</v>
      </c>
      <c r="AH275" s="138">
        <f t="shared" si="222"/>
        <v>12.54</v>
      </c>
      <c r="AI275" s="138">
        <f t="shared" si="223"/>
        <v>12.54</v>
      </c>
      <c r="AJ275" s="138">
        <f t="shared" si="224"/>
        <v>12.54</v>
      </c>
      <c r="AK275" s="138">
        <f t="shared" si="225"/>
        <v>12.54</v>
      </c>
      <c r="AL275" s="138">
        <f t="shared" si="226"/>
        <v>12.539999999999997</v>
      </c>
      <c r="AM275" s="138">
        <f t="shared" si="227"/>
        <v>12.429583333333332</v>
      </c>
      <c r="AO275" s="77" t="str">
        <f t="shared" si="184"/>
        <v>DS-6 (DS-3) Temp. Sensitive DS</v>
      </c>
      <c r="AP275" s="78" t="s">
        <v>644</v>
      </c>
      <c r="AQ275" s="77" t="str">
        <f t="shared" si="185"/>
        <v>Meter Charge Secondary</v>
      </c>
      <c r="AR275" s="78" t="str">
        <f t="shared" si="186"/>
        <v>Billing Cycle</v>
      </c>
      <c r="AS275" s="79">
        <f t="shared" si="187"/>
        <v>6</v>
      </c>
      <c r="AT275" s="78">
        <f t="shared" si="188"/>
        <v>13</v>
      </c>
      <c r="AU275" s="78">
        <f t="shared" si="189"/>
        <v>12.01</v>
      </c>
      <c r="AV275" s="78">
        <f t="shared" si="190"/>
        <v>12.01</v>
      </c>
      <c r="AW275" s="78">
        <f t="shared" si="191"/>
        <v>12.01</v>
      </c>
      <c r="AX275" s="78">
        <f t="shared" si="192"/>
        <v>12.01</v>
      </c>
      <c r="AY275" s="78">
        <f t="shared" si="193"/>
        <v>12.01</v>
      </c>
      <c r="AZ275" s="78">
        <f t="shared" si="194"/>
        <v>12.01</v>
      </c>
      <c r="BA275" s="78">
        <f t="shared" si="195"/>
        <v>12.54</v>
      </c>
      <c r="BB275" s="78">
        <f t="shared" si="196"/>
        <v>12.54</v>
      </c>
      <c r="BC275" s="78">
        <f t="shared" si="197"/>
        <v>12.54</v>
      </c>
      <c r="BD275" s="78">
        <f t="shared" si="198"/>
        <v>12.54</v>
      </c>
      <c r="BE275" s="78">
        <f t="shared" si="199"/>
        <v>12.54</v>
      </c>
      <c r="BF275" s="78">
        <f t="shared" si="200"/>
        <v>12.54</v>
      </c>
      <c r="BG275" s="78">
        <f t="shared" si="201"/>
        <v>12.54</v>
      </c>
      <c r="BH275" s="78">
        <f t="shared" si="202"/>
        <v>12.54</v>
      </c>
      <c r="BI275" s="78">
        <f t="shared" si="203"/>
        <v>12.54</v>
      </c>
      <c r="BJ275" s="78">
        <f t="shared" si="204"/>
        <v>12.54</v>
      </c>
      <c r="BK275" s="78">
        <f t="shared" si="205"/>
        <v>12.54</v>
      </c>
      <c r="BL275" s="78">
        <f t="shared" si="206"/>
        <v>12.54</v>
      </c>
      <c r="BM275" s="78">
        <f t="shared" si="207"/>
        <v>12.54</v>
      </c>
      <c r="BN275" s="78">
        <f t="shared" si="208"/>
        <v>12.54</v>
      </c>
      <c r="BO275" s="78">
        <f t="shared" si="209"/>
        <v>12.54</v>
      </c>
      <c r="BP275" s="78">
        <f t="shared" si="210"/>
        <v>12.54</v>
      </c>
      <c r="BQ275" s="78">
        <f t="shared" si="211"/>
        <v>12.54</v>
      </c>
      <c r="BR275" s="78">
        <f t="shared" si="212"/>
        <v>12.54</v>
      </c>
      <c r="BS275" s="77"/>
      <c r="BT275" s="77"/>
    </row>
    <row r="276" spans="1:72" ht="14.1" customHeight="1" x14ac:dyDescent="0.2">
      <c r="A276" s="55" t="str">
        <f t="shared" si="183"/>
        <v>DS-6 (DS-4) Temp. Sensitive DS_Meter Charge Secondary</v>
      </c>
      <c r="B276" s="80" t="s">
        <v>645</v>
      </c>
      <c r="C276" s="71" t="s">
        <v>791</v>
      </c>
      <c r="D276" s="150"/>
      <c r="E276" s="81"/>
      <c r="F276" s="73" t="s">
        <v>649</v>
      </c>
      <c r="G276" s="73">
        <v>0</v>
      </c>
      <c r="H276" s="73">
        <v>6</v>
      </c>
      <c r="I276" s="74" t="s">
        <v>641</v>
      </c>
      <c r="J276" s="75" t="s">
        <v>634</v>
      </c>
      <c r="K276" s="74"/>
      <c r="L276" s="82">
        <v>12.53</v>
      </c>
      <c r="M276" s="138">
        <v>12.01</v>
      </c>
      <c r="N276" s="138">
        <v>12.01</v>
      </c>
      <c r="O276" s="138">
        <v>12.01</v>
      </c>
      <c r="P276" s="138">
        <v>12.01</v>
      </c>
      <c r="Q276" s="138">
        <v>12.01</v>
      </c>
      <c r="R276" s="138">
        <v>12.01</v>
      </c>
      <c r="S276" s="138">
        <v>12.54</v>
      </c>
      <c r="T276" s="138">
        <v>12.54</v>
      </c>
      <c r="U276" s="138">
        <v>12.54</v>
      </c>
      <c r="V276" s="138">
        <v>12.54</v>
      </c>
      <c r="W276" s="138">
        <v>12.54</v>
      </c>
      <c r="X276" s="138">
        <v>12.54</v>
      </c>
      <c r="Y276" s="138">
        <f t="shared" si="213"/>
        <v>12.54</v>
      </c>
      <c r="Z276" s="138">
        <f t="shared" si="214"/>
        <v>12.54</v>
      </c>
      <c r="AA276" s="138">
        <f t="shared" si="215"/>
        <v>12.54</v>
      </c>
      <c r="AB276" s="138">
        <f t="shared" si="216"/>
        <v>12.54</v>
      </c>
      <c r="AC276" s="138">
        <f t="shared" si="217"/>
        <v>12.54</v>
      </c>
      <c r="AD276" s="138">
        <f t="shared" si="218"/>
        <v>12.54</v>
      </c>
      <c r="AE276" s="138">
        <f t="shared" si="219"/>
        <v>12.54</v>
      </c>
      <c r="AF276" s="138">
        <f t="shared" si="220"/>
        <v>12.54</v>
      </c>
      <c r="AG276" s="138">
        <f t="shared" si="221"/>
        <v>12.54</v>
      </c>
      <c r="AH276" s="138">
        <f t="shared" si="222"/>
        <v>12.54</v>
      </c>
      <c r="AI276" s="138">
        <f t="shared" si="223"/>
        <v>12.54</v>
      </c>
      <c r="AJ276" s="138">
        <f t="shared" si="224"/>
        <v>12.54</v>
      </c>
      <c r="AK276" s="138">
        <f t="shared" si="225"/>
        <v>12.54</v>
      </c>
      <c r="AL276" s="138">
        <f t="shared" si="226"/>
        <v>12.539999999999997</v>
      </c>
      <c r="AM276" s="138">
        <f t="shared" si="227"/>
        <v>12.429583333333332</v>
      </c>
      <c r="AO276" s="77" t="str">
        <f t="shared" si="184"/>
        <v>DS-6 (DS-4) Temp. Sensitive DS</v>
      </c>
      <c r="AP276" s="78" t="s">
        <v>646</v>
      </c>
      <c r="AQ276" s="77" t="str">
        <f t="shared" si="185"/>
        <v>Meter Charge Secondary</v>
      </c>
      <c r="AR276" s="78" t="str">
        <f t="shared" si="186"/>
        <v>Billing Cycle</v>
      </c>
      <c r="AS276" s="79">
        <f t="shared" si="187"/>
        <v>6</v>
      </c>
      <c r="AT276" s="78">
        <f t="shared" si="188"/>
        <v>13</v>
      </c>
      <c r="AU276" s="78">
        <f t="shared" si="189"/>
        <v>12.01</v>
      </c>
      <c r="AV276" s="78">
        <f t="shared" si="190"/>
        <v>12.01</v>
      </c>
      <c r="AW276" s="78">
        <f t="shared" si="191"/>
        <v>12.01</v>
      </c>
      <c r="AX276" s="78">
        <f t="shared" si="192"/>
        <v>12.01</v>
      </c>
      <c r="AY276" s="78">
        <f t="shared" si="193"/>
        <v>12.01</v>
      </c>
      <c r="AZ276" s="78">
        <f t="shared" si="194"/>
        <v>12.01</v>
      </c>
      <c r="BA276" s="78">
        <f t="shared" si="195"/>
        <v>12.54</v>
      </c>
      <c r="BB276" s="78">
        <f t="shared" si="196"/>
        <v>12.54</v>
      </c>
      <c r="BC276" s="78">
        <f t="shared" si="197"/>
        <v>12.54</v>
      </c>
      <c r="BD276" s="78">
        <f t="shared" si="198"/>
        <v>12.54</v>
      </c>
      <c r="BE276" s="78">
        <f t="shared" si="199"/>
        <v>12.54</v>
      </c>
      <c r="BF276" s="78">
        <f t="shared" si="200"/>
        <v>12.54</v>
      </c>
      <c r="BG276" s="78">
        <f t="shared" si="201"/>
        <v>12.54</v>
      </c>
      <c r="BH276" s="78">
        <f t="shared" si="202"/>
        <v>12.54</v>
      </c>
      <c r="BI276" s="78">
        <f t="shared" si="203"/>
        <v>12.54</v>
      </c>
      <c r="BJ276" s="78">
        <f t="shared" si="204"/>
        <v>12.54</v>
      </c>
      <c r="BK276" s="78">
        <f t="shared" si="205"/>
        <v>12.54</v>
      </c>
      <c r="BL276" s="78">
        <f t="shared" si="206"/>
        <v>12.54</v>
      </c>
      <c r="BM276" s="78">
        <f t="shared" si="207"/>
        <v>12.54</v>
      </c>
      <c r="BN276" s="78">
        <f t="shared" si="208"/>
        <v>12.54</v>
      </c>
      <c r="BO276" s="78">
        <f t="shared" si="209"/>
        <v>12.54</v>
      </c>
      <c r="BP276" s="78">
        <f t="shared" si="210"/>
        <v>12.54</v>
      </c>
      <c r="BQ276" s="78">
        <f t="shared" si="211"/>
        <v>12.54</v>
      </c>
      <c r="BR276" s="78">
        <f t="shared" si="212"/>
        <v>12.54</v>
      </c>
      <c r="BS276" s="77"/>
      <c r="BT276" s="77"/>
    </row>
    <row r="277" spans="1:72" ht="14.1" customHeight="1" x14ac:dyDescent="0.2">
      <c r="A277" s="55" t="str">
        <f t="shared" si="183"/>
        <v>DS-3 (General Delivery Service)_Meter Reassignment</v>
      </c>
      <c r="B277" s="80" t="s">
        <v>666</v>
      </c>
      <c r="C277" s="71" t="s">
        <v>792</v>
      </c>
      <c r="D277" s="150"/>
      <c r="E277" s="81"/>
      <c r="F277" s="73" t="s">
        <v>649</v>
      </c>
      <c r="G277" s="73">
        <v>0</v>
      </c>
      <c r="H277" s="73">
        <v>6</v>
      </c>
      <c r="I277" s="74" t="s">
        <v>641</v>
      </c>
      <c r="J277" s="75" t="s">
        <v>634</v>
      </c>
      <c r="K277" s="74"/>
      <c r="L277" s="82">
        <v>89</v>
      </c>
      <c r="M277" s="138">
        <v>89</v>
      </c>
      <c r="N277" s="138">
        <v>89</v>
      </c>
      <c r="O277" s="138">
        <v>89</v>
      </c>
      <c r="P277" s="138">
        <v>89</v>
      </c>
      <c r="Q277" s="138">
        <v>89</v>
      </c>
      <c r="R277" s="138">
        <v>89</v>
      </c>
      <c r="S277" s="138">
        <v>89</v>
      </c>
      <c r="T277" s="138">
        <v>89</v>
      </c>
      <c r="U277" s="138">
        <v>89</v>
      </c>
      <c r="V277" s="138">
        <v>89</v>
      </c>
      <c r="W277" s="138">
        <v>89</v>
      </c>
      <c r="X277" s="138">
        <v>89</v>
      </c>
      <c r="Y277" s="138">
        <f t="shared" si="213"/>
        <v>89</v>
      </c>
      <c r="Z277" s="138">
        <f t="shared" si="214"/>
        <v>89</v>
      </c>
      <c r="AA277" s="138">
        <f t="shared" si="215"/>
        <v>89</v>
      </c>
      <c r="AB277" s="138">
        <f t="shared" si="216"/>
        <v>89</v>
      </c>
      <c r="AC277" s="138">
        <f t="shared" si="217"/>
        <v>89</v>
      </c>
      <c r="AD277" s="138">
        <f t="shared" si="218"/>
        <v>89</v>
      </c>
      <c r="AE277" s="138">
        <f t="shared" si="219"/>
        <v>89</v>
      </c>
      <c r="AF277" s="138">
        <f t="shared" si="220"/>
        <v>89</v>
      </c>
      <c r="AG277" s="138">
        <f t="shared" si="221"/>
        <v>89</v>
      </c>
      <c r="AH277" s="138">
        <f t="shared" si="222"/>
        <v>89</v>
      </c>
      <c r="AI277" s="138">
        <f t="shared" si="223"/>
        <v>89</v>
      </c>
      <c r="AJ277" s="138">
        <f t="shared" si="224"/>
        <v>89</v>
      </c>
      <c r="AK277" s="138">
        <f t="shared" si="225"/>
        <v>89</v>
      </c>
      <c r="AL277" s="138">
        <f t="shared" si="226"/>
        <v>89</v>
      </c>
      <c r="AM277" s="138">
        <f t="shared" si="227"/>
        <v>89</v>
      </c>
      <c r="AO277" s="77" t="str">
        <f t="shared" si="184"/>
        <v>DS-3 (General Delivery Service)</v>
      </c>
      <c r="AP277" s="78" t="s">
        <v>667</v>
      </c>
      <c r="AQ277" s="77" t="str">
        <f t="shared" si="185"/>
        <v>Meter Reassignment</v>
      </c>
      <c r="AR277" s="78" t="str">
        <f t="shared" si="186"/>
        <v>Billing Cycle</v>
      </c>
      <c r="AS277" s="79">
        <f t="shared" si="187"/>
        <v>6</v>
      </c>
      <c r="AT277" s="78">
        <f t="shared" si="188"/>
        <v>89</v>
      </c>
      <c r="AU277" s="78">
        <f t="shared" si="189"/>
        <v>89</v>
      </c>
      <c r="AV277" s="78">
        <f t="shared" si="190"/>
        <v>89</v>
      </c>
      <c r="AW277" s="78">
        <f t="shared" si="191"/>
        <v>89</v>
      </c>
      <c r="AX277" s="78">
        <f t="shared" si="192"/>
        <v>89</v>
      </c>
      <c r="AY277" s="78">
        <f t="shared" si="193"/>
        <v>89</v>
      </c>
      <c r="AZ277" s="78">
        <f t="shared" si="194"/>
        <v>89</v>
      </c>
      <c r="BA277" s="78">
        <f t="shared" si="195"/>
        <v>89</v>
      </c>
      <c r="BB277" s="78">
        <f t="shared" si="196"/>
        <v>89</v>
      </c>
      <c r="BC277" s="78">
        <f t="shared" si="197"/>
        <v>89</v>
      </c>
      <c r="BD277" s="78">
        <f t="shared" si="198"/>
        <v>89</v>
      </c>
      <c r="BE277" s="78">
        <f t="shared" si="199"/>
        <v>89</v>
      </c>
      <c r="BF277" s="78">
        <f t="shared" si="200"/>
        <v>89</v>
      </c>
      <c r="BG277" s="78">
        <f t="shared" si="201"/>
        <v>89</v>
      </c>
      <c r="BH277" s="78">
        <f t="shared" si="202"/>
        <v>89</v>
      </c>
      <c r="BI277" s="78">
        <f t="shared" si="203"/>
        <v>89</v>
      </c>
      <c r="BJ277" s="78">
        <f t="shared" si="204"/>
        <v>89</v>
      </c>
      <c r="BK277" s="78">
        <f t="shared" si="205"/>
        <v>89</v>
      </c>
      <c r="BL277" s="78">
        <f t="shared" si="206"/>
        <v>89</v>
      </c>
      <c r="BM277" s="78">
        <f t="shared" si="207"/>
        <v>89</v>
      </c>
      <c r="BN277" s="78">
        <f t="shared" si="208"/>
        <v>89</v>
      </c>
      <c r="BO277" s="78">
        <f t="shared" si="209"/>
        <v>89</v>
      </c>
      <c r="BP277" s="78">
        <f t="shared" si="210"/>
        <v>89</v>
      </c>
      <c r="BQ277" s="78">
        <f t="shared" si="211"/>
        <v>89</v>
      </c>
      <c r="BR277" s="78">
        <f t="shared" si="212"/>
        <v>89</v>
      </c>
      <c r="BS277" s="77"/>
      <c r="BT277" s="77"/>
    </row>
    <row r="278" spans="1:72" ht="14.1" customHeight="1" x14ac:dyDescent="0.2">
      <c r="A278" s="55" t="str">
        <f t="shared" si="183"/>
        <v>DS-4 (Large General Service)_Meter Reassignment</v>
      </c>
      <c r="B278" s="80" t="s">
        <v>639</v>
      </c>
      <c r="C278" s="71" t="s">
        <v>792</v>
      </c>
      <c r="D278" s="150"/>
      <c r="E278" s="81"/>
      <c r="F278" s="73" t="s">
        <v>649</v>
      </c>
      <c r="G278" s="73">
        <v>0</v>
      </c>
      <c r="H278" s="73">
        <v>6</v>
      </c>
      <c r="I278" s="74" t="s">
        <v>641</v>
      </c>
      <c r="J278" s="75" t="s">
        <v>634</v>
      </c>
      <c r="K278" s="74"/>
      <c r="L278" s="82">
        <v>89</v>
      </c>
      <c r="M278" s="138">
        <v>89</v>
      </c>
      <c r="N278" s="138">
        <v>89</v>
      </c>
      <c r="O278" s="138">
        <v>89</v>
      </c>
      <c r="P278" s="138">
        <v>89</v>
      </c>
      <c r="Q278" s="138">
        <v>89</v>
      </c>
      <c r="R278" s="138">
        <v>89</v>
      </c>
      <c r="S278" s="138">
        <v>89</v>
      </c>
      <c r="T278" s="138">
        <v>89</v>
      </c>
      <c r="U278" s="138">
        <v>89</v>
      </c>
      <c r="V278" s="138">
        <v>89</v>
      </c>
      <c r="W278" s="138">
        <v>89</v>
      </c>
      <c r="X278" s="138">
        <v>89</v>
      </c>
      <c r="Y278" s="138">
        <f t="shared" si="213"/>
        <v>89</v>
      </c>
      <c r="Z278" s="138">
        <f t="shared" si="214"/>
        <v>89</v>
      </c>
      <c r="AA278" s="138">
        <f t="shared" si="215"/>
        <v>89</v>
      </c>
      <c r="AB278" s="138">
        <f t="shared" si="216"/>
        <v>89</v>
      </c>
      <c r="AC278" s="138">
        <f t="shared" si="217"/>
        <v>89</v>
      </c>
      <c r="AD278" s="138">
        <f t="shared" si="218"/>
        <v>89</v>
      </c>
      <c r="AE278" s="138">
        <f t="shared" si="219"/>
        <v>89</v>
      </c>
      <c r="AF278" s="138">
        <f t="shared" si="220"/>
        <v>89</v>
      </c>
      <c r="AG278" s="138">
        <f t="shared" si="221"/>
        <v>89</v>
      </c>
      <c r="AH278" s="138">
        <f t="shared" si="222"/>
        <v>89</v>
      </c>
      <c r="AI278" s="138">
        <f t="shared" si="223"/>
        <v>89</v>
      </c>
      <c r="AJ278" s="138">
        <f t="shared" si="224"/>
        <v>89</v>
      </c>
      <c r="AK278" s="138">
        <f t="shared" si="225"/>
        <v>89</v>
      </c>
      <c r="AL278" s="138">
        <f t="shared" si="226"/>
        <v>89</v>
      </c>
      <c r="AM278" s="138">
        <f t="shared" si="227"/>
        <v>89</v>
      </c>
      <c r="AO278" s="77" t="str">
        <f t="shared" si="184"/>
        <v>DS-4 (Large General Service)</v>
      </c>
      <c r="AP278" s="78" t="s">
        <v>642</v>
      </c>
      <c r="AQ278" s="77" t="str">
        <f t="shared" si="185"/>
        <v>Meter Reassignment</v>
      </c>
      <c r="AR278" s="78" t="str">
        <f t="shared" si="186"/>
        <v>Billing Cycle</v>
      </c>
      <c r="AS278" s="79">
        <f t="shared" si="187"/>
        <v>6</v>
      </c>
      <c r="AT278" s="78">
        <f t="shared" si="188"/>
        <v>89</v>
      </c>
      <c r="AU278" s="78">
        <f t="shared" si="189"/>
        <v>89</v>
      </c>
      <c r="AV278" s="78">
        <f t="shared" si="190"/>
        <v>89</v>
      </c>
      <c r="AW278" s="78">
        <f t="shared" si="191"/>
        <v>89</v>
      </c>
      <c r="AX278" s="78">
        <f t="shared" si="192"/>
        <v>89</v>
      </c>
      <c r="AY278" s="78">
        <f t="shared" si="193"/>
        <v>89</v>
      </c>
      <c r="AZ278" s="78">
        <f t="shared" si="194"/>
        <v>89</v>
      </c>
      <c r="BA278" s="78">
        <f t="shared" si="195"/>
        <v>89</v>
      </c>
      <c r="BB278" s="78">
        <f t="shared" si="196"/>
        <v>89</v>
      </c>
      <c r="BC278" s="78">
        <f t="shared" si="197"/>
        <v>89</v>
      </c>
      <c r="BD278" s="78">
        <f t="shared" si="198"/>
        <v>89</v>
      </c>
      <c r="BE278" s="78">
        <f t="shared" si="199"/>
        <v>89</v>
      </c>
      <c r="BF278" s="78">
        <f t="shared" si="200"/>
        <v>89</v>
      </c>
      <c r="BG278" s="78">
        <f t="shared" si="201"/>
        <v>89</v>
      </c>
      <c r="BH278" s="78">
        <f t="shared" si="202"/>
        <v>89</v>
      </c>
      <c r="BI278" s="78">
        <f t="shared" si="203"/>
        <v>89</v>
      </c>
      <c r="BJ278" s="78">
        <f t="shared" si="204"/>
        <v>89</v>
      </c>
      <c r="BK278" s="78">
        <f t="shared" si="205"/>
        <v>89</v>
      </c>
      <c r="BL278" s="78">
        <f t="shared" si="206"/>
        <v>89</v>
      </c>
      <c r="BM278" s="78">
        <f t="shared" si="207"/>
        <v>89</v>
      </c>
      <c r="BN278" s="78">
        <f t="shared" si="208"/>
        <v>89</v>
      </c>
      <c r="BO278" s="78">
        <f t="shared" si="209"/>
        <v>89</v>
      </c>
      <c r="BP278" s="78">
        <f t="shared" si="210"/>
        <v>89</v>
      </c>
      <c r="BQ278" s="78">
        <f t="shared" si="211"/>
        <v>89</v>
      </c>
      <c r="BR278" s="78">
        <f t="shared" si="212"/>
        <v>89</v>
      </c>
      <c r="BS278" s="77"/>
      <c r="BT278" s="77"/>
    </row>
    <row r="279" spans="1:72" ht="14.1" customHeight="1" x14ac:dyDescent="0.2">
      <c r="A279" s="55" t="str">
        <f t="shared" si="183"/>
        <v>DS-6 (DS-3) Temp. Sensitive DS_Meter Reassignment</v>
      </c>
      <c r="B279" s="80" t="s">
        <v>643</v>
      </c>
      <c r="C279" s="71" t="s">
        <v>792</v>
      </c>
      <c r="D279" s="150"/>
      <c r="E279" s="81"/>
      <c r="F279" s="73" t="s">
        <v>649</v>
      </c>
      <c r="G279" s="73">
        <v>0</v>
      </c>
      <c r="H279" s="73">
        <v>6</v>
      </c>
      <c r="I279" s="74" t="s">
        <v>641</v>
      </c>
      <c r="J279" s="75" t="s">
        <v>634</v>
      </c>
      <c r="K279" s="74"/>
      <c r="L279" s="82">
        <v>89</v>
      </c>
      <c r="M279" s="138">
        <v>89</v>
      </c>
      <c r="N279" s="138">
        <v>89</v>
      </c>
      <c r="O279" s="138">
        <v>89</v>
      </c>
      <c r="P279" s="138">
        <v>89</v>
      </c>
      <c r="Q279" s="138">
        <v>89</v>
      </c>
      <c r="R279" s="138">
        <v>89</v>
      </c>
      <c r="S279" s="138">
        <v>89</v>
      </c>
      <c r="T279" s="138">
        <v>89</v>
      </c>
      <c r="U279" s="138">
        <v>89</v>
      </c>
      <c r="V279" s="138">
        <v>89</v>
      </c>
      <c r="W279" s="138">
        <v>89</v>
      </c>
      <c r="X279" s="138">
        <v>89</v>
      </c>
      <c r="Y279" s="138">
        <f t="shared" si="213"/>
        <v>89</v>
      </c>
      <c r="Z279" s="138">
        <f t="shared" si="214"/>
        <v>89</v>
      </c>
      <c r="AA279" s="138">
        <f t="shared" si="215"/>
        <v>89</v>
      </c>
      <c r="AB279" s="138">
        <f t="shared" si="216"/>
        <v>89</v>
      </c>
      <c r="AC279" s="138">
        <f t="shared" si="217"/>
        <v>89</v>
      </c>
      <c r="AD279" s="138">
        <f t="shared" si="218"/>
        <v>89</v>
      </c>
      <c r="AE279" s="138">
        <f t="shared" si="219"/>
        <v>89</v>
      </c>
      <c r="AF279" s="138">
        <f t="shared" si="220"/>
        <v>89</v>
      </c>
      <c r="AG279" s="138">
        <f t="shared" si="221"/>
        <v>89</v>
      </c>
      <c r="AH279" s="138">
        <f t="shared" si="222"/>
        <v>89</v>
      </c>
      <c r="AI279" s="138">
        <f t="shared" si="223"/>
        <v>89</v>
      </c>
      <c r="AJ279" s="138">
        <f t="shared" si="224"/>
        <v>89</v>
      </c>
      <c r="AK279" s="138">
        <f t="shared" si="225"/>
        <v>89</v>
      </c>
      <c r="AL279" s="138">
        <f t="shared" si="226"/>
        <v>89</v>
      </c>
      <c r="AM279" s="138">
        <f t="shared" si="227"/>
        <v>89</v>
      </c>
      <c r="AO279" s="77" t="str">
        <f t="shared" si="184"/>
        <v>DS-6 (DS-3) Temp. Sensitive DS</v>
      </c>
      <c r="AP279" s="78" t="s">
        <v>644</v>
      </c>
      <c r="AQ279" s="77" t="str">
        <f t="shared" si="185"/>
        <v>Meter Reassignment</v>
      </c>
      <c r="AR279" s="78" t="str">
        <f t="shared" si="186"/>
        <v>Billing Cycle</v>
      </c>
      <c r="AS279" s="79">
        <f t="shared" si="187"/>
        <v>6</v>
      </c>
      <c r="AT279" s="78">
        <f t="shared" si="188"/>
        <v>89</v>
      </c>
      <c r="AU279" s="78">
        <f t="shared" si="189"/>
        <v>89</v>
      </c>
      <c r="AV279" s="78">
        <f t="shared" si="190"/>
        <v>89</v>
      </c>
      <c r="AW279" s="78">
        <f t="shared" si="191"/>
        <v>89</v>
      </c>
      <c r="AX279" s="78">
        <f t="shared" si="192"/>
        <v>89</v>
      </c>
      <c r="AY279" s="78">
        <f t="shared" si="193"/>
        <v>89</v>
      </c>
      <c r="AZ279" s="78">
        <f t="shared" si="194"/>
        <v>89</v>
      </c>
      <c r="BA279" s="78">
        <f t="shared" si="195"/>
        <v>89</v>
      </c>
      <c r="BB279" s="78">
        <f t="shared" si="196"/>
        <v>89</v>
      </c>
      <c r="BC279" s="78">
        <f t="shared" si="197"/>
        <v>89</v>
      </c>
      <c r="BD279" s="78">
        <f t="shared" si="198"/>
        <v>89</v>
      </c>
      <c r="BE279" s="78">
        <f t="shared" si="199"/>
        <v>89</v>
      </c>
      <c r="BF279" s="78">
        <f t="shared" si="200"/>
        <v>89</v>
      </c>
      <c r="BG279" s="78">
        <f t="shared" si="201"/>
        <v>89</v>
      </c>
      <c r="BH279" s="78">
        <f t="shared" si="202"/>
        <v>89</v>
      </c>
      <c r="BI279" s="78">
        <f t="shared" si="203"/>
        <v>89</v>
      </c>
      <c r="BJ279" s="78">
        <f t="shared" si="204"/>
        <v>89</v>
      </c>
      <c r="BK279" s="78">
        <f t="shared" si="205"/>
        <v>89</v>
      </c>
      <c r="BL279" s="78">
        <f t="shared" si="206"/>
        <v>89</v>
      </c>
      <c r="BM279" s="78">
        <f t="shared" si="207"/>
        <v>89</v>
      </c>
      <c r="BN279" s="78">
        <f t="shared" si="208"/>
        <v>89</v>
      </c>
      <c r="BO279" s="78">
        <f t="shared" si="209"/>
        <v>89</v>
      </c>
      <c r="BP279" s="78">
        <f t="shared" si="210"/>
        <v>89</v>
      </c>
      <c r="BQ279" s="78">
        <f t="shared" si="211"/>
        <v>89</v>
      </c>
      <c r="BR279" s="78">
        <f t="shared" si="212"/>
        <v>89</v>
      </c>
      <c r="BS279" s="77"/>
      <c r="BT279" s="77"/>
    </row>
    <row r="280" spans="1:72" ht="14.1" customHeight="1" x14ac:dyDescent="0.2">
      <c r="A280" s="55" t="str">
        <f t="shared" si="183"/>
        <v>DS-6 (DS-4) Temp. Sensitive DS_Meter Reassignment</v>
      </c>
      <c r="B280" s="80" t="s">
        <v>645</v>
      </c>
      <c r="C280" s="71" t="s">
        <v>792</v>
      </c>
      <c r="D280" s="150"/>
      <c r="E280" s="81"/>
      <c r="F280" s="73" t="s">
        <v>649</v>
      </c>
      <c r="G280" s="73">
        <v>0</v>
      </c>
      <c r="H280" s="73">
        <v>6</v>
      </c>
      <c r="I280" s="74" t="s">
        <v>641</v>
      </c>
      <c r="J280" s="75" t="s">
        <v>634</v>
      </c>
      <c r="K280" s="74"/>
      <c r="L280" s="82">
        <v>89</v>
      </c>
      <c r="M280" s="138">
        <v>89</v>
      </c>
      <c r="N280" s="138">
        <v>89</v>
      </c>
      <c r="O280" s="138">
        <v>89</v>
      </c>
      <c r="P280" s="138">
        <v>89</v>
      </c>
      <c r="Q280" s="138">
        <v>89</v>
      </c>
      <c r="R280" s="138">
        <v>89</v>
      </c>
      <c r="S280" s="138">
        <v>89</v>
      </c>
      <c r="T280" s="138">
        <v>89</v>
      </c>
      <c r="U280" s="138">
        <v>89</v>
      </c>
      <c r="V280" s="138">
        <v>89</v>
      </c>
      <c r="W280" s="138">
        <v>89</v>
      </c>
      <c r="X280" s="138">
        <v>89</v>
      </c>
      <c r="Y280" s="138">
        <f t="shared" si="213"/>
        <v>89</v>
      </c>
      <c r="Z280" s="138">
        <f t="shared" si="214"/>
        <v>89</v>
      </c>
      <c r="AA280" s="138">
        <f t="shared" si="215"/>
        <v>89</v>
      </c>
      <c r="AB280" s="138">
        <f t="shared" si="216"/>
        <v>89</v>
      </c>
      <c r="AC280" s="138">
        <f t="shared" si="217"/>
        <v>89</v>
      </c>
      <c r="AD280" s="138">
        <f t="shared" si="218"/>
        <v>89</v>
      </c>
      <c r="AE280" s="138">
        <f t="shared" si="219"/>
        <v>89</v>
      </c>
      <c r="AF280" s="138">
        <f t="shared" si="220"/>
        <v>89</v>
      </c>
      <c r="AG280" s="138">
        <f t="shared" si="221"/>
        <v>89</v>
      </c>
      <c r="AH280" s="138">
        <f t="shared" si="222"/>
        <v>89</v>
      </c>
      <c r="AI280" s="138">
        <f t="shared" si="223"/>
        <v>89</v>
      </c>
      <c r="AJ280" s="138">
        <f t="shared" si="224"/>
        <v>89</v>
      </c>
      <c r="AK280" s="138">
        <f t="shared" si="225"/>
        <v>89</v>
      </c>
      <c r="AL280" s="138">
        <f t="shared" si="226"/>
        <v>89</v>
      </c>
      <c r="AM280" s="138">
        <f t="shared" si="227"/>
        <v>89</v>
      </c>
      <c r="AO280" s="77" t="str">
        <f t="shared" si="184"/>
        <v>DS-6 (DS-4) Temp. Sensitive DS</v>
      </c>
      <c r="AP280" s="78" t="s">
        <v>646</v>
      </c>
      <c r="AQ280" s="77" t="str">
        <f t="shared" si="185"/>
        <v>Meter Reassignment</v>
      </c>
      <c r="AR280" s="78" t="str">
        <f t="shared" si="186"/>
        <v>Billing Cycle</v>
      </c>
      <c r="AS280" s="79">
        <f t="shared" si="187"/>
        <v>6</v>
      </c>
      <c r="AT280" s="78">
        <f t="shared" si="188"/>
        <v>89</v>
      </c>
      <c r="AU280" s="78">
        <f t="shared" si="189"/>
        <v>89</v>
      </c>
      <c r="AV280" s="78">
        <f t="shared" si="190"/>
        <v>89</v>
      </c>
      <c r="AW280" s="78">
        <f t="shared" si="191"/>
        <v>89</v>
      </c>
      <c r="AX280" s="78">
        <f t="shared" si="192"/>
        <v>89</v>
      </c>
      <c r="AY280" s="78">
        <f t="shared" si="193"/>
        <v>89</v>
      </c>
      <c r="AZ280" s="78">
        <f t="shared" si="194"/>
        <v>89</v>
      </c>
      <c r="BA280" s="78">
        <f t="shared" si="195"/>
        <v>89</v>
      </c>
      <c r="BB280" s="78">
        <f t="shared" si="196"/>
        <v>89</v>
      </c>
      <c r="BC280" s="78">
        <f t="shared" si="197"/>
        <v>89</v>
      </c>
      <c r="BD280" s="78">
        <f t="shared" si="198"/>
        <v>89</v>
      </c>
      <c r="BE280" s="78">
        <f t="shared" si="199"/>
        <v>89</v>
      </c>
      <c r="BF280" s="78">
        <f t="shared" si="200"/>
        <v>89</v>
      </c>
      <c r="BG280" s="78">
        <f t="shared" si="201"/>
        <v>89</v>
      </c>
      <c r="BH280" s="78">
        <f t="shared" si="202"/>
        <v>89</v>
      </c>
      <c r="BI280" s="78">
        <f t="shared" si="203"/>
        <v>89</v>
      </c>
      <c r="BJ280" s="78">
        <f t="shared" si="204"/>
        <v>89</v>
      </c>
      <c r="BK280" s="78">
        <f t="shared" si="205"/>
        <v>89</v>
      </c>
      <c r="BL280" s="78">
        <f t="shared" si="206"/>
        <v>89</v>
      </c>
      <c r="BM280" s="78">
        <f t="shared" si="207"/>
        <v>89</v>
      </c>
      <c r="BN280" s="78">
        <f t="shared" si="208"/>
        <v>89</v>
      </c>
      <c r="BO280" s="78">
        <f t="shared" si="209"/>
        <v>89</v>
      </c>
      <c r="BP280" s="78">
        <f t="shared" si="210"/>
        <v>89</v>
      </c>
      <c r="BQ280" s="78">
        <f t="shared" si="211"/>
        <v>89</v>
      </c>
      <c r="BR280" s="78">
        <f t="shared" si="212"/>
        <v>89</v>
      </c>
      <c r="BS280" s="77"/>
      <c r="BT280" s="77"/>
    </row>
    <row r="281" spans="1:72" ht="14.1" customHeight="1" x14ac:dyDescent="0.2">
      <c r="A281" s="55" t="str">
        <f t="shared" si="183"/>
        <v>GDS-1 (Residential)_Non-Commodity Gas Charge (NCGC)</v>
      </c>
      <c r="B281" s="80" t="s">
        <v>95</v>
      </c>
      <c r="C281" s="83" t="s">
        <v>793</v>
      </c>
      <c r="D281" s="150" t="s">
        <v>603</v>
      </c>
      <c r="E281" s="81"/>
      <c r="F281" s="84" t="s">
        <v>640</v>
      </c>
      <c r="G281" s="84">
        <v>0</v>
      </c>
      <c r="H281" s="84">
        <v>6</v>
      </c>
      <c r="I281" s="74" t="s">
        <v>699</v>
      </c>
      <c r="J281" s="75" t="s">
        <v>634</v>
      </c>
      <c r="K281" s="74"/>
      <c r="L281" s="82">
        <v>5.6099999999999997E-2</v>
      </c>
      <c r="M281" s="138">
        <v>5.5599999999999997E-2</v>
      </c>
      <c r="N281" s="138">
        <v>0.10730000000000001</v>
      </c>
      <c r="O281" s="138">
        <v>8.0799999999999997E-2</v>
      </c>
      <c r="P281" s="138">
        <v>0.10730000000000001</v>
      </c>
      <c r="Q281" s="138">
        <v>9.9599999999999994E-2</v>
      </c>
      <c r="R281" s="138">
        <v>0.1084</v>
      </c>
      <c r="S281" s="138">
        <v>0.1174</v>
      </c>
      <c r="T281" s="138">
        <v>0.11849999999999999</v>
      </c>
      <c r="U281" s="138">
        <v>0.1028</v>
      </c>
      <c r="V281" s="138">
        <v>8.1799999999999998E-2</v>
      </c>
      <c r="W281" s="138">
        <v>8.1799999999999998E-2</v>
      </c>
      <c r="X281" s="138">
        <v>8.1799999999999998E-2</v>
      </c>
      <c r="Y281" s="138">
        <f t="shared" si="213"/>
        <v>8.1799999999999998E-2</v>
      </c>
      <c r="Z281" s="138">
        <f t="shared" si="214"/>
        <v>8.1799999999999998E-2</v>
      </c>
      <c r="AA281" s="138">
        <f t="shared" si="215"/>
        <v>8.1799999999999998E-2</v>
      </c>
      <c r="AB281" s="138">
        <f t="shared" si="216"/>
        <v>8.1799999999999998E-2</v>
      </c>
      <c r="AC281" s="138">
        <f t="shared" si="217"/>
        <v>8.1799999999999998E-2</v>
      </c>
      <c r="AD281" s="138">
        <f t="shared" si="218"/>
        <v>8.1799999999999998E-2</v>
      </c>
      <c r="AE281" s="138">
        <f t="shared" si="219"/>
        <v>8.1799999999999998E-2</v>
      </c>
      <c r="AF281" s="138">
        <f t="shared" si="220"/>
        <v>8.1799999999999998E-2</v>
      </c>
      <c r="AG281" s="138">
        <f t="shared" si="221"/>
        <v>8.1799999999999998E-2</v>
      </c>
      <c r="AH281" s="138">
        <f t="shared" si="222"/>
        <v>8.1799999999999998E-2</v>
      </c>
      <c r="AI281" s="138">
        <f t="shared" si="223"/>
        <v>8.1799999999999998E-2</v>
      </c>
      <c r="AJ281" s="138">
        <f t="shared" si="224"/>
        <v>8.1799999999999998E-2</v>
      </c>
      <c r="AK281" s="138">
        <f t="shared" si="225"/>
        <v>8.1799999999999998E-2</v>
      </c>
      <c r="AL281" s="138">
        <f t="shared" si="226"/>
        <v>8.1799999999999998E-2</v>
      </c>
      <c r="AM281" s="138">
        <f t="shared" si="227"/>
        <v>8.9620833333333372E-2</v>
      </c>
      <c r="AO281" s="77" t="str">
        <f t="shared" si="184"/>
        <v>GDS-1 (Residential)</v>
      </c>
      <c r="AP281" s="78" t="s">
        <v>668</v>
      </c>
      <c r="AQ281" s="77" t="str">
        <f t="shared" si="185"/>
        <v>Non-Commodity Gas Charge (NCGC)</v>
      </c>
      <c r="AR281" s="78" t="str">
        <f t="shared" si="186"/>
        <v>Prorated</v>
      </c>
      <c r="AS281" s="79">
        <f t="shared" si="187"/>
        <v>6</v>
      </c>
      <c r="AT281" s="78">
        <f t="shared" si="188"/>
        <v>0</v>
      </c>
      <c r="AU281" s="78">
        <f t="shared" si="189"/>
        <v>5.5599999999999997E-2</v>
      </c>
      <c r="AV281" s="78">
        <f t="shared" si="190"/>
        <v>0.10730000000000001</v>
      </c>
      <c r="AW281" s="78">
        <f t="shared" si="191"/>
        <v>8.0799999999999997E-2</v>
      </c>
      <c r="AX281" s="78">
        <f t="shared" si="192"/>
        <v>0.10730000000000001</v>
      </c>
      <c r="AY281" s="78">
        <f t="shared" si="193"/>
        <v>9.9599999999999994E-2</v>
      </c>
      <c r="AZ281" s="78">
        <f t="shared" si="194"/>
        <v>0.1084</v>
      </c>
      <c r="BA281" s="78">
        <f t="shared" si="195"/>
        <v>0.1174</v>
      </c>
      <c r="BB281" s="78">
        <f t="shared" si="196"/>
        <v>0.11849999999999999</v>
      </c>
      <c r="BC281" s="78">
        <f t="shared" si="197"/>
        <v>0.1028</v>
      </c>
      <c r="BD281" s="78">
        <f t="shared" si="198"/>
        <v>8.1799999999999998E-2</v>
      </c>
      <c r="BE281" s="78">
        <f t="shared" si="199"/>
        <v>8.1799999999999998E-2</v>
      </c>
      <c r="BF281" s="78">
        <f t="shared" si="200"/>
        <v>8.1799999999999998E-2</v>
      </c>
      <c r="BG281" s="78">
        <f t="shared" si="201"/>
        <v>8.1799999999999998E-2</v>
      </c>
      <c r="BH281" s="78">
        <f t="shared" si="202"/>
        <v>8.1799999999999998E-2</v>
      </c>
      <c r="BI281" s="78">
        <f t="shared" si="203"/>
        <v>8.1799999999999998E-2</v>
      </c>
      <c r="BJ281" s="78">
        <f t="shared" si="204"/>
        <v>8.1799999999999998E-2</v>
      </c>
      <c r="BK281" s="78">
        <f t="shared" si="205"/>
        <v>8.1799999999999998E-2</v>
      </c>
      <c r="BL281" s="78">
        <f t="shared" si="206"/>
        <v>8.1799999999999998E-2</v>
      </c>
      <c r="BM281" s="78">
        <f t="shared" si="207"/>
        <v>8.1799999999999998E-2</v>
      </c>
      <c r="BN281" s="78">
        <f t="shared" si="208"/>
        <v>8.1799999999999998E-2</v>
      </c>
      <c r="BO281" s="78">
        <f t="shared" si="209"/>
        <v>8.1799999999999998E-2</v>
      </c>
      <c r="BP281" s="78">
        <f t="shared" si="210"/>
        <v>8.1799999999999998E-2</v>
      </c>
      <c r="BQ281" s="78">
        <f t="shared" si="211"/>
        <v>8.1799999999999998E-2</v>
      </c>
      <c r="BR281" s="78">
        <f t="shared" si="212"/>
        <v>8.1799999999999998E-2</v>
      </c>
      <c r="BS281" s="77"/>
      <c r="BT281" s="77"/>
    </row>
    <row r="282" spans="1:72" ht="14.1" customHeight="1" x14ac:dyDescent="0.2">
      <c r="A282" s="55" t="str">
        <f t="shared" si="183"/>
        <v>GDS-2 (Small General Delivery)_Non-Commodity Gas Charge (NCGC)</v>
      </c>
      <c r="B282" s="80" t="s">
        <v>669</v>
      </c>
      <c r="C282" s="83" t="s">
        <v>793</v>
      </c>
      <c r="D282" s="150"/>
      <c r="E282" s="81"/>
      <c r="F282" s="84" t="s">
        <v>640</v>
      </c>
      <c r="G282" s="84">
        <v>0</v>
      </c>
      <c r="H282" s="84">
        <v>6</v>
      </c>
      <c r="I282" s="74" t="s">
        <v>699</v>
      </c>
      <c r="J282" s="75" t="s">
        <v>634</v>
      </c>
      <c r="K282" s="74"/>
      <c r="L282" s="82">
        <v>5.6099999999999997E-2</v>
      </c>
      <c r="M282" s="138">
        <v>5.5599999999999997E-2</v>
      </c>
      <c r="N282" s="138">
        <v>0.10730000000000001</v>
      </c>
      <c r="O282" s="138">
        <v>8.0799999999999997E-2</v>
      </c>
      <c r="P282" s="138">
        <v>0.10730000000000001</v>
      </c>
      <c r="Q282" s="138">
        <v>9.9599999999999994E-2</v>
      </c>
      <c r="R282" s="138">
        <v>0.1084</v>
      </c>
      <c r="S282" s="138">
        <v>0.1174</v>
      </c>
      <c r="T282" s="138">
        <v>0.11849999999999999</v>
      </c>
      <c r="U282" s="138">
        <v>0.1028</v>
      </c>
      <c r="V282" s="138">
        <v>8.1799999999999998E-2</v>
      </c>
      <c r="W282" s="138">
        <v>8.1799999999999998E-2</v>
      </c>
      <c r="X282" s="138">
        <v>8.1799999999999998E-2</v>
      </c>
      <c r="Y282" s="138">
        <f t="shared" si="213"/>
        <v>8.1799999999999998E-2</v>
      </c>
      <c r="Z282" s="138">
        <f t="shared" si="214"/>
        <v>8.1799999999999998E-2</v>
      </c>
      <c r="AA282" s="138">
        <f t="shared" si="215"/>
        <v>8.1799999999999998E-2</v>
      </c>
      <c r="AB282" s="138">
        <f t="shared" si="216"/>
        <v>8.1799999999999998E-2</v>
      </c>
      <c r="AC282" s="138">
        <f t="shared" si="217"/>
        <v>8.1799999999999998E-2</v>
      </c>
      <c r="AD282" s="138">
        <f t="shared" si="218"/>
        <v>8.1799999999999998E-2</v>
      </c>
      <c r="AE282" s="138">
        <f t="shared" si="219"/>
        <v>8.1799999999999998E-2</v>
      </c>
      <c r="AF282" s="138">
        <f t="shared" si="220"/>
        <v>8.1799999999999998E-2</v>
      </c>
      <c r="AG282" s="138">
        <f t="shared" si="221"/>
        <v>8.1799999999999998E-2</v>
      </c>
      <c r="AH282" s="138">
        <f t="shared" si="222"/>
        <v>8.1799999999999998E-2</v>
      </c>
      <c r="AI282" s="138">
        <f t="shared" si="223"/>
        <v>8.1799999999999998E-2</v>
      </c>
      <c r="AJ282" s="138">
        <f t="shared" si="224"/>
        <v>8.1799999999999998E-2</v>
      </c>
      <c r="AK282" s="138">
        <f t="shared" si="225"/>
        <v>8.1799999999999998E-2</v>
      </c>
      <c r="AL282" s="138">
        <f t="shared" si="226"/>
        <v>8.1799999999999998E-2</v>
      </c>
      <c r="AM282" s="138">
        <f t="shared" si="227"/>
        <v>8.9620833333333372E-2</v>
      </c>
      <c r="AO282" s="77" t="str">
        <f t="shared" si="184"/>
        <v>GDS-2 (Small General Delivery)</v>
      </c>
      <c r="AP282" s="78" t="s">
        <v>670</v>
      </c>
      <c r="AQ282" s="77" t="str">
        <f t="shared" si="185"/>
        <v>Non-Commodity Gas Charge (NCGC)</v>
      </c>
      <c r="AR282" s="78" t="str">
        <f t="shared" si="186"/>
        <v>Prorated</v>
      </c>
      <c r="AS282" s="79">
        <f t="shared" si="187"/>
        <v>6</v>
      </c>
      <c r="AT282" s="78">
        <f t="shared" si="188"/>
        <v>0</v>
      </c>
      <c r="AU282" s="78">
        <f t="shared" si="189"/>
        <v>5.5599999999999997E-2</v>
      </c>
      <c r="AV282" s="78">
        <f t="shared" si="190"/>
        <v>0.10730000000000001</v>
      </c>
      <c r="AW282" s="78">
        <f t="shared" si="191"/>
        <v>8.0799999999999997E-2</v>
      </c>
      <c r="AX282" s="78">
        <f t="shared" si="192"/>
        <v>0.10730000000000001</v>
      </c>
      <c r="AY282" s="78">
        <f t="shared" si="193"/>
        <v>9.9599999999999994E-2</v>
      </c>
      <c r="AZ282" s="78">
        <f t="shared" si="194"/>
        <v>0.1084</v>
      </c>
      <c r="BA282" s="78">
        <f t="shared" si="195"/>
        <v>0.1174</v>
      </c>
      <c r="BB282" s="78">
        <f t="shared" si="196"/>
        <v>0.11849999999999999</v>
      </c>
      <c r="BC282" s="78">
        <f t="shared" si="197"/>
        <v>0.1028</v>
      </c>
      <c r="BD282" s="78">
        <f t="shared" si="198"/>
        <v>8.1799999999999998E-2</v>
      </c>
      <c r="BE282" s="78">
        <f t="shared" si="199"/>
        <v>8.1799999999999998E-2</v>
      </c>
      <c r="BF282" s="78">
        <f t="shared" si="200"/>
        <v>8.1799999999999998E-2</v>
      </c>
      <c r="BG282" s="78">
        <f t="shared" si="201"/>
        <v>8.1799999999999998E-2</v>
      </c>
      <c r="BH282" s="78">
        <f t="shared" si="202"/>
        <v>8.1799999999999998E-2</v>
      </c>
      <c r="BI282" s="78">
        <f t="shared" si="203"/>
        <v>8.1799999999999998E-2</v>
      </c>
      <c r="BJ282" s="78">
        <f t="shared" si="204"/>
        <v>8.1799999999999998E-2</v>
      </c>
      <c r="BK282" s="78">
        <f t="shared" si="205"/>
        <v>8.1799999999999998E-2</v>
      </c>
      <c r="BL282" s="78">
        <f t="shared" si="206"/>
        <v>8.1799999999999998E-2</v>
      </c>
      <c r="BM282" s="78">
        <f t="shared" si="207"/>
        <v>8.1799999999999998E-2</v>
      </c>
      <c r="BN282" s="78">
        <f t="shared" si="208"/>
        <v>8.1799999999999998E-2</v>
      </c>
      <c r="BO282" s="78">
        <f t="shared" si="209"/>
        <v>8.1799999999999998E-2</v>
      </c>
      <c r="BP282" s="78">
        <f t="shared" si="210"/>
        <v>8.1799999999999998E-2</v>
      </c>
      <c r="BQ282" s="78">
        <f t="shared" si="211"/>
        <v>8.1799999999999998E-2</v>
      </c>
      <c r="BR282" s="78">
        <f t="shared" si="212"/>
        <v>8.1799999999999998E-2</v>
      </c>
      <c r="BS282" s="77"/>
      <c r="BT282" s="77"/>
    </row>
    <row r="283" spans="1:72" ht="14.1" customHeight="1" x14ac:dyDescent="0.2">
      <c r="A283" s="55" t="str">
        <f t="shared" si="183"/>
        <v>GDS-3 (Intermediate General Delivery)_Non-Commodity Gas Charge (NCGC)</v>
      </c>
      <c r="B283" s="80" t="s">
        <v>671</v>
      </c>
      <c r="C283" s="83" t="s">
        <v>793</v>
      </c>
      <c r="D283" s="150"/>
      <c r="E283" s="81"/>
      <c r="F283" s="84" t="s">
        <v>640</v>
      </c>
      <c r="G283" s="84">
        <v>0</v>
      </c>
      <c r="H283" s="84">
        <v>6</v>
      </c>
      <c r="I283" s="74" t="s">
        <v>699</v>
      </c>
      <c r="J283" s="75" t="s">
        <v>634</v>
      </c>
      <c r="K283" s="74"/>
      <c r="L283" s="82">
        <v>5.6099999999999997E-2</v>
      </c>
      <c r="M283" s="138">
        <v>5.5599999999999997E-2</v>
      </c>
      <c r="N283" s="138">
        <v>0.10730000000000001</v>
      </c>
      <c r="O283" s="138">
        <v>8.0799999999999997E-2</v>
      </c>
      <c r="P283" s="138">
        <v>0.10730000000000001</v>
      </c>
      <c r="Q283" s="138">
        <v>9.9599999999999994E-2</v>
      </c>
      <c r="R283" s="138">
        <v>0.1084</v>
      </c>
      <c r="S283" s="138">
        <v>0.1174</v>
      </c>
      <c r="T283" s="138">
        <v>0.11849999999999999</v>
      </c>
      <c r="U283" s="138">
        <v>0.1028</v>
      </c>
      <c r="V283" s="138">
        <v>8.1799999999999998E-2</v>
      </c>
      <c r="W283" s="138">
        <v>8.1799999999999998E-2</v>
      </c>
      <c r="X283" s="138">
        <v>8.1799999999999998E-2</v>
      </c>
      <c r="Y283" s="138">
        <f t="shared" si="213"/>
        <v>8.1799999999999998E-2</v>
      </c>
      <c r="Z283" s="138">
        <f t="shared" si="214"/>
        <v>8.1799999999999998E-2</v>
      </c>
      <c r="AA283" s="138">
        <f t="shared" si="215"/>
        <v>8.1799999999999998E-2</v>
      </c>
      <c r="AB283" s="138">
        <f t="shared" si="216"/>
        <v>8.1799999999999998E-2</v>
      </c>
      <c r="AC283" s="138">
        <f t="shared" si="217"/>
        <v>8.1799999999999998E-2</v>
      </c>
      <c r="AD283" s="138">
        <f t="shared" si="218"/>
        <v>8.1799999999999998E-2</v>
      </c>
      <c r="AE283" s="138">
        <f t="shared" si="219"/>
        <v>8.1799999999999998E-2</v>
      </c>
      <c r="AF283" s="138">
        <f t="shared" si="220"/>
        <v>8.1799999999999998E-2</v>
      </c>
      <c r="AG283" s="138">
        <f t="shared" si="221"/>
        <v>8.1799999999999998E-2</v>
      </c>
      <c r="AH283" s="138">
        <f t="shared" si="222"/>
        <v>8.1799999999999998E-2</v>
      </c>
      <c r="AI283" s="138">
        <f t="shared" si="223"/>
        <v>8.1799999999999998E-2</v>
      </c>
      <c r="AJ283" s="138">
        <f t="shared" si="224"/>
        <v>8.1799999999999998E-2</v>
      </c>
      <c r="AK283" s="138">
        <f t="shared" si="225"/>
        <v>8.1799999999999998E-2</v>
      </c>
      <c r="AL283" s="138">
        <f t="shared" si="226"/>
        <v>8.1799999999999998E-2</v>
      </c>
      <c r="AM283" s="138">
        <f t="shared" si="227"/>
        <v>8.9620833333333372E-2</v>
      </c>
      <c r="AO283" s="77" t="str">
        <f t="shared" si="184"/>
        <v>GDS-3 (Intermediate General Delivery)</v>
      </c>
      <c r="AP283" s="78" t="s">
        <v>672</v>
      </c>
      <c r="AQ283" s="77" t="str">
        <f t="shared" si="185"/>
        <v>Non-Commodity Gas Charge (NCGC)</v>
      </c>
      <c r="AR283" s="78" t="str">
        <f t="shared" si="186"/>
        <v>Prorated</v>
      </c>
      <c r="AS283" s="79">
        <f t="shared" si="187"/>
        <v>6</v>
      </c>
      <c r="AT283" s="78">
        <f t="shared" si="188"/>
        <v>0</v>
      </c>
      <c r="AU283" s="78">
        <f t="shared" si="189"/>
        <v>5.5599999999999997E-2</v>
      </c>
      <c r="AV283" s="78">
        <f t="shared" si="190"/>
        <v>0.10730000000000001</v>
      </c>
      <c r="AW283" s="78">
        <f t="shared" si="191"/>
        <v>8.0799999999999997E-2</v>
      </c>
      <c r="AX283" s="78">
        <f t="shared" si="192"/>
        <v>0.10730000000000001</v>
      </c>
      <c r="AY283" s="78">
        <f t="shared" si="193"/>
        <v>9.9599999999999994E-2</v>
      </c>
      <c r="AZ283" s="78">
        <f t="shared" si="194"/>
        <v>0.1084</v>
      </c>
      <c r="BA283" s="78">
        <f t="shared" si="195"/>
        <v>0.1174</v>
      </c>
      <c r="BB283" s="78">
        <f t="shared" si="196"/>
        <v>0.11849999999999999</v>
      </c>
      <c r="BC283" s="78">
        <f t="shared" si="197"/>
        <v>0.1028</v>
      </c>
      <c r="BD283" s="78">
        <f t="shared" si="198"/>
        <v>8.1799999999999998E-2</v>
      </c>
      <c r="BE283" s="78">
        <f t="shared" si="199"/>
        <v>8.1799999999999998E-2</v>
      </c>
      <c r="BF283" s="78">
        <f t="shared" si="200"/>
        <v>8.1799999999999998E-2</v>
      </c>
      <c r="BG283" s="78">
        <f t="shared" si="201"/>
        <v>8.1799999999999998E-2</v>
      </c>
      <c r="BH283" s="78">
        <f t="shared" si="202"/>
        <v>8.1799999999999998E-2</v>
      </c>
      <c r="BI283" s="78">
        <f t="shared" si="203"/>
        <v>8.1799999999999998E-2</v>
      </c>
      <c r="BJ283" s="78">
        <f t="shared" si="204"/>
        <v>8.1799999999999998E-2</v>
      </c>
      <c r="BK283" s="78">
        <f t="shared" si="205"/>
        <v>8.1799999999999998E-2</v>
      </c>
      <c r="BL283" s="78">
        <f t="shared" si="206"/>
        <v>8.1799999999999998E-2</v>
      </c>
      <c r="BM283" s="78">
        <f t="shared" si="207"/>
        <v>8.1799999999999998E-2</v>
      </c>
      <c r="BN283" s="78">
        <f t="shared" si="208"/>
        <v>8.1799999999999998E-2</v>
      </c>
      <c r="BO283" s="78">
        <f t="shared" si="209"/>
        <v>8.1799999999999998E-2</v>
      </c>
      <c r="BP283" s="78">
        <f t="shared" si="210"/>
        <v>8.1799999999999998E-2</v>
      </c>
      <c r="BQ283" s="78">
        <f t="shared" si="211"/>
        <v>8.1799999999999998E-2</v>
      </c>
      <c r="BR283" s="78">
        <f t="shared" si="212"/>
        <v>8.1799999999999998E-2</v>
      </c>
      <c r="BS283" s="77"/>
      <c r="BT283" s="77"/>
    </row>
    <row r="284" spans="1:72" ht="14.1" customHeight="1" x14ac:dyDescent="0.2">
      <c r="A284" s="55" t="str">
        <f t="shared" si="183"/>
        <v>DS-2 Optional (Small General Service)_OPT Avg Base Uncollectible</v>
      </c>
      <c r="B284" s="80" t="s">
        <v>663</v>
      </c>
      <c r="C284" s="83" t="s">
        <v>794</v>
      </c>
      <c r="D284" s="150"/>
      <c r="E284" s="81"/>
      <c r="F284" s="73" t="s">
        <v>649</v>
      </c>
      <c r="G284" s="73">
        <v>0</v>
      </c>
      <c r="H284" s="73">
        <v>6</v>
      </c>
      <c r="I284" s="74" t="s">
        <v>641</v>
      </c>
      <c r="J284" s="75" t="s">
        <v>634</v>
      </c>
      <c r="K284" s="74"/>
      <c r="L284" s="82">
        <v>0</v>
      </c>
      <c r="M284" s="138">
        <v>0.04</v>
      </c>
      <c r="N284" s="138">
        <v>0.04</v>
      </c>
      <c r="O284" s="138">
        <v>0.04</v>
      </c>
      <c r="P284" s="138">
        <v>0.04</v>
      </c>
      <c r="Q284" s="138">
        <v>0.04</v>
      </c>
      <c r="R284" s="138">
        <v>0.04</v>
      </c>
      <c r="S284" s="138">
        <v>0.04</v>
      </c>
      <c r="T284" s="138">
        <v>0.04</v>
      </c>
      <c r="U284" s="138">
        <v>0.04</v>
      </c>
      <c r="V284" s="138">
        <v>0.04</v>
      </c>
      <c r="W284" s="138">
        <v>0.04</v>
      </c>
      <c r="X284" s="138">
        <v>0.04</v>
      </c>
      <c r="Y284" s="138">
        <f t="shared" si="213"/>
        <v>0.04</v>
      </c>
      <c r="Z284" s="138">
        <f t="shared" si="214"/>
        <v>0.04</v>
      </c>
      <c r="AA284" s="138">
        <f t="shared" si="215"/>
        <v>0.04</v>
      </c>
      <c r="AB284" s="138">
        <f t="shared" si="216"/>
        <v>0.04</v>
      </c>
      <c r="AC284" s="138">
        <f t="shared" si="217"/>
        <v>0.04</v>
      </c>
      <c r="AD284" s="138">
        <f t="shared" si="218"/>
        <v>0.04</v>
      </c>
      <c r="AE284" s="138">
        <f t="shared" si="219"/>
        <v>0.04</v>
      </c>
      <c r="AF284" s="138">
        <f t="shared" si="220"/>
        <v>0.04</v>
      </c>
      <c r="AG284" s="138">
        <f t="shared" si="221"/>
        <v>0.04</v>
      </c>
      <c r="AH284" s="138">
        <f t="shared" si="222"/>
        <v>0.04</v>
      </c>
      <c r="AI284" s="138">
        <f t="shared" si="223"/>
        <v>0.04</v>
      </c>
      <c r="AJ284" s="138">
        <f t="shared" si="224"/>
        <v>0.04</v>
      </c>
      <c r="AK284" s="138">
        <f t="shared" si="225"/>
        <v>0.04</v>
      </c>
      <c r="AL284" s="138">
        <f t="shared" si="226"/>
        <v>3.9999999999999994E-2</v>
      </c>
      <c r="AM284" s="138">
        <f t="shared" si="227"/>
        <v>4.0000000000000015E-2</v>
      </c>
      <c r="AO284" s="77" t="str">
        <f t="shared" si="184"/>
        <v>DS-2 Optional (Small General Service)</v>
      </c>
      <c r="AP284" s="78" t="s">
        <v>664</v>
      </c>
      <c r="AQ284" s="77" t="str">
        <f t="shared" si="185"/>
        <v>OPT Avg Base Uncollectible</v>
      </c>
      <c r="AR284" s="78" t="str">
        <f t="shared" si="186"/>
        <v>Billing Cycle</v>
      </c>
      <c r="AS284" s="79">
        <f t="shared" si="187"/>
        <v>6</v>
      </c>
      <c r="AT284" s="78">
        <f t="shared" si="188"/>
        <v>0</v>
      </c>
      <c r="AU284" s="78">
        <f t="shared" si="189"/>
        <v>0.04</v>
      </c>
      <c r="AV284" s="78">
        <f t="shared" si="190"/>
        <v>0.04</v>
      </c>
      <c r="AW284" s="78">
        <f t="shared" si="191"/>
        <v>0.04</v>
      </c>
      <c r="AX284" s="78">
        <f t="shared" si="192"/>
        <v>0.04</v>
      </c>
      <c r="AY284" s="78">
        <f t="shared" si="193"/>
        <v>0.04</v>
      </c>
      <c r="AZ284" s="78">
        <f t="shared" si="194"/>
        <v>0.04</v>
      </c>
      <c r="BA284" s="78">
        <f t="shared" si="195"/>
        <v>0.04</v>
      </c>
      <c r="BB284" s="78">
        <f t="shared" si="196"/>
        <v>0.04</v>
      </c>
      <c r="BC284" s="78">
        <f t="shared" si="197"/>
        <v>0.04</v>
      </c>
      <c r="BD284" s="78">
        <f t="shared" si="198"/>
        <v>0.04</v>
      </c>
      <c r="BE284" s="78">
        <f t="shared" si="199"/>
        <v>0.04</v>
      </c>
      <c r="BF284" s="78">
        <f t="shared" si="200"/>
        <v>0.04</v>
      </c>
      <c r="BG284" s="78">
        <f t="shared" si="201"/>
        <v>0.04</v>
      </c>
      <c r="BH284" s="78">
        <f t="shared" si="202"/>
        <v>0.04</v>
      </c>
      <c r="BI284" s="78">
        <f t="shared" si="203"/>
        <v>0.04</v>
      </c>
      <c r="BJ284" s="78">
        <f t="shared" si="204"/>
        <v>0.04</v>
      </c>
      <c r="BK284" s="78">
        <f t="shared" si="205"/>
        <v>0.04</v>
      </c>
      <c r="BL284" s="78">
        <f t="shared" si="206"/>
        <v>0.04</v>
      </c>
      <c r="BM284" s="78">
        <f t="shared" si="207"/>
        <v>0.04</v>
      </c>
      <c r="BN284" s="78">
        <f t="shared" si="208"/>
        <v>0.04</v>
      </c>
      <c r="BO284" s="78">
        <f t="shared" si="209"/>
        <v>0.04</v>
      </c>
      <c r="BP284" s="78">
        <f t="shared" si="210"/>
        <v>0.04</v>
      </c>
      <c r="BQ284" s="78">
        <f t="shared" si="211"/>
        <v>0.04</v>
      </c>
      <c r="BR284" s="78">
        <f t="shared" si="212"/>
        <v>0.04</v>
      </c>
      <c r="BS284" s="77"/>
      <c r="BT284" s="77"/>
    </row>
    <row r="285" spans="1:72" ht="14.1" customHeight="1" x14ac:dyDescent="0.2">
      <c r="A285" s="55" t="str">
        <f t="shared" si="183"/>
        <v>DS-2 Optional (Small General Service)_OPT Customer Charge 100 kV</v>
      </c>
      <c r="B285" s="80" t="s">
        <v>663</v>
      </c>
      <c r="C285" s="83" t="s">
        <v>795</v>
      </c>
      <c r="D285" s="150"/>
      <c r="E285" s="81"/>
      <c r="F285" s="73" t="s">
        <v>649</v>
      </c>
      <c r="G285" s="73">
        <v>0</v>
      </c>
      <c r="H285" s="73">
        <v>6</v>
      </c>
      <c r="I285" s="74" t="s">
        <v>641</v>
      </c>
      <c r="J285" s="75" t="s">
        <v>634</v>
      </c>
      <c r="K285" s="74"/>
      <c r="L285" s="82">
        <v>634.78</v>
      </c>
      <c r="M285" s="138">
        <v>649.96</v>
      </c>
      <c r="N285" s="138">
        <v>649.96</v>
      </c>
      <c r="O285" s="138">
        <v>649.96</v>
      </c>
      <c r="P285" s="138">
        <v>649.96</v>
      </c>
      <c r="Q285" s="138">
        <v>649.96</v>
      </c>
      <c r="R285" s="138">
        <v>649.96</v>
      </c>
      <c r="S285" s="138">
        <v>679.96</v>
      </c>
      <c r="T285" s="138">
        <v>679.96</v>
      </c>
      <c r="U285" s="138">
        <v>679.96</v>
      </c>
      <c r="V285" s="138">
        <v>679.96</v>
      </c>
      <c r="W285" s="138">
        <v>679.96</v>
      </c>
      <c r="X285" s="138">
        <v>679.96</v>
      </c>
      <c r="Y285" s="138">
        <f t="shared" si="213"/>
        <v>679.96</v>
      </c>
      <c r="Z285" s="138">
        <f t="shared" si="214"/>
        <v>679.96</v>
      </c>
      <c r="AA285" s="138">
        <f t="shared" si="215"/>
        <v>679.96</v>
      </c>
      <c r="AB285" s="138">
        <f t="shared" si="216"/>
        <v>679.96</v>
      </c>
      <c r="AC285" s="138">
        <f t="shared" si="217"/>
        <v>679.96</v>
      </c>
      <c r="AD285" s="138">
        <f t="shared" si="218"/>
        <v>679.96</v>
      </c>
      <c r="AE285" s="138">
        <f t="shared" si="219"/>
        <v>679.96</v>
      </c>
      <c r="AF285" s="138">
        <f t="shared" si="220"/>
        <v>679.96</v>
      </c>
      <c r="AG285" s="138">
        <f t="shared" si="221"/>
        <v>679.96</v>
      </c>
      <c r="AH285" s="138">
        <f t="shared" si="222"/>
        <v>679.96</v>
      </c>
      <c r="AI285" s="138">
        <f t="shared" si="223"/>
        <v>679.96</v>
      </c>
      <c r="AJ285" s="138">
        <f t="shared" si="224"/>
        <v>679.96</v>
      </c>
      <c r="AK285" s="138">
        <f t="shared" si="225"/>
        <v>679.96</v>
      </c>
      <c r="AL285" s="138">
        <f t="shared" si="226"/>
        <v>679.96</v>
      </c>
      <c r="AM285" s="138">
        <f t="shared" si="227"/>
        <v>673.70999999999958</v>
      </c>
      <c r="AO285" s="77" t="str">
        <f t="shared" si="184"/>
        <v>DS-2 Optional (Small General Service)</v>
      </c>
      <c r="AP285" s="78" t="s">
        <v>664</v>
      </c>
      <c r="AQ285" s="77" t="str">
        <f t="shared" si="185"/>
        <v>OPT Customer Charge 100 kV</v>
      </c>
      <c r="AR285" s="78" t="str">
        <f t="shared" si="186"/>
        <v>Billing Cycle</v>
      </c>
      <c r="AS285" s="79">
        <f t="shared" si="187"/>
        <v>6</v>
      </c>
      <c r="AT285" s="78">
        <f t="shared" si="188"/>
        <v>635</v>
      </c>
      <c r="AU285" s="78">
        <f t="shared" si="189"/>
        <v>649.96</v>
      </c>
      <c r="AV285" s="78">
        <f t="shared" si="190"/>
        <v>649.96</v>
      </c>
      <c r="AW285" s="78">
        <f t="shared" si="191"/>
        <v>649.96</v>
      </c>
      <c r="AX285" s="78">
        <f t="shared" si="192"/>
        <v>649.96</v>
      </c>
      <c r="AY285" s="78">
        <f t="shared" si="193"/>
        <v>649.96</v>
      </c>
      <c r="AZ285" s="78">
        <f t="shared" si="194"/>
        <v>649.96</v>
      </c>
      <c r="BA285" s="78">
        <f t="shared" si="195"/>
        <v>679.96</v>
      </c>
      <c r="BB285" s="78">
        <f t="shared" si="196"/>
        <v>679.96</v>
      </c>
      <c r="BC285" s="78">
        <f t="shared" si="197"/>
        <v>679.96</v>
      </c>
      <c r="BD285" s="78">
        <f t="shared" si="198"/>
        <v>679.96</v>
      </c>
      <c r="BE285" s="78">
        <f t="shared" si="199"/>
        <v>679.96</v>
      </c>
      <c r="BF285" s="78">
        <f t="shared" si="200"/>
        <v>679.96</v>
      </c>
      <c r="BG285" s="78">
        <f t="shared" si="201"/>
        <v>679.96</v>
      </c>
      <c r="BH285" s="78">
        <f t="shared" si="202"/>
        <v>679.96</v>
      </c>
      <c r="BI285" s="78">
        <f t="shared" si="203"/>
        <v>679.96</v>
      </c>
      <c r="BJ285" s="78">
        <f t="shared" si="204"/>
        <v>679.96</v>
      </c>
      <c r="BK285" s="78">
        <f t="shared" si="205"/>
        <v>679.96</v>
      </c>
      <c r="BL285" s="78">
        <f t="shared" si="206"/>
        <v>679.96</v>
      </c>
      <c r="BM285" s="78">
        <f t="shared" si="207"/>
        <v>679.96</v>
      </c>
      <c r="BN285" s="78">
        <f t="shared" si="208"/>
        <v>679.96</v>
      </c>
      <c r="BO285" s="78">
        <f t="shared" si="209"/>
        <v>679.96</v>
      </c>
      <c r="BP285" s="78">
        <f t="shared" si="210"/>
        <v>679.96</v>
      </c>
      <c r="BQ285" s="78">
        <f t="shared" si="211"/>
        <v>679.96</v>
      </c>
      <c r="BR285" s="78">
        <f t="shared" si="212"/>
        <v>679.96</v>
      </c>
      <c r="BS285" s="77"/>
      <c r="BT285" s="77"/>
    </row>
    <row r="286" spans="1:72" ht="14.1" customHeight="1" x14ac:dyDescent="0.2">
      <c r="A286" s="55" t="str">
        <f t="shared" si="183"/>
        <v>DS-2 Optional (Small General Service)_OPT Customer Charge High Voltage</v>
      </c>
      <c r="B286" s="80" t="s">
        <v>663</v>
      </c>
      <c r="C286" s="83" t="s">
        <v>796</v>
      </c>
      <c r="D286" s="150"/>
      <c r="E286" s="81"/>
      <c r="F286" s="73" t="s">
        <v>649</v>
      </c>
      <c r="G286" s="73">
        <v>0</v>
      </c>
      <c r="H286" s="73">
        <v>6</v>
      </c>
      <c r="I286" s="74" t="s">
        <v>641</v>
      </c>
      <c r="J286" s="75" t="s">
        <v>634</v>
      </c>
      <c r="K286" s="74"/>
      <c r="L286" s="82">
        <v>534.78</v>
      </c>
      <c r="M286" s="138">
        <v>519.96</v>
      </c>
      <c r="N286" s="138">
        <v>519.96</v>
      </c>
      <c r="O286" s="138">
        <v>519.96</v>
      </c>
      <c r="P286" s="138">
        <v>519.96</v>
      </c>
      <c r="Q286" s="138">
        <v>519.96</v>
      </c>
      <c r="R286" s="138">
        <v>519.96</v>
      </c>
      <c r="S286" s="138">
        <v>539.96</v>
      </c>
      <c r="T286" s="138">
        <v>539.96</v>
      </c>
      <c r="U286" s="138">
        <v>539.96</v>
      </c>
      <c r="V286" s="138">
        <v>539.96</v>
      </c>
      <c r="W286" s="138">
        <v>539.96</v>
      </c>
      <c r="X286" s="138">
        <v>539.96</v>
      </c>
      <c r="Y286" s="138">
        <f t="shared" si="213"/>
        <v>539.96</v>
      </c>
      <c r="Z286" s="138">
        <f t="shared" si="214"/>
        <v>539.96</v>
      </c>
      <c r="AA286" s="138">
        <f t="shared" si="215"/>
        <v>539.96</v>
      </c>
      <c r="AB286" s="138">
        <f t="shared" si="216"/>
        <v>539.96</v>
      </c>
      <c r="AC286" s="138">
        <f t="shared" si="217"/>
        <v>539.96</v>
      </c>
      <c r="AD286" s="138">
        <f t="shared" si="218"/>
        <v>539.96</v>
      </c>
      <c r="AE286" s="138">
        <f t="shared" si="219"/>
        <v>539.96</v>
      </c>
      <c r="AF286" s="138">
        <f t="shared" si="220"/>
        <v>539.96</v>
      </c>
      <c r="AG286" s="138">
        <f t="shared" si="221"/>
        <v>539.96</v>
      </c>
      <c r="AH286" s="138">
        <f t="shared" si="222"/>
        <v>539.96</v>
      </c>
      <c r="AI286" s="138">
        <f t="shared" si="223"/>
        <v>539.96</v>
      </c>
      <c r="AJ286" s="138">
        <f t="shared" si="224"/>
        <v>539.96</v>
      </c>
      <c r="AK286" s="138">
        <f t="shared" si="225"/>
        <v>539.96</v>
      </c>
      <c r="AL286" s="138">
        <f t="shared" si="226"/>
        <v>539.96</v>
      </c>
      <c r="AM286" s="138">
        <f t="shared" si="227"/>
        <v>535.79333333333307</v>
      </c>
      <c r="AO286" s="77" t="str">
        <f t="shared" si="184"/>
        <v>DS-2 Optional (Small General Service)</v>
      </c>
      <c r="AP286" s="78" t="s">
        <v>664</v>
      </c>
      <c r="AQ286" s="77" t="str">
        <f t="shared" si="185"/>
        <v>OPT Customer Charge High Voltage</v>
      </c>
      <c r="AR286" s="78" t="str">
        <f t="shared" si="186"/>
        <v>Billing Cycle</v>
      </c>
      <c r="AS286" s="79">
        <f t="shared" si="187"/>
        <v>6</v>
      </c>
      <c r="AT286" s="78">
        <f t="shared" si="188"/>
        <v>535</v>
      </c>
      <c r="AU286" s="78">
        <f t="shared" si="189"/>
        <v>519.96</v>
      </c>
      <c r="AV286" s="78">
        <f t="shared" si="190"/>
        <v>519.96</v>
      </c>
      <c r="AW286" s="78">
        <f t="shared" si="191"/>
        <v>519.96</v>
      </c>
      <c r="AX286" s="78">
        <f t="shared" si="192"/>
        <v>519.96</v>
      </c>
      <c r="AY286" s="78">
        <f t="shared" si="193"/>
        <v>519.96</v>
      </c>
      <c r="AZ286" s="78">
        <f t="shared" si="194"/>
        <v>519.96</v>
      </c>
      <c r="BA286" s="78">
        <f t="shared" si="195"/>
        <v>539.96</v>
      </c>
      <c r="BB286" s="78">
        <f t="shared" si="196"/>
        <v>539.96</v>
      </c>
      <c r="BC286" s="78">
        <f t="shared" si="197"/>
        <v>539.96</v>
      </c>
      <c r="BD286" s="78">
        <f t="shared" si="198"/>
        <v>539.96</v>
      </c>
      <c r="BE286" s="78">
        <f t="shared" si="199"/>
        <v>539.96</v>
      </c>
      <c r="BF286" s="78">
        <f t="shared" si="200"/>
        <v>539.96</v>
      </c>
      <c r="BG286" s="78">
        <f t="shared" si="201"/>
        <v>539.96</v>
      </c>
      <c r="BH286" s="78">
        <f t="shared" si="202"/>
        <v>539.96</v>
      </c>
      <c r="BI286" s="78">
        <f t="shared" si="203"/>
        <v>539.96</v>
      </c>
      <c r="BJ286" s="78">
        <f t="shared" si="204"/>
        <v>539.96</v>
      </c>
      <c r="BK286" s="78">
        <f t="shared" si="205"/>
        <v>539.96</v>
      </c>
      <c r="BL286" s="78">
        <f t="shared" si="206"/>
        <v>539.96</v>
      </c>
      <c r="BM286" s="78">
        <f t="shared" si="207"/>
        <v>539.96</v>
      </c>
      <c r="BN286" s="78">
        <f t="shared" si="208"/>
        <v>539.96</v>
      </c>
      <c r="BO286" s="78">
        <f t="shared" si="209"/>
        <v>539.96</v>
      </c>
      <c r="BP286" s="78">
        <f t="shared" si="210"/>
        <v>539.96</v>
      </c>
      <c r="BQ286" s="78">
        <f t="shared" si="211"/>
        <v>539.96</v>
      </c>
      <c r="BR286" s="78">
        <f t="shared" si="212"/>
        <v>539.96</v>
      </c>
      <c r="BS286" s="77"/>
      <c r="BT286" s="77"/>
    </row>
    <row r="287" spans="1:72" ht="14.1" customHeight="1" x14ac:dyDescent="0.2">
      <c r="A287" s="55" t="str">
        <f t="shared" si="183"/>
        <v>DS-2 Optional (Small General Service)_OPT Customer Charge Primary</v>
      </c>
      <c r="B287" s="80" t="s">
        <v>663</v>
      </c>
      <c r="C287" s="83" t="s">
        <v>797</v>
      </c>
      <c r="D287" s="150"/>
      <c r="E287" s="81"/>
      <c r="F287" s="73" t="s">
        <v>649</v>
      </c>
      <c r="G287" s="73">
        <v>0</v>
      </c>
      <c r="H287" s="73">
        <v>6</v>
      </c>
      <c r="I287" s="74" t="s">
        <v>641</v>
      </c>
      <c r="J287" s="75" t="s">
        <v>634</v>
      </c>
      <c r="K287" s="74"/>
      <c r="L287" s="82">
        <v>144.78</v>
      </c>
      <c r="M287" s="138">
        <v>139.96</v>
      </c>
      <c r="N287" s="138">
        <v>139.96</v>
      </c>
      <c r="O287" s="138">
        <v>139.96</v>
      </c>
      <c r="P287" s="138">
        <v>139.96</v>
      </c>
      <c r="Q287" s="138">
        <v>139.96</v>
      </c>
      <c r="R287" s="138">
        <v>139.96</v>
      </c>
      <c r="S287" s="138">
        <v>149.96</v>
      </c>
      <c r="T287" s="138">
        <v>149.96</v>
      </c>
      <c r="U287" s="138">
        <v>149.96</v>
      </c>
      <c r="V287" s="138">
        <v>149.96</v>
      </c>
      <c r="W287" s="138">
        <v>149.96</v>
      </c>
      <c r="X287" s="138">
        <v>149.96</v>
      </c>
      <c r="Y287" s="138">
        <f t="shared" si="213"/>
        <v>149.96</v>
      </c>
      <c r="Z287" s="138">
        <f t="shared" si="214"/>
        <v>149.96</v>
      </c>
      <c r="AA287" s="138">
        <f t="shared" si="215"/>
        <v>149.96</v>
      </c>
      <c r="AB287" s="138">
        <f t="shared" si="216"/>
        <v>149.96</v>
      </c>
      <c r="AC287" s="138">
        <f t="shared" si="217"/>
        <v>149.96</v>
      </c>
      <c r="AD287" s="138">
        <f t="shared" si="218"/>
        <v>149.96</v>
      </c>
      <c r="AE287" s="138">
        <f t="shared" si="219"/>
        <v>149.96</v>
      </c>
      <c r="AF287" s="138">
        <f t="shared" si="220"/>
        <v>149.96</v>
      </c>
      <c r="AG287" s="138">
        <f t="shared" si="221"/>
        <v>149.96</v>
      </c>
      <c r="AH287" s="138">
        <f t="shared" si="222"/>
        <v>149.96</v>
      </c>
      <c r="AI287" s="138">
        <f t="shared" si="223"/>
        <v>149.96</v>
      </c>
      <c r="AJ287" s="138">
        <f t="shared" si="224"/>
        <v>149.96</v>
      </c>
      <c r="AK287" s="138">
        <f t="shared" si="225"/>
        <v>149.96</v>
      </c>
      <c r="AL287" s="138">
        <f t="shared" si="226"/>
        <v>149.96</v>
      </c>
      <c r="AM287" s="138">
        <f t="shared" si="227"/>
        <v>147.87666666666669</v>
      </c>
      <c r="AO287" s="77" t="str">
        <f t="shared" si="184"/>
        <v>DS-2 Optional (Small General Service)</v>
      </c>
      <c r="AP287" s="78" t="s">
        <v>664</v>
      </c>
      <c r="AQ287" s="77" t="str">
        <f t="shared" si="185"/>
        <v>OPT Customer Charge Primary</v>
      </c>
      <c r="AR287" s="78" t="str">
        <f t="shared" si="186"/>
        <v>Billing Cycle</v>
      </c>
      <c r="AS287" s="79">
        <f t="shared" si="187"/>
        <v>6</v>
      </c>
      <c r="AT287" s="78">
        <f t="shared" si="188"/>
        <v>145</v>
      </c>
      <c r="AU287" s="78">
        <f t="shared" si="189"/>
        <v>139.96</v>
      </c>
      <c r="AV287" s="78">
        <f t="shared" si="190"/>
        <v>139.96</v>
      </c>
      <c r="AW287" s="78">
        <f t="shared" si="191"/>
        <v>139.96</v>
      </c>
      <c r="AX287" s="78">
        <f t="shared" si="192"/>
        <v>139.96</v>
      </c>
      <c r="AY287" s="78">
        <f t="shared" si="193"/>
        <v>139.96</v>
      </c>
      <c r="AZ287" s="78">
        <f t="shared" si="194"/>
        <v>139.96</v>
      </c>
      <c r="BA287" s="78">
        <f t="shared" si="195"/>
        <v>149.96</v>
      </c>
      <c r="BB287" s="78">
        <f t="shared" si="196"/>
        <v>149.96</v>
      </c>
      <c r="BC287" s="78">
        <f t="shared" si="197"/>
        <v>149.96</v>
      </c>
      <c r="BD287" s="78">
        <f t="shared" si="198"/>
        <v>149.96</v>
      </c>
      <c r="BE287" s="78">
        <f t="shared" si="199"/>
        <v>149.96</v>
      </c>
      <c r="BF287" s="78">
        <f t="shared" si="200"/>
        <v>149.96</v>
      </c>
      <c r="BG287" s="78">
        <f t="shared" si="201"/>
        <v>149.96</v>
      </c>
      <c r="BH287" s="78">
        <f t="shared" si="202"/>
        <v>149.96</v>
      </c>
      <c r="BI287" s="78">
        <f t="shared" si="203"/>
        <v>149.96</v>
      </c>
      <c r="BJ287" s="78">
        <f t="shared" si="204"/>
        <v>149.96</v>
      </c>
      <c r="BK287" s="78">
        <f t="shared" si="205"/>
        <v>149.96</v>
      </c>
      <c r="BL287" s="78">
        <f t="shared" si="206"/>
        <v>149.96</v>
      </c>
      <c r="BM287" s="78">
        <f t="shared" si="207"/>
        <v>149.96</v>
      </c>
      <c r="BN287" s="78">
        <f t="shared" si="208"/>
        <v>149.96</v>
      </c>
      <c r="BO287" s="78">
        <f t="shared" si="209"/>
        <v>149.96</v>
      </c>
      <c r="BP287" s="78">
        <f t="shared" si="210"/>
        <v>149.96</v>
      </c>
      <c r="BQ287" s="78">
        <f t="shared" si="211"/>
        <v>149.96</v>
      </c>
      <c r="BR287" s="78">
        <f t="shared" si="212"/>
        <v>149.96</v>
      </c>
      <c r="BS287" s="77"/>
      <c r="BT287" s="77"/>
    </row>
    <row r="288" spans="1:72" ht="14.1" customHeight="1" x14ac:dyDescent="0.2">
      <c r="A288" s="55" t="str">
        <f t="shared" si="183"/>
        <v>DS-2 Optional (Small General Service)_OPT Customer Charge Secondary</v>
      </c>
      <c r="B288" s="80" t="s">
        <v>663</v>
      </c>
      <c r="C288" s="83" t="s">
        <v>798</v>
      </c>
      <c r="D288" s="150"/>
      <c r="E288" s="81"/>
      <c r="F288" s="73" t="s">
        <v>649</v>
      </c>
      <c r="G288" s="73">
        <v>0</v>
      </c>
      <c r="H288" s="73">
        <v>6</v>
      </c>
      <c r="I288" s="74" t="s">
        <v>641</v>
      </c>
      <c r="J288" s="75" t="s">
        <v>634</v>
      </c>
      <c r="K288" s="74"/>
      <c r="L288" s="82">
        <v>44.78</v>
      </c>
      <c r="M288" s="138">
        <v>39.96</v>
      </c>
      <c r="N288" s="138">
        <v>39.96</v>
      </c>
      <c r="O288" s="138">
        <v>39.96</v>
      </c>
      <c r="P288" s="138">
        <v>39.96</v>
      </c>
      <c r="Q288" s="138">
        <v>39.96</v>
      </c>
      <c r="R288" s="138">
        <v>39.96</v>
      </c>
      <c r="S288" s="138">
        <v>39.96</v>
      </c>
      <c r="T288" s="138">
        <v>39.96</v>
      </c>
      <c r="U288" s="138">
        <v>39.96</v>
      </c>
      <c r="V288" s="138">
        <v>39.96</v>
      </c>
      <c r="W288" s="138">
        <v>39.96</v>
      </c>
      <c r="X288" s="138">
        <v>39.96</v>
      </c>
      <c r="Y288" s="138">
        <f t="shared" si="213"/>
        <v>39.96</v>
      </c>
      <c r="Z288" s="138">
        <f t="shared" si="214"/>
        <v>39.96</v>
      </c>
      <c r="AA288" s="138">
        <f t="shared" si="215"/>
        <v>39.96</v>
      </c>
      <c r="AB288" s="138">
        <f t="shared" si="216"/>
        <v>39.96</v>
      </c>
      <c r="AC288" s="138">
        <f t="shared" si="217"/>
        <v>39.96</v>
      </c>
      <c r="AD288" s="138">
        <f t="shared" si="218"/>
        <v>39.96</v>
      </c>
      <c r="AE288" s="138">
        <f t="shared" si="219"/>
        <v>39.96</v>
      </c>
      <c r="AF288" s="138">
        <f t="shared" si="220"/>
        <v>39.96</v>
      </c>
      <c r="AG288" s="138">
        <f t="shared" si="221"/>
        <v>39.96</v>
      </c>
      <c r="AH288" s="138">
        <f t="shared" si="222"/>
        <v>39.96</v>
      </c>
      <c r="AI288" s="138">
        <f t="shared" si="223"/>
        <v>39.96</v>
      </c>
      <c r="AJ288" s="138">
        <f t="shared" si="224"/>
        <v>39.96</v>
      </c>
      <c r="AK288" s="138">
        <f t="shared" si="225"/>
        <v>39.96</v>
      </c>
      <c r="AL288" s="138">
        <f t="shared" si="226"/>
        <v>39.959999999999994</v>
      </c>
      <c r="AM288" s="138">
        <f t="shared" si="227"/>
        <v>39.960000000000015</v>
      </c>
      <c r="AO288" s="77" t="str">
        <f t="shared" si="184"/>
        <v>DS-2 Optional (Small General Service)</v>
      </c>
      <c r="AP288" s="78" t="s">
        <v>664</v>
      </c>
      <c r="AQ288" s="77" t="str">
        <f t="shared" si="185"/>
        <v>OPT Customer Charge Secondary</v>
      </c>
      <c r="AR288" s="78" t="str">
        <f t="shared" si="186"/>
        <v>Billing Cycle</v>
      </c>
      <c r="AS288" s="79">
        <f t="shared" si="187"/>
        <v>6</v>
      </c>
      <c r="AT288" s="78">
        <f t="shared" si="188"/>
        <v>45</v>
      </c>
      <c r="AU288" s="78">
        <f t="shared" si="189"/>
        <v>39.96</v>
      </c>
      <c r="AV288" s="78">
        <f t="shared" si="190"/>
        <v>39.96</v>
      </c>
      <c r="AW288" s="78">
        <f t="shared" si="191"/>
        <v>39.96</v>
      </c>
      <c r="AX288" s="78">
        <f t="shared" si="192"/>
        <v>39.96</v>
      </c>
      <c r="AY288" s="78">
        <f t="shared" si="193"/>
        <v>39.96</v>
      </c>
      <c r="AZ288" s="78">
        <f t="shared" si="194"/>
        <v>39.96</v>
      </c>
      <c r="BA288" s="78">
        <f t="shared" si="195"/>
        <v>39.96</v>
      </c>
      <c r="BB288" s="78">
        <f t="shared" si="196"/>
        <v>39.96</v>
      </c>
      <c r="BC288" s="78">
        <f t="shared" si="197"/>
        <v>39.96</v>
      </c>
      <c r="BD288" s="78">
        <f t="shared" si="198"/>
        <v>39.96</v>
      </c>
      <c r="BE288" s="78">
        <f t="shared" si="199"/>
        <v>39.96</v>
      </c>
      <c r="BF288" s="78">
        <f t="shared" si="200"/>
        <v>39.96</v>
      </c>
      <c r="BG288" s="78">
        <f t="shared" si="201"/>
        <v>39.96</v>
      </c>
      <c r="BH288" s="78">
        <f t="shared" si="202"/>
        <v>39.96</v>
      </c>
      <c r="BI288" s="78">
        <f t="shared" si="203"/>
        <v>39.96</v>
      </c>
      <c r="BJ288" s="78">
        <f t="shared" si="204"/>
        <v>39.96</v>
      </c>
      <c r="BK288" s="78">
        <f t="shared" si="205"/>
        <v>39.96</v>
      </c>
      <c r="BL288" s="78">
        <f t="shared" si="206"/>
        <v>39.96</v>
      </c>
      <c r="BM288" s="78">
        <f t="shared" si="207"/>
        <v>39.96</v>
      </c>
      <c r="BN288" s="78">
        <f t="shared" si="208"/>
        <v>39.96</v>
      </c>
      <c r="BO288" s="78">
        <f t="shared" si="209"/>
        <v>39.96</v>
      </c>
      <c r="BP288" s="78">
        <f t="shared" si="210"/>
        <v>39.96</v>
      </c>
      <c r="BQ288" s="78">
        <f t="shared" si="211"/>
        <v>39.96</v>
      </c>
      <c r="BR288" s="78">
        <f t="shared" si="212"/>
        <v>39.96</v>
      </c>
      <c r="BS288" s="77"/>
      <c r="BT288" s="77"/>
    </row>
    <row r="289" spans="1:72" ht="14.1" customHeight="1" x14ac:dyDescent="0.2">
      <c r="A289" s="55" t="str">
        <f t="shared" si="183"/>
        <v>DS-2 Optional (Small General Service)_OPT Distribution Delivery Charge 100 kV</v>
      </c>
      <c r="B289" s="80" t="s">
        <v>663</v>
      </c>
      <c r="C289" s="83" t="s">
        <v>799</v>
      </c>
      <c r="D289" s="150"/>
      <c r="E289" s="81"/>
      <c r="F289" s="73" t="s">
        <v>649</v>
      </c>
      <c r="G289" s="73">
        <v>0</v>
      </c>
      <c r="H289" s="73">
        <v>6</v>
      </c>
      <c r="I289" s="74" t="s">
        <v>641</v>
      </c>
      <c r="J289" s="75" t="s">
        <v>634</v>
      </c>
      <c r="K289" s="74"/>
      <c r="L289" s="82">
        <v>0.33200000000000002</v>
      </c>
      <c r="M289" s="138">
        <v>0.24</v>
      </c>
      <c r="N289" s="138">
        <v>0.24</v>
      </c>
      <c r="O289" s="138">
        <v>0.24</v>
      </c>
      <c r="P289" s="138">
        <v>0.24</v>
      </c>
      <c r="Q289" s="138">
        <v>0.24</v>
      </c>
      <c r="R289" s="138">
        <v>0.24</v>
      </c>
      <c r="S289" s="138">
        <v>0.245</v>
      </c>
      <c r="T289" s="138">
        <v>0.245</v>
      </c>
      <c r="U289" s="138">
        <v>0.245</v>
      </c>
      <c r="V289" s="138">
        <v>0.245</v>
      </c>
      <c r="W289" s="138">
        <v>0.245</v>
      </c>
      <c r="X289" s="138">
        <v>0.245</v>
      </c>
      <c r="Y289" s="138">
        <f t="shared" si="213"/>
        <v>0.245</v>
      </c>
      <c r="Z289" s="138">
        <f t="shared" si="214"/>
        <v>0.245</v>
      </c>
      <c r="AA289" s="138">
        <f t="shared" si="215"/>
        <v>0.245</v>
      </c>
      <c r="AB289" s="138">
        <f t="shared" si="216"/>
        <v>0.245</v>
      </c>
      <c r="AC289" s="138">
        <f t="shared" si="217"/>
        <v>0.245</v>
      </c>
      <c r="AD289" s="138">
        <f t="shared" si="218"/>
        <v>0.245</v>
      </c>
      <c r="AE289" s="138">
        <f t="shared" si="219"/>
        <v>0.245</v>
      </c>
      <c r="AF289" s="138">
        <f t="shared" si="220"/>
        <v>0.245</v>
      </c>
      <c r="AG289" s="138">
        <f t="shared" si="221"/>
        <v>0.245</v>
      </c>
      <c r="AH289" s="138">
        <f t="shared" si="222"/>
        <v>0.245</v>
      </c>
      <c r="AI289" s="138">
        <f t="shared" si="223"/>
        <v>0.245</v>
      </c>
      <c r="AJ289" s="138">
        <f t="shared" si="224"/>
        <v>0.245</v>
      </c>
      <c r="AK289" s="138">
        <f t="shared" si="225"/>
        <v>0.245</v>
      </c>
      <c r="AL289" s="138">
        <f t="shared" si="226"/>
        <v>0.24500000000000008</v>
      </c>
      <c r="AM289" s="138">
        <f t="shared" si="227"/>
        <v>0.24395833333333339</v>
      </c>
      <c r="AO289" s="77" t="str">
        <f t="shared" si="184"/>
        <v>DS-2 Optional (Small General Service)</v>
      </c>
      <c r="AP289" s="78" t="s">
        <v>664</v>
      </c>
      <c r="AQ289" s="77" t="str">
        <f t="shared" si="185"/>
        <v>OPT Distribution Delivery Charge 100 kV</v>
      </c>
      <c r="AR289" s="78" t="str">
        <f t="shared" si="186"/>
        <v>Billing Cycle</v>
      </c>
      <c r="AS289" s="79">
        <f t="shared" si="187"/>
        <v>6</v>
      </c>
      <c r="AT289" s="78">
        <f t="shared" si="188"/>
        <v>0</v>
      </c>
      <c r="AU289" s="78">
        <f t="shared" si="189"/>
        <v>0.24</v>
      </c>
      <c r="AV289" s="78">
        <f t="shared" si="190"/>
        <v>0.24</v>
      </c>
      <c r="AW289" s="78">
        <f t="shared" si="191"/>
        <v>0.24</v>
      </c>
      <c r="AX289" s="78">
        <f t="shared" si="192"/>
        <v>0.24</v>
      </c>
      <c r="AY289" s="78">
        <f t="shared" si="193"/>
        <v>0.24</v>
      </c>
      <c r="AZ289" s="78">
        <f t="shared" si="194"/>
        <v>0.24</v>
      </c>
      <c r="BA289" s="78">
        <f t="shared" si="195"/>
        <v>0.245</v>
      </c>
      <c r="BB289" s="78">
        <f t="shared" si="196"/>
        <v>0.245</v>
      </c>
      <c r="BC289" s="78">
        <f t="shared" si="197"/>
        <v>0.245</v>
      </c>
      <c r="BD289" s="78">
        <f t="shared" si="198"/>
        <v>0.245</v>
      </c>
      <c r="BE289" s="78">
        <f t="shared" si="199"/>
        <v>0.245</v>
      </c>
      <c r="BF289" s="78">
        <f t="shared" si="200"/>
        <v>0.245</v>
      </c>
      <c r="BG289" s="78">
        <f t="shared" si="201"/>
        <v>0.245</v>
      </c>
      <c r="BH289" s="78">
        <f t="shared" si="202"/>
        <v>0.245</v>
      </c>
      <c r="BI289" s="78">
        <f t="shared" si="203"/>
        <v>0.245</v>
      </c>
      <c r="BJ289" s="78">
        <f t="shared" si="204"/>
        <v>0.245</v>
      </c>
      <c r="BK289" s="78">
        <f t="shared" si="205"/>
        <v>0.245</v>
      </c>
      <c r="BL289" s="78">
        <f t="shared" si="206"/>
        <v>0.245</v>
      </c>
      <c r="BM289" s="78">
        <f t="shared" si="207"/>
        <v>0.245</v>
      </c>
      <c r="BN289" s="78">
        <f t="shared" si="208"/>
        <v>0.245</v>
      </c>
      <c r="BO289" s="78">
        <f t="shared" si="209"/>
        <v>0.245</v>
      </c>
      <c r="BP289" s="78">
        <f t="shared" si="210"/>
        <v>0.245</v>
      </c>
      <c r="BQ289" s="78">
        <f t="shared" si="211"/>
        <v>0.245</v>
      </c>
      <c r="BR289" s="78">
        <f t="shared" si="212"/>
        <v>0.245</v>
      </c>
      <c r="BS289" s="77"/>
      <c r="BT289" s="77"/>
    </row>
    <row r="290" spans="1:72" ht="14.1" customHeight="1" x14ac:dyDescent="0.2">
      <c r="A290" s="55" t="str">
        <f t="shared" si="183"/>
        <v>DS-2 Optional (Small General Service)_OPT Distribution Delivery Charge High Voltage</v>
      </c>
      <c r="B290" s="80" t="s">
        <v>663</v>
      </c>
      <c r="C290" s="83" t="s">
        <v>800</v>
      </c>
      <c r="D290" s="150"/>
      <c r="E290" s="81"/>
      <c r="F290" s="73" t="s">
        <v>649</v>
      </c>
      <c r="G290" s="73">
        <v>0</v>
      </c>
      <c r="H290" s="73">
        <v>6</v>
      </c>
      <c r="I290" s="74" t="s">
        <v>641</v>
      </c>
      <c r="J290" s="75" t="s">
        <v>634</v>
      </c>
      <c r="K290" s="74"/>
      <c r="L290" s="82">
        <v>2.1259999999999999</v>
      </c>
      <c r="M290" s="138">
        <v>1.7509999999999999</v>
      </c>
      <c r="N290" s="138">
        <v>1.7509999999999999</v>
      </c>
      <c r="O290" s="138">
        <v>1.7509999999999999</v>
      </c>
      <c r="P290" s="138">
        <v>1.7509999999999999</v>
      </c>
      <c r="Q290" s="138">
        <v>1.7509999999999999</v>
      </c>
      <c r="R290" s="138">
        <v>1.7509999999999999</v>
      </c>
      <c r="S290" s="138">
        <v>1.8480000000000001</v>
      </c>
      <c r="T290" s="138">
        <v>1.8480000000000001</v>
      </c>
      <c r="U290" s="138">
        <v>1.8480000000000001</v>
      </c>
      <c r="V290" s="138">
        <v>1.8480000000000001</v>
      </c>
      <c r="W290" s="138">
        <v>1.8480000000000001</v>
      </c>
      <c r="X290" s="138">
        <v>1.8480000000000001</v>
      </c>
      <c r="Y290" s="138">
        <f t="shared" si="213"/>
        <v>1.8480000000000001</v>
      </c>
      <c r="Z290" s="138">
        <f t="shared" si="214"/>
        <v>1.8480000000000001</v>
      </c>
      <c r="AA290" s="138">
        <f t="shared" si="215"/>
        <v>1.8480000000000001</v>
      </c>
      <c r="AB290" s="138">
        <f t="shared" si="216"/>
        <v>1.8480000000000001</v>
      </c>
      <c r="AC290" s="138">
        <f t="shared" si="217"/>
        <v>1.8480000000000001</v>
      </c>
      <c r="AD290" s="138">
        <f t="shared" si="218"/>
        <v>1.8480000000000001</v>
      </c>
      <c r="AE290" s="138">
        <f t="shared" si="219"/>
        <v>1.8480000000000001</v>
      </c>
      <c r="AF290" s="138">
        <f t="shared" si="220"/>
        <v>1.8480000000000001</v>
      </c>
      <c r="AG290" s="138">
        <f t="shared" si="221"/>
        <v>1.8480000000000001</v>
      </c>
      <c r="AH290" s="138">
        <f t="shared" si="222"/>
        <v>1.8480000000000001</v>
      </c>
      <c r="AI290" s="138">
        <f t="shared" si="223"/>
        <v>1.8480000000000001</v>
      </c>
      <c r="AJ290" s="138">
        <f t="shared" si="224"/>
        <v>1.8480000000000001</v>
      </c>
      <c r="AK290" s="138">
        <f t="shared" si="225"/>
        <v>1.8480000000000001</v>
      </c>
      <c r="AL290" s="138">
        <f t="shared" si="226"/>
        <v>1.8479999999999999</v>
      </c>
      <c r="AM290" s="138">
        <f t="shared" si="227"/>
        <v>1.8277916666666663</v>
      </c>
      <c r="AO290" s="77" t="str">
        <f t="shared" si="184"/>
        <v>DS-2 Optional (Small General Service)</v>
      </c>
      <c r="AP290" s="78" t="s">
        <v>664</v>
      </c>
      <c r="AQ290" s="77" t="str">
        <f t="shared" si="185"/>
        <v>OPT Distribution Delivery Charge High Voltage</v>
      </c>
      <c r="AR290" s="78" t="str">
        <f t="shared" si="186"/>
        <v>Billing Cycle</v>
      </c>
      <c r="AS290" s="79">
        <f t="shared" si="187"/>
        <v>6</v>
      </c>
      <c r="AT290" s="78">
        <f t="shared" si="188"/>
        <v>2</v>
      </c>
      <c r="AU290" s="78">
        <f t="shared" si="189"/>
        <v>1.7509999999999999</v>
      </c>
      <c r="AV290" s="78">
        <f t="shared" si="190"/>
        <v>1.7509999999999999</v>
      </c>
      <c r="AW290" s="78">
        <f t="shared" si="191"/>
        <v>1.7509999999999999</v>
      </c>
      <c r="AX290" s="78">
        <f t="shared" si="192"/>
        <v>1.7509999999999999</v>
      </c>
      <c r="AY290" s="78">
        <f t="shared" si="193"/>
        <v>1.7509999999999999</v>
      </c>
      <c r="AZ290" s="78">
        <f t="shared" si="194"/>
        <v>1.7509999999999999</v>
      </c>
      <c r="BA290" s="78">
        <f t="shared" si="195"/>
        <v>1.8480000000000001</v>
      </c>
      <c r="BB290" s="78">
        <f t="shared" si="196"/>
        <v>1.8480000000000001</v>
      </c>
      <c r="BC290" s="78">
        <f t="shared" si="197"/>
        <v>1.8480000000000001</v>
      </c>
      <c r="BD290" s="78">
        <f t="shared" si="198"/>
        <v>1.8480000000000001</v>
      </c>
      <c r="BE290" s="78">
        <f t="shared" si="199"/>
        <v>1.8480000000000001</v>
      </c>
      <c r="BF290" s="78">
        <f t="shared" si="200"/>
        <v>1.8480000000000001</v>
      </c>
      <c r="BG290" s="78">
        <f t="shared" si="201"/>
        <v>1.8480000000000001</v>
      </c>
      <c r="BH290" s="78">
        <f t="shared" si="202"/>
        <v>1.8480000000000001</v>
      </c>
      <c r="BI290" s="78">
        <f t="shared" si="203"/>
        <v>1.8480000000000001</v>
      </c>
      <c r="BJ290" s="78">
        <f t="shared" si="204"/>
        <v>1.8480000000000001</v>
      </c>
      <c r="BK290" s="78">
        <f t="shared" si="205"/>
        <v>1.8480000000000001</v>
      </c>
      <c r="BL290" s="78">
        <f t="shared" si="206"/>
        <v>1.8480000000000001</v>
      </c>
      <c r="BM290" s="78">
        <f t="shared" si="207"/>
        <v>1.8480000000000001</v>
      </c>
      <c r="BN290" s="78">
        <f t="shared" si="208"/>
        <v>1.8480000000000001</v>
      </c>
      <c r="BO290" s="78">
        <f t="shared" si="209"/>
        <v>1.8480000000000001</v>
      </c>
      <c r="BP290" s="78">
        <f t="shared" si="210"/>
        <v>1.8480000000000001</v>
      </c>
      <c r="BQ290" s="78">
        <f t="shared" si="211"/>
        <v>1.8480000000000001</v>
      </c>
      <c r="BR290" s="78">
        <f t="shared" si="212"/>
        <v>1.8480000000000001</v>
      </c>
      <c r="BS290" s="77"/>
      <c r="BT290" s="77"/>
    </row>
    <row r="291" spans="1:72" ht="14.1" customHeight="1" x14ac:dyDescent="0.2">
      <c r="A291" s="55" t="str">
        <f t="shared" si="183"/>
        <v>DS-2 Optional (Small General Service)_OPT Distribution Delivery Charge Primary</v>
      </c>
      <c r="B291" s="80" t="s">
        <v>663</v>
      </c>
      <c r="C291" s="83" t="s">
        <v>801</v>
      </c>
      <c r="D291" s="150"/>
      <c r="E291" s="81"/>
      <c r="F291" s="73" t="s">
        <v>649</v>
      </c>
      <c r="G291" s="73">
        <v>0</v>
      </c>
      <c r="H291" s="73">
        <v>6</v>
      </c>
      <c r="I291" s="74" t="s">
        <v>641</v>
      </c>
      <c r="J291" s="75" t="s">
        <v>634</v>
      </c>
      <c r="K291" s="74"/>
      <c r="L291" s="82">
        <v>8.35</v>
      </c>
      <c r="M291" s="138">
        <v>7.5880000000000001</v>
      </c>
      <c r="N291" s="138">
        <v>7.5880000000000001</v>
      </c>
      <c r="O291" s="138">
        <v>7.5880000000000001</v>
      </c>
      <c r="P291" s="138">
        <v>7.5880000000000001</v>
      </c>
      <c r="Q291" s="138">
        <v>7.5880000000000001</v>
      </c>
      <c r="R291" s="138">
        <v>7.5880000000000001</v>
      </c>
      <c r="S291" s="138">
        <v>7.8890000000000002</v>
      </c>
      <c r="T291" s="138">
        <v>7.8890000000000002</v>
      </c>
      <c r="U291" s="138">
        <v>7.8890000000000002</v>
      </c>
      <c r="V291" s="138">
        <v>7.8890000000000002</v>
      </c>
      <c r="W291" s="138">
        <v>7.8890000000000002</v>
      </c>
      <c r="X291" s="138">
        <v>7.8890000000000002</v>
      </c>
      <c r="Y291" s="138">
        <f t="shared" si="213"/>
        <v>7.8890000000000002</v>
      </c>
      <c r="Z291" s="138">
        <f t="shared" si="214"/>
        <v>7.8890000000000002</v>
      </c>
      <c r="AA291" s="138">
        <f t="shared" si="215"/>
        <v>7.8890000000000002</v>
      </c>
      <c r="AB291" s="138">
        <f t="shared" si="216"/>
        <v>7.8890000000000002</v>
      </c>
      <c r="AC291" s="138">
        <f t="shared" si="217"/>
        <v>7.8890000000000002</v>
      </c>
      <c r="AD291" s="138">
        <f t="shared" si="218"/>
        <v>7.8890000000000002</v>
      </c>
      <c r="AE291" s="138">
        <f t="shared" si="219"/>
        <v>7.8890000000000002</v>
      </c>
      <c r="AF291" s="138">
        <f t="shared" si="220"/>
        <v>7.8890000000000002</v>
      </c>
      <c r="AG291" s="138">
        <f t="shared" si="221"/>
        <v>7.8890000000000002</v>
      </c>
      <c r="AH291" s="138">
        <f t="shared" si="222"/>
        <v>7.8890000000000002</v>
      </c>
      <c r="AI291" s="138">
        <f t="shared" si="223"/>
        <v>7.8890000000000002</v>
      </c>
      <c r="AJ291" s="138">
        <f t="shared" si="224"/>
        <v>7.8890000000000002</v>
      </c>
      <c r="AK291" s="138">
        <f t="shared" si="225"/>
        <v>7.8890000000000002</v>
      </c>
      <c r="AL291" s="138">
        <f t="shared" si="226"/>
        <v>7.8889999999999993</v>
      </c>
      <c r="AM291" s="138">
        <f t="shared" si="227"/>
        <v>7.8262916666666689</v>
      </c>
      <c r="AO291" s="77" t="str">
        <f t="shared" si="184"/>
        <v>DS-2 Optional (Small General Service)</v>
      </c>
      <c r="AP291" s="78" t="s">
        <v>664</v>
      </c>
      <c r="AQ291" s="77" t="str">
        <f t="shared" si="185"/>
        <v>OPT Distribution Delivery Charge Primary</v>
      </c>
      <c r="AR291" s="78" t="str">
        <f t="shared" si="186"/>
        <v>Billing Cycle</v>
      </c>
      <c r="AS291" s="79">
        <f t="shared" si="187"/>
        <v>6</v>
      </c>
      <c r="AT291" s="78">
        <f t="shared" si="188"/>
        <v>8</v>
      </c>
      <c r="AU291" s="78">
        <f t="shared" si="189"/>
        <v>7.5880000000000001</v>
      </c>
      <c r="AV291" s="78">
        <f t="shared" si="190"/>
        <v>7.5880000000000001</v>
      </c>
      <c r="AW291" s="78">
        <f t="shared" si="191"/>
        <v>7.5880000000000001</v>
      </c>
      <c r="AX291" s="78">
        <f t="shared" si="192"/>
        <v>7.5880000000000001</v>
      </c>
      <c r="AY291" s="78">
        <f t="shared" si="193"/>
        <v>7.5880000000000001</v>
      </c>
      <c r="AZ291" s="78">
        <f t="shared" si="194"/>
        <v>7.5880000000000001</v>
      </c>
      <c r="BA291" s="78">
        <f t="shared" si="195"/>
        <v>7.8890000000000002</v>
      </c>
      <c r="BB291" s="78">
        <f t="shared" si="196"/>
        <v>7.8890000000000002</v>
      </c>
      <c r="BC291" s="78">
        <f t="shared" si="197"/>
        <v>7.8890000000000002</v>
      </c>
      <c r="BD291" s="78">
        <f t="shared" si="198"/>
        <v>7.8890000000000002</v>
      </c>
      <c r="BE291" s="78">
        <f t="shared" si="199"/>
        <v>7.8890000000000002</v>
      </c>
      <c r="BF291" s="78">
        <f t="shared" si="200"/>
        <v>7.8890000000000002</v>
      </c>
      <c r="BG291" s="78">
        <f t="shared" si="201"/>
        <v>7.8890000000000002</v>
      </c>
      <c r="BH291" s="78">
        <f t="shared" si="202"/>
        <v>7.8890000000000002</v>
      </c>
      <c r="BI291" s="78">
        <f t="shared" si="203"/>
        <v>7.8890000000000002</v>
      </c>
      <c r="BJ291" s="78">
        <f t="shared" si="204"/>
        <v>7.8890000000000002</v>
      </c>
      <c r="BK291" s="78">
        <f t="shared" si="205"/>
        <v>7.8890000000000002</v>
      </c>
      <c r="BL291" s="78">
        <f t="shared" si="206"/>
        <v>7.8890000000000002</v>
      </c>
      <c r="BM291" s="78">
        <f t="shared" si="207"/>
        <v>7.8890000000000002</v>
      </c>
      <c r="BN291" s="78">
        <f t="shared" si="208"/>
        <v>7.8890000000000002</v>
      </c>
      <c r="BO291" s="78">
        <f t="shared" si="209"/>
        <v>7.8890000000000002</v>
      </c>
      <c r="BP291" s="78">
        <f t="shared" si="210"/>
        <v>7.8890000000000002</v>
      </c>
      <c r="BQ291" s="78">
        <f t="shared" si="211"/>
        <v>7.8890000000000002</v>
      </c>
      <c r="BR291" s="78">
        <f t="shared" si="212"/>
        <v>7.8890000000000002</v>
      </c>
      <c r="BS291" s="77"/>
      <c r="BT291" s="77"/>
    </row>
    <row r="292" spans="1:72" ht="14.1" customHeight="1" x14ac:dyDescent="0.2">
      <c r="A292" s="55" t="str">
        <f t="shared" si="183"/>
        <v>DS-2 Optional (Small General Service)_OPT Energy Assistance Adder Charge</v>
      </c>
      <c r="B292" s="80" t="s">
        <v>663</v>
      </c>
      <c r="C292" s="83" t="s">
        <v>802</v>
      </c>
      <c r="D292" s="150"/>
      <c r="E292" s="81"/>
      <c r="F292" s="73" t="s">
        <v>649</v>
      </c>
      <c r="G292" s="73">
        <v>0</v>
      </c>
      <c r="H292" s="73">
        <v>6</v>
      </c>
      <c r="I292" s="74" t="s">
        <v>641</v>
      </c>
      <c r="J292" s="75" t="s">
        <v>634</v>
      </c>
      <c r="K292" s="74"/>
      <c r="L292" s="82">
        <v>1</v>
      </c>
      <c r="M292" s="138">
        <v>1</v>
      </c>
      <c r="N292" s="138">
        <v>1</v>
      </c>
      <c r="O292" s="138">
        <v>1</v>
      </c>
      <c r="P292" s="138">
        <v>1</v>
      </c>
      <c r="Q292" s="138">
        <v>1</v>
      </c>
      <c r="R292" s="138">
        <v>1</v>
      </c>
      <c r="S292" s="138">
        <v>1</v>
      </c>
      <c r="T292" s="138">
        <v>1</v>
      </c>
      <c r="U292" s="138">
        <v>1</v>
      </c>
      <c r="V292" s="138">
        <v>1</v>
      </c>
      <c r="W292" s="138">
        <v>1</v>
      </c>
      <c r="X292" s="138">
        <v>1</v>
      </c>
      <c r="Y292" s="138">
        <f t="shared" si="213"/>
        <v>1</v>
      </c>
      <c r="Z292" s="138">
        <f t="shared" si="214"/>
        <v>1</v>
      </c>
      <c r="AA292" s="138">
        <f t="shared" si="215"/>
        <v>1</v>
      </c>
      <c r="AB292" s="138">
        <f t="shared" si="216"/>
        <v>1</v>
      </c>
      <c r="AC292" s="138">
        <f t="shared" si="217"/>
        <v>1</v>
      </c>
      <c r="AD292" s="138">
        <f t="shared" si="218"/>
        <v>1</v>
      </c>
      <c r="AE292" s="138">
        <f t="shared" si="219"/>
        <v>1</v>
      </c>
      <c r="AF292" s="138">
        <f t="shared" si="220"/>
        <v>1</v>
      </c>
      <c r="AG292" s="138">
        <f t="shared" si="221"/>
        <v>1</v>
      </c>
      <c r="AH292" s="138">
        <f t="shared" si="222"/>
        <v>1</v>
      </c>
      <c r="AI292" s="138">
        <f t="shared" si="223"/>
        <v>1</v>
      </c>
      <c r="AJ292" s="138">
        <f t="shared" si="224"/>
        <v>1</v>
      </c>
      <c r="AK292" s="138">
        <f t="shared" si="225"/>
        <v>1</v>
      </c>
      <c r="AL292" s="138">
        <f t="shared" si="226"/>
        <v>1</v>
      </c>
      <c r="AM292" s="138">
        <f t="shared" si="227"/>
        <v>1</v>
      </c>
      <c r="AO292" s="77" t="str">
        <f t="shared" si="184"/>
        <v>DS-2 Optional (Small General Service)</v>
      </c>
      <c r="AP292" s="78" t="s">
        <v>664</v>
      </c>
      <c r="AQ292" s="77" t="str">
        <f t="shared" si="185"/>
        <v>OPT Energy Assistance Adder Charge</v>
      </c>
      <c r="AR292" s="78" t="str">
        <f t="shared" si="186"/>
        <v>Billing Cycle</v>
      </c>
      <c r="AS292" s="79">
        <f t="shared" si="187"/>
        <v>6</v>
      </c>
      <c r="AT292" s="78">
        <f t="shared" si="188"/>
        <v>1</v>
      </c>
      <c r="AU292" s="78">
        <f t="shared" si="189"/>
        <v>1</v>
      </c>
      <c r="AV292" s="78">
        <f t="shared" si="190"/>
        <v>1</v>
      </c>
      <c r="AW292" s="78">
        <f t="shared" si="191"/>
        <v>1</v>
      </c>
      <c r="AX292" s="78">
        <f t="shared" si="192"/>
        <v>1</v>
      </c>
      <c r="AY292" s="78">
        <f t="shared" si="193"/>
        <v>1</v>
      </c>
      <c r="AZ292" s="78">
        <f t="shared" si="194"/>
        <v>1</v>
      </c>
      <c r="BA292" s="78">
        <f t="shared" si="195"/>
        <v>1</v>
      </c>
      <c r="BB292" s="78">
        <f t="shared" si="196"/>
        <v>1</v>
      </c>
      <c r="BC292" s="78">
        <f t="shared" si="197"/>
        <v>1</v>
      </c>
      <c r="BD292" s="78">
        <f t="shared" si="198"/>
        <v>1</v>
      </c>
      <c r="BE292" s="78">
        <f t="shared" si="199"/>
        <v>1</v>
      </c>
      <c r="BF292" s="78">
        <f t="shared" si="200"/>
        <v>1</v>
      </c>
      <c r="BG292" s="78">
        <f t="shared" si="201"/>
        <v>1</v>
      </c>
      <c r="BH292" s="78">
        <f t="shared" si="202"/>
        <v>1</v>
      </c>
      <c r="BI292" s="78">
        <f t="shared" si="203"/>
        <v>1</v>
      </c>
      <c r="BJ292" s="78">
        <f t="shared" si="204"/>
        <v>1</v>
      </c>
      <c r="BK292" s="78">
        <f t="shared" si="205"/>
        <v>1</v>
      </c>
      <c r="BL292" s="78">
        <f t="shared" si="206"/>
        <v>1</v>
      </c>
      <c r="BM292" s="78">
        <f t="shared" si="207"/>
        <v>1</v>
      </c>
      <c r="BN292" s="78">
        <f t="shared" si="208"/>
        <v>1</v>
      </c>
      <c r="BO292" s="78">
        <f t="shared" si="209"/>
        <v>1</v>
      </c>
      <c r="BP292" s="78">
        <f t="shared" si="210"/>
        <v>1</v>
      </c>
      <c r="BQ292" s="78">
        <f t="shared" si="211"/>
        <v>1</v>
      </c>
      <c r="BR292" s="78">
        <f t="shared" si="212"/>
        <v>1</v>
      </c>
      <c r="BS292" s="77"/>
      <c r="BT292" s="77"/>
    </row>
    <row r="293" spans="1:72" ht="14.1" customHeight="1" x14ac:dyDescent="0.2">
      <c r="A293" s="55" t="str">
        <f t="shared" si="183"/>
        <v>DS-2 Optional (Small General Service)_OPT Energy Assistance Charge</v>
      </c>
      <c r="B293" s="80" t="s">
        <v>663</v>
      </c>
      <c r="C293" s="83" t="s">
        <v>803</v>
      </c>
      <c r="D293" s="150"/>
      <c r="E293" s="81"/>
      <c r="F293" s="73" t="s">
        <v>649</v>
      </c>
      <c r="G293" s="73">
        <v>0</v>
      </c>
      <c r="H293" s="73">
        <v>6</v>
      </c>
      <c r="I293" s="74" t="s">
        <v>641</v>
      </c>
      <c r="J293" s="75" t="s">
        <v>634</v>
      </c>
      <c r="K293" s="74"/>
      <c r="L293" s="82">
        <v>4</v>
      </c>
      <c r="M293" s="138">
        <v>4</v>
      </c>
      <c r="N293" s="138">
        <v>4</v>
      </c>
      <c r="O293" s="138">
        <v>4</v>
      </c>
      <c r="P293" s="138">
        <v>4</v>
      </c>
      <c r="Q293" s="138">
        <v>4</v>
      </c>
      <c r="R293" s="138">
        <v>4</v>
      </c>
      <c r="S293" s="138">
        <v>4</v>
      </c>
      <c r="T293" s="138">
        <v>4</v>
      </c>
      <c r="U293" s="138">
        <v>4</v>
      </c>
      <c r="V293" s="138">
        <v>4</v>
      </c>
      <c r="W293" s="138">
        <v>4</v>
      </c>
      <c r="X293" s="138">
        <v>4</v>
      </c>
      <c r="Y293" s="138">
        <f t="shared" si="213"/>
        <v>4</v>
      </c>
      <c r="Z293" s="138">
        <f t="shared" si="214"/>
        <v>4</v>
      </c>
      <c r="AA293" s="138">
        <f t="shared" si="215"/>
        <v>4</v>
      </c>
      <c r="AB293" s="138">
        <f t="shared" si="216"/>
        <v>4</v>
      </c>
      <c r="AC293" s="138">
        <f t="shared" si="217"/>
        <v>4</v>
      </c>
      <c r="AD293" s="138">
        <f t="shared" si="218"/>
        <v>4</v>
      </c>
      <c r="AE293" s="138">
        <f t="shared" si="219"/>
        <v>4</v>
      </c>
      <c r="AF293" s="138">
        <f t="shared" si="220"/>
        <v>4</v>
      </c>
      <c r="AG293" s="138">
        <f t="shared" si="221"/>
        <v>4</v>
      </c>
      <c r="AH293" s="138">
        <f t="shared" si="222"/>
        <v>4</v>
      </c>
      <c r="AI293" s="138">
        <f t="shared" si="223"/>
        <v>4</v>
      </c>
      <c r="AJ293" s="138">
        <f t="shared" si="224"/>
        <v>4</v>
      </c>
      <c r="AK293" s="138">
        <f t="shared" si="225"/>
        <v>4</v>
      </c>
      <c r="AL293" s="138">
        <f t="shared" si="226"/>
        <v>4</v>
      </c>
      <c r="AM293" s="138">
        <f t="shared" si="227"/>
        <v>4</v>
      </c>
      <c r="AO293" s="77" t="str">
        <f t="shared" si="184"/>
        <v>DS-2 Optional (Small General Service)</v>
      </c>
      <c r="AP293" s="78" t="s">
        <v>664</v>
      </c>
      <c r="AQ293" s="77" t="str">
        <f t="shared" si="185"/>
        <v>OPT Energy Assistance Charge</v>
      </c>
      <c r="AR293" s="78" t="str">
        <f t="shared" si="186"/>
        <v>Billing Cycle</v>
      </c>
      <c r="AS293" s="79">
        <f t="shared" si="187"/>
        <v>6</v>
      </c>
      <c r="AT293" s="78">
        <f t="shared" si="188"/>
        <v>4</v>
      </c>
      <c r="AU293" s="78">
        <f t="shared" si="189"/>
        <v>4</v>
      </c>
      <c r="AV293" s="78">
        <f t="shared" si="190"/>
        <v>4</v>
      </c>
      <c r="AW293" s="78">
        <f t="shared" si="191"/>
        <v>4</v>
      </c>
      <c r="AX293" s="78">
        <f t="shared" si="192"/>
        <v>4</v>
      </c>
      <c r="AY293" s="78">
        <f t="shared" si="193"/>
        <v>4</v>
      </c>
      <c r="AZ293" s="78">
        <f t="shared" si="194"/>
        <v>4</v>
      </c>
      <c r="BA293" s="78">
        <f t="shared" si="195"/>
        <v>4</v>
      </c>
      <c r="BB293" s="78">
        <f t="shared" si="196"/>
        <v>4</v>
      </c>
      <c r="BC293" s="78">
        <f t="shared" si="197"/>
        <v>4</v>
      </c>
      <c r="BD293" s="78">
        <f t="shared" si="198"/>
        <v>4</v>
      </c>
      <c r="BE293" s="78">
        <f t="shared" si="199"/>
        <v>4</v>
      </c>
      <c r="BF293" s="78">
        <f t="shared" si="200"/>
        <v>4</v>
      </c>
      <c r="BG293" s="78">
        <f t="shared" si="201"/>
        <v>4</v>
      </c>
      <c r="BH293" s="78">
        <f t="shared" si="202"/>
        <v>4</v>
      </c>
      <c r="BI293" s="78">
        <f t="shared" si="203"/>
        <v>4</v>
      </c>
      <c r="BJ293" s="78">
        <f t="shared" si="204"/>
        <v>4</v>
      </c>
      <c r="BK293" s="78">
        <f t="shared" si="205"/>
        <v>4</v>
      </c>
      <c r="BL293" s="78">
        <f t="shared" si="206"/>
        <v>4</v>
      </c>
      <c r="BM293" s="78">
        <f t="shared" si="207"/>
        <v>4</v>
      </c>
      <c r="BN293" s="78">
        <f t="shared" si="208"/>
        <v>4</v>
      </c>
      <c r="BO293" s="78">
        <f t="shared" si="209"/>
        <v>4</v>
      </c>
      <c r="BP293" s="78">
        <f t="shared" si="210"/>
        <v>4</v>
      </c>
      <c r="BQ293" s="78">
        <f t="shared" si="211"/>
        <v>4</v>
      </c>
      <c r="BR293" s="78">
        <f t="shared" si="212"/>
        <v>4</v>
      </c>
      <c r="BS293" s="77"/>
      <c r="BT293" s="77"/>
    </row>
    <row r="294" spans="1:72" ht="14.1" customHeight="1" x14ac:dyDescent="0.2">
      <c r="A294" s="55" t="str">
        <f t="shared" si="183"/>
        <v>DS-2 Optional (Small General Service)_OPT Meter Charge 100 kV</v>
      </c>
      <c r="B294" s="80" t="s">
        <v>663</v>
      </c>
      <c r="C294" s="83" t="s">
        <v>804</v>
      </c>
      <c r="D294" s="150"/>
      <c r="E294" s="81"/>
      <c r="F294" s="73" t="s">
        <v>649</v>
      </c>
      <c r="G294" s="73">
        <v>0</v>
      </c>
      <c r="H294" s="73">
        <v>6</v>
      </c>
      <c r="I294" s="74" t="s">
        <v>641</v>
      </c>
      <c r="J294" s="75" t="s">
        <v>634</v>
      </c>
      <c r="K294" s="74"/>
      <c r="L294" s="82">
        <v>12.26</v>
      </c>
      <c r="M294" s="138">
        <v>11.39</v>
      </c>
      <c r="N294" s="138">
        <v>11.39</v>
      </c>
      <c r="O294" s="138">
        <v>11.39</v>
      </c>
      <c r="P294" s="138">
        <v>11.39</v>
      </c>
      <c r="Q294" s="138">
        <v>11.39</v>
      </c>
      <c r="R294" s="138">
        <v>11.39</v>
      </c>
      <c r="S294" s="138">
        <v>11.9</v>
      </c>
      <c r="T294" s="138">
        <v>11.9</v>
      </c>
      <c r="U294" s="138">
        <v>11.9</v>
      </c>
      <c r="V294" s="138">
        <v>11.9</v>
      </c>
      <c r="W294" s="138">
        <v>11.9</v>
      </c>
      <c r="X294" s="138">
        <v>11.9</v>
      </c>
      <c r="Y294" s="138">
        <f t="shared" si="213"/>
        <v>11.9</v>
      </c>
      <c r="Z294" s="138">
        <f t="shared" si="214"/>
        <v>11.9</v>
      </c>
      <c r="AA294" s="138">
        <f t="shared" si="215"/>
        <v>11.9</v>
      </c>
      <c r="AB294" s="138">
        <f t="shared" si="216"/>
        <v>11.9</v>
      </c>
      <c r="AC294" s="138">
        <f t="shared" si="217"/>
        <v>11.9</v>
      </c>
      <c r="AD294" s="138">
        <f t="shared" si="218"/>
        <v>11.9</v>
      </c>
      <c r="AE294" s="138">
        <f t="shared" si="219"/>
        <v>11.9</v>
      </c>
      <c r="AF294" s="138">
        <f t="shared" si="220"/>
        <v>11.9</v>
      </c>
      <c r="AG294" s="138">
        <f t="shared" si="221"/>
        <v>11.9</v>
      </c>
      <c r="AH294" s="138">
        <f t="shared" si="222"/>
        <v>11.9</v>
      </c>
      <c r="AI294" s="138">
        <f t="shared" si="223"/>
        <v>11.9</v>
      </c>
      <c r="AJ294" s="138">
        <f t="shared" si="224"/>
        <v>11.9</v>
      </c>
      <c r="AK294" s="138">
        <f t="shared" si="225"/>
        <v>11.9</v>
      </c>
      <c r="AL294" s="138">
        <f t="shared" si="226"/>
        <v>11.900000000000004</v>
      </c>
      <c r="AM294" s="138">
        <f t="shared" si="227"/>
        <v>11.793750000000001</v>
      </c>
      <c r="AO294" s="77" t="str">
        <f t="shared" si="184"/>
        <v>DS-2 Optional (Small General Service)</v>
      </c>
      <c r="AP294" s="78" t="s">
        <v>664</v>
      </c>
      <c r="AQ294" s="77" t="str">
        <f t="shared" si="185"/>
        <v>OPT Meter Charge 100 kV</v>
      </c>
      <c r="AR294" s="78" t="str">
        <f t="shared" si="186"/>
        <v>Billing Cycle</v>
      </c>
      <c r="AS294" s="79">
        <f t="shared" si="187"/>
        <v>6</v>
      </c>
      <c r="AT294" s="78">
        <f t="shared" si="188"/>
        <v>12</v>
      </c>
      <c r="AU294" s="78">
        <f t="shared" si="189"/>
        <v>11.39</v>
      </c>
      <c r="AV294" s="78">
        <f t="shared" si="190"/>
        <v>11.39</v>
      </c>
      <c r="AW294" s="78">
        <f t="shared" si="191"/>
        <v>11.39</v>
      </c>
      <c r="AX294" s="78">
        <f t="shared" si="192"/>
        <v>11.39</v>
      </c>
      <c r="AY294" s="78">
        <f t="shared" si="193"/>
        <v>11.39</v>
      </c>
      <c r="AZ294" s="78">
        <f t="shared" si="194"/>
        <v>11.39</v>
      </c>
      <c r="BA294" s="78">
        <f t="shared" si="195"/>
        <v>11.9</v>
      </c>
      <c r="BB294" s="78">
        <f t="shared" si="196"/>
        <v>11.9</v>
      </c>
      <c r="BC294" s="78">
        <f t="shared" si="197"/>
        <v>11.9</v>
      </c>
      <c r="BD294" s="78">
        <f t="shared" si="198"/>
        <v>11.9</v>
      </c>
      <c r="BE294" s="78">
        <f t="shared" si="199"/>
        <v>11.9</v>
      </c>
      <c r="BF294" s="78">
        <f t="shared" si="200"/>
        <v>11.9</v>
      </c>
      <c r="BG294" s="78">
        <f t="shared" si="201"/>
        <v>11.9</v>
      </c>
      <c r="BH294" s="78">
        <f t="shared" si="202"/>
        <v>11.9</v>
      </c>
      <c r="BI294" s="78">
        <f t="shared" si="203"/>
        <v>11.9</v>
      </c>
      <c r="BJ294" s="78">
        <f t="shared" si="204"/>
        <v>11.9</v>
      </c>
      <c r="BK294" s="78">
        <f t="shared" si="205"/>
        <v>11.9</v>
      </c>
      <c r="BL294" s="78">
        <f t="shared" si="206"/>
        <v>11.9</v>
      </c>
      <c r="BM294" s="78">
        <f t="shared" si="207"/>
        <v>11.9</v>
      </c>
      <c r="BN294" s="78">
        <f t="shared" si="208"/>
        <v>11.9</v>
      </c>
      <c r="BO294" s="78">
        <f t="shared" si="209"/>
        <v>11.9</v>
      </c>
      <c r="BP294" s="78">
        <f t="shared" si="210"/>
        <v>11.9</v>
      </c>
      <c r="BQ294" s="78">
        <f t="shared" si="211"/>
        <v>11.9</v>
      </c>
      <c r="BR294" s="78">
        <f t="shared" si="212"/>
        <v>11.9</v>
      </c>
      <c r="BS294" s="77"/>
      <c r="BT294" s="77"/>
    </row>
    <row r="295" spans="1:72" ht="14.1" customHeight="1" x14ac:dyDescent="0.2">
      <c r="A295" s="55" t="str">
        <f t="shared" si="183"/>
        <v>DS-2 Optional (Small General Service)_OPT Meter Charge High Voltage</v>
      </c>
      <c r="B295" s="80" t="s">
        <v>663</v>
      </c>
      <c r="C295" s="83" t="s">
        <v>805</v>
      </c>
      <c r="D295" s="150"/>
      <c r="E295" s="81"/>
      <c r="F295" s="73" t="s">
        <v>649</v>
      </c>
      <c r="G295" s="73">
        <v>0</v>
      </c>
      <c r="H295" s="73">
        <v>6</v>
      </c>
      <c r="I295" s="74" t="s">
        <v>641</v>
      </c>
      <c r="J295" s="75" t="s">
        <v>634</v>
      </c>
      <c r="K295" s="74"/>
      <c r="L295" s="82">
        <v>12.26</v>
      </c>
      <c r="M295" s="138">
        <v>11.39</v>
      </c>
      <c r="N295" s="138">
        <v>11.39</v>
      </c>
      <c r="O295" s="138">
        <v>11.39</v>
      </c>
      <c r="P295" s="138">
        <v>11.39</v>
      </c>
      <c r="Q295" s="138">
        <v>11.39</v>
      </c>
      <c r="R295" s="138">
        <v>11.39</v>
      </c>
      <c r="S295" s="138">
        <v>11.9</v>
      </c>
      <c r="T295" s="138">
        <v>11.9</v>
      </c>
      <c r="U295" s="138">
        <v>11.9</v>
      </c>
      <c r="V295" s="138">
        <v>11.9</v>
      </c>
      <c r="W295" s="138">
        <v>11.9</v>
      </c>
      <c r="X295" s="138">
        <v>11.9</v>
      </c>
      <c r="Y295" s="138">
        <f t="shared" si="213"/>
        <v>11.9</v>
      </c>
      <c r="Z295" s="138">
        <f t="shared" si="214"/>
        <v>11.9</v>
      </c>
      <c r="AA295" s="138">
        <f t="shared" si="215"/>
        <v>11.9</v>
      </c>
      <c r="AB295" s="138">
        <f t="shared" si="216"/>
        <v>11.9</v>
      </c>
      <c r="AC295" s="138">
        <f t="shared" si="217"/>
        <v>11.9</v>
      </c>
      <c r="AD295" s="138">
        <f t="shared" si="218"/>
        <v>11.9</v>
      </c>
      <c r="AE295" s="138">
        <f t="shared" si="219"/>
        <v>11.9</v>
      </c>
      <c r="AF295" s="138">
        <f t="shared" si="220"/>
        <v>11.9</v>
      </c>
      <c r="AG295" s="138">
        <f t="shared" si="221"/>
        <v>11.9</v>
      </c>
      <c r="AH295" s="138">
        <f t="shared" si="222"/>
        <v>11.9</v>
      </c>
      <c r="AI295" s="138">
        <f t="shared" si="223"/>
        <v>11.9</v>
      </c>
      <c r="AJ295" s="138">
        <f t="shared" si="224"/>
        <v>11.9</v>
      </c>
      <c r="AK295" s="138">
        <f t="shared" si="225"/>
        <v>11.9</v>
      </c>
      <c r="AL295" s="138">
        <f t="shared" si="226"/>
        <v>11.900000000000004</v>
      </c>
      <c r="AM295" s="138">
        <f t="shared" si="227"/>
        <v>11.793750000000001</v>
      </c>
      <c r="AO295" s="77" t="str">
        <f t="shared" si="184"/>
        <v>DS-2 Optional (Small General Service)</v>
      </c>
      <c r="AP295" s="78" t="s">
        <v>664</v>
      </c>
      <c r="AQ295" s="77" t="str">
        <f t="shared" si="185"/>
        <v>OPT Meter Charge High Voltage</v>
      </c>
      <c r="AR295" s="78" t="str">
        <f t="shared" si="186"/>
        <v>Billing Cycle</v>
      </c>
      <c r="AS295" s="79">
        <f t="shared" si="187"/>
        <v>6</v>
      </c>
      <c r="AT295" s="78">
        <f t="shared" si="188"/>
        <v>12</v>
      </c>
      <c r="AU295" s="78">
        <f t="shared" si="189"/>
        <v>11.39</v>
      </c>
      <c r="AV295" s="78">
        <f t="shared" si="190"/>
        <v>11.39</v>
      </c>
      <c r="AW295" s="78">
        <f t="shared" si="191"/>
        <v>11.39</v>
      </c>
      <c r="AX295" s="78">
        <f t="shared" si="192"/>
        <v>11.39</v>
      </c>
      <c r="AY295" s="78">
        <f t="shared" si="193"/>
        <v>11.39</v>
      </c>
      <c r="AZ295" s="78">
        <f t="shared" si="194"/>
        <v>11.39</v>
      </c>
      <c r="BA295" s="78">
        <f t="shared" si="195"/>
        <v>11.9</v>
      </c>
      <c r="BB295" s="78">
        <f t="shared" si="196"/>
        <v>11.9</v>
      </c>
      <c r="BC295" s="78">
        <f t="shared" si="197"/>
        <v>11.9</v>
      </c>
      <c r="BD295" s="78">
        <f t="shared" si="198"/>
        <v>11.9</v>
      </c>
      <c r="BE295" s="78">
        <f t="shared" si="199"/>
        <v>11.9</v>
      </c>
      <c r="BF295" s="78">
        <f t="shared" si="200"/>
        <v>11.9</v>
      </c>
      <c r="BG295" s="78">
        <f t="shared" si="201"/>
        <v>11.9</v>
      </c>
      <c r="BH295" s="78">
        <f t="shared" si="202"/>
        <v>11.9</v>
      </c>
      <c r="BI295" s="78">
        <f t="shared" si="203"/>
        <v>11.9</v>
      </c>
      <c r="BJ295" s="78">
        <f t="shared" si="204"/>
        <v>11.9</v>
      </c>
      <c r="BK295" s="78">
        <f t="shared" si="205"/>
        <v>11.9</v>
      </c>
      <c r="BL295" s="78">
        <f t="shared" si="206"/>
        <v>11.9</v>
      </c>
      <c r="BM295" s="78">
        <f t="shared" si="207"/>
        <v>11.9</v>
      </c>
      <c r="BN295" s="78">
        <f t="shared" si="208"/>
        <v>11.9</v>
      </c>
      <c r="BO295" s="78">
        <f t="shared" si="209"/>
        <v>11.9</v>
      </c>
      <c r="BP295" s="78">
        <f t="shared" si="210"/>
        <v>11.9</v>
      </c>
      <c r="BQ295" s="78">
        <f t="shared" si="211"/>
        <v>11.9</v>
      </c>
      <c r="BR295" s="78">
        <f t="shared" si="212"/>
        <v>11.9</v>
      </c>
      <c r="BS295" s="77"/>
      <c r="BT295" s="77"/>
    </row>
    <row r="296" spans="1:72" ht="14.1" customHeight="1" x14ac:dyDescent="0.2">
      <c r="A296" s="55" t="str">
        <f t="shared" si="183"/>
        <v>DS-2 Optional (Small General Service)_OPT Meter Charge Primary</v>
      </c>
      <c r="B296" s="80" t="s">
        <v>663</v>
      </c>
      <c r="C296" s="83" t="s">
        <v>806</v>
      </c>
      <c r="D296" s="150"/>
      <c r="E296" s="81"/>
      <c r="F296" s="73" t="s">
        <v>649</v>
      </c>
      <c r="G296" s="73">
        <v>0</v>
      </c>
      <c r="H296" s="73">
        <v>6</v>
      </c>
      <c r="I296" s="74" t="s">
        <v>641</v>
      </c>
      <c r="J296" s="75" t="s">
        <v>634</v>
      </c>
      <c r="K296" s="74"/>
      <c r="L296" s="82">
        <v>12.26</v>
      </c>
      <c r="M296" s="138">
        <v>11.39</v>
      </c>
      <c r="N296" s="138">
        <v>11.39</v>
      </c>
      <c r="O296" s="138">
        <v>11.39</v>
      </c>
      <c r="P296" s="138">
        <v>11.39</v>
      </c>
      <c r="Q296" s="138">
        <v>11.39</v>
      </c>
      <c r="R296" s="138">
        <v>11.39</v>
      </c>
      <c r="S296" s="138">
        <v>11.9</v>
      </c>
      <c r="T296" s="138">
        <v>11.9</v>
      </c>
      <c r="U296" s="138">
        <v>11.9</v>
      </c>
      <c r="V296" s="138">
        <v>11.9</v>
      </c>
      <c r="W296" s="138">
        <v>11.9</v>
      </c>
      <c r="X296" s="138">
        <v>11.9</v>
      </c>
      <c r="Y296" s="138">
        <f t="shared" si="213"/>
        <v>11.9</v>
      </c>
      <c r="Z296" s="138">
        <f t="shared" si="214"/>
        <v>11.9</v>
      </c>
      <c r="AA296" s="138">
        <f t="shared" si="215"/>
        <v>11.9</v>
      </c>
      <c r="AB296" s="138">
        <f t="shared" si="216"/>
        <v>11.9</v>
      </c>
      <c r="AC296" s="138">
        <f t="shared" si="217"/>
        <v>11.9</v>
      </c>
      <c r="AD296" s="138">
        <f t="shared" si="218"/>
        <v>11.9</v>
      </c>
      <c r="AE296" s="138">
        <f t="shared" si="219"/>
        <v>11.9</v>
      </c>
      <c r="AF296" s="138">
        <f t="shared" si="220"/>
        <v>11.9</v>
      </c>
      <c r="AG296" s="138">
        <f t="shared" si="221"/>
        <v>11.9</v>
      </c>
      <c r="AH296" s="138">
        <f t="shared" si="222"/>
        <v>11.9</v>
      </c>
      <c r="AI296" s="138">
        <f t="shared" si="223"/>
        <v>11.9</v>
      </c>
      <c r="AJ296" s="138">
        <f t="shared" si="224"/>
        <v>11.9</v>
      </c>
      <c r="AK296" s="138">
        <f t="shared" si="225"/>
        <v>11.9</v>
      </c>
      <c r="AL296" s="138">
        <f t="shared" si="226"/>
        <v>11.900000000000004</v>
      </c>
      <c r="AM296" s="138">
        <f t="shared" si="227"/>
        <v>11.793750000000001</v>
      </c>
      <c r="AO296" s="77" t="str">
        <f t="shared" si="184"/>
        <v>DS-2 Optional (Small General Service)</v>
      </c>
      <c r="AP296" s="78" t="s">
        <v>664</v>
      </c>
      <c r="AQ296" s="77" t="str">
        <f t="shared" si="185"/>
        <v>OPT Meter Charge Primary</v>
      </c>
      <c r="AR296" s="78" t="str">
        <f t="shared" si="186"/>
        <v>Billing Cycle</v>
      </c>
      <c r="AS296" s="79">
        <f t="shared" si="187"/>
        <v>6</v>
      </c>
      <c r="AT296" s="78">
        <f t="shared" si="188"/>
        <v>12</v>
      </c>
      <c r="AU296" s="78">
        <f t="shared" si="189"/>
        <v>11.39</v>
      </c>
      <c r="AV296" s="78">
        <f t="shared" si="190"/>
        <v>11.39</v>
      </c>
      <c r="AW296" s="78">
        <f t="shared" si="191"/>
        <v>11.39</v>
      </c>
      <c r="AX296" s="78">
        <f t="shared" si="192"/>
        <v>11.39</v>
      </c>
      <c r="AY296" s="78">
        <f t="shared" si="193"/>
        <v>11.39</v>
      </c>
      <c r="AZ296" s="78">
        <f t="shared" si="194"/>
        <v>11.39</v>
      </c>
      <c r="BA296" s="78">
        <f t="shared" si="195"/>
        <v>11.9</v>
      </c>
      <c r="BB296" s="78">
        <f t="shared" si="196"/>
        <v>11.9</v>
      </c>
      <c r="BC296" s="78">
        <f t="shared" si="197"/>
        <v>11.9</v>
      </c>
      <c r="BD296" s="78">
        <f t="shared" si="198"/>
        <v>11.9</v>
      </c>
      <c r="BE296" s="78">
        <f t="shared" si="199"/>
        <v>11.9</v>
      </c>
      <c r="BF296" s="78">
        <f t="shared" si="200"/>
        <v>11.9</v>
      </c>
      <c r="BG296" s="78">
        <f t="shared" si="201"/>
        <v>11.9</v>
      </c>
      <c r="BH296" s="78">
        <f t="shared" si="202"/>
        <v>11.9</v>
      </c>
      <c r="BI296" s="78">
        <f t="shared" si="203"/>
        <v>11.9</v>
      </c>
      <c r="BJ296" s="78">
        <f t="shared" si="204"/>
        <v>11.9</v>
      </c>
      <c r="BK296" s="78">
        <f t="shared" si="205"/>
        <v>11.9</v>
      </c>
      <c r="BL296" s="78">
        <f t="shared" si="206"/>
        <v>11.9</v>
      </c>
      <c r="BM296" s="78">
        <f t="shared" si="207"/>
        <v>11.9</v>
      </c>
      <c r="BN296" s="78">
        <f t="shared" si="208"/>
        <v>11.9</v>
      </c>
      <c r="BO296" s="78">
        <f t="shared" si="209"/>
        <v>11.9</v>
      </c>
      <c r="BP296" s="78">
        <f t="shared" si="210"/>
        <v>11.9</v>
      </c>
      <c r="BQ296" s="78">
        <f t="shared" si="211"/>
        <v>11.9</v>
      </c>
      <c r="BR296" s="78">
        <f t="shared" si="212"/>
        <v>11.9</v>
      </c>
      <c r="BS296" s="77"/>
      <c r="BT296" s="77"/>
    </row>
    <row r="297" spans="1:72" ht="14.1" customHeight="1" x14ac:dyDescent="0.2">
      <c r="A297" s="55" t="str">
        <f t="shared" si="183"/>
        <v>DS-2 Optional (Small General Service)_OPT Meter Charge Secondary</v>
      </c>
      <c r="B297" s="80" t="s">
        <v>663</v>
      </c>
      <c r="C297" s="71" t="s">
        <v>807</v>
      </c>
      <c r="D297" s="150"/>
      <c r="E297" s="81"/>
      <c r="F297" s="73" t="s">
        <v>649</v>
      </c>
      <c r="G297" s="73">
        <v>0</v>
      </c>
      <c r="H297" s="73">
        <v>6</v>
      </c>
      <c r="I297" s="74" t="s">
        <v>641</v>
      </c>
      <c r="J297" s="75" t="s">
        <v>634</v>
      </c>
      <c r="K297" s="74"/>
      <c r="L297" s="82">
        <v>12.26</v>
      </c>
      <c r="M297" s="138">
        <v>11.39</v>
      </c>
      <c r="N297" s="138">
        <v>11.39</v>
      </c>
      <c r="O297" s="138">
        <v>11.39</v>
      </c>
      <c r="P297" s="138">
        <v>11.39</v>
      </c>
      <c r="Q297" s="138">
        <v>11.39</v>
      </c>
      <c r="R297" s="138">
        <v>11.39</v>
      </c>
      <c r="S297" s="138">
        <v>11.9</v>
      </c>
      <c r="T297" s="138">
        <v>11.9</v>
      </c>
      <c r="U297" s="138">
        <v>11.9</v>
      </c>
      <c r="V297" s="138">
        <v>11.9</v>
      </c>
      <c r="W297" s="138">
        <v>11.9</v>
      </c>
      <c r="X297" s="138">
        <v>11.9</v>
      </c>
      <c r="Y297" s="138">
        <f t="shared" si="213"/>
        <v>11.9</v>
      </c>
      <c r="Z297" s="138">
        <f t="shared" si="214"/>
        <v>11.9</v>
      </c>
      <c r="AA297" s="138">
        <f t="shared" si="215"/>
        <v>11.9</v>
      </c>
      <c r="AB297" s="138">
        <f t="shared" si="216"/>
        <v>11.9</v>
      </c>
      <c r="AC297" s="138">
        <f t="shared" si="217"/>
        <v>11.9</v>
      </c>
      <c r="AD297" s="138">
        <f t="shared" si="218"/>
        <v>11.9</v>
      </c>
      <c r="AE297" s="138">
        <f t="shared" si="219"/>
        <v>11.9</v>
      </c>
      <c r="AF297" s="138">
        <f t="shared" si="220"/>
        <v>11.9</v>
      </c>
      <c r="AG297" s="138">
        <f t="shared" si="221"/>
        <v>11.9</v>
      </c>
      <c r="AH297" s="138">
        <f t="shared" si="222"/>
        <v>11.9</v>
      </c>
      <c r="AI297" s="138">
        <f t="shared" si="223"/>
        <v>11.9</v>
      </c>
      <c r="AJ297" s="138">
        <f t="shared" si="224"/>
        <v>11.9</v>
      </c>
      <c r="AK297" s="138">
        <f t="shared" si="225"/>
        <v>11.9</v>
      </c>
      <c r="AL297" s="138">
        <f t="shared" si="226"/>
        <v>11.900000000000004</v>
      </c>
      <c r="AM297" s="138">
        <f t="shared" si="227"/>
        <v>11.793750000000001</v>
      </c>
      <c r="AO297" s="77" t="str">
        <f t="shared" si="184"/>
        <v>DS-2 Optional (Small General Service)</v>
      </c>
      <c r="AP297" s="78" t="s">
        <v>664</v>
      </c>
      <c r="AQ297" s="77" t="str">
        <f t="shared" si="185"/>
        <v>OPT Meter Charge Secondary</v>
      </c>
      <c r="AR297" s="78" t="str">
        <f t="shared" si="186"/>
        <v>Billing Cycle</v>
      </c>
      <c r="AS297" s="79">
        <f t="shared" si="187"/>
        <v>6</v>
      </c>
      <c r="AT297" s="78">
        <f t="shared" si="188"/>
        <v>12</v>
      </c>
      <c r="AU297" s="78">
        <f t="shared" si="189"/>
        <v>11.39</v>
      </c>
      <c r="AV297" s="78">
        <f t="shared" si="190"/>
        <v>11.39</v>
      </c>
      <c r="AW297" s="78">
        <f t="shared" si="191"/>
        <v>11.39</v>
      </c>
      <c r="AX297" s="78">
        <f t="shared" si="192"/>
        <v>11.39</v>
      </c>
      <c r="AY297" s="78">
        <f t="shared" si="193"/>
        <v>11.39</v>
      </c>
      <c r="AZ297" s="78">
        <f t="shared" si="194"/>
        <v>11.39</v>
      </c>
      <c r="BA297" s="78">
        <f t="shared" si="195"/>
        <v>11.9</v>
      </c>
      <c r="BB297" s="78">
        <f t="shared" si="196"/>
        <v>11.9</v>
      </c>
      <c r="BC297" s="78">
        <f t="shared" si="197"/>
        <v>11.9</v>
      </c>
      <c r="BD297" s="78">
        <f t="shared" si="198"/>
        <v>11.9</v>
      </c>
      <c r="BE297" s="78">
        <f t="shared" si="199"/>
        <v>11.9</v>
      </c>
      <c r="BF297" s="78">
        <f t="shared" si="200"/>
        <v>11.9</v>
      </c>
      <c r="BG297" s="78">
        <f t="shared" si="201"/>
        <v>11.9</v>
      </c>
      <c r="BH297" s="78">
        <f t="shared" si="202"/>
        <v>11.9</v>
      </c>
      <c r="BI297" s="78">
        <f t="shared" si="203"/>
        <v>11.9</v>
      </c>
      <c r="BJ297" s="78">
        <f t="shared" si="204"/>
        <v>11.9</v>
      </c>
      <c r="BK297" s="78">
        <f t="shared" si="205"/>
        <v>11.9</v>
      </c>
      <c r="BL297" s="78">
        <f t="shared" si="206"/>
        <v>11.9</v>
      </c>
      <c r="BM297" s="78">
        <f t="shared" si="207"/>
        <v>11.9</v>
      </c>
      <c r="BN297" s="78">
        <f t="shared" si="208"/>
        <v>11.9</v>
      </c>
      <c r="BO297" s="78">
        <f t="shared" si="209"/>
        <v>11.9</v>
      </c>
      <c r="BP297" s="78">
        <f t="shared" si="210"/>
        <v>11.9</v>
      </c>
      <c r="BQ297" s="78">
        <f t="shared" si="211"/>
        <v>11.9</v>
      </c>
      <c r="BR297" s="78">
        <f t="shared" si="212"/>
        <v>11.9</v>
      </c>
      <c r="BS297" s="77"/>
      <c r="BT297" s="77"/>
    </row>
    <row r="298" spans="1:72" ht="14.1" customHeight="1" x14ac:dyDescent="0.2">
      <c r="A298" s="55" t="str">
        <f t="shared" si="183"/>
        <v>DS-2 Optional (Small General Service)_OPT Meter Reassignment</v>
      </c>
      <c r="B298" s="80" t="s">
        <v>663</v>
      </c>
      <c r="C298" s="71" t="s">
        <v>808</v>
      </c>
      <c r="D298" s="150"/>
      <c r="E298" s="81"/>
      <c r="F298" s="73" t="s">
        <v>649</v>
      </c>
      <c r="G298" s="73">
        <v>0</v>
      </c>
      <c r="H298" s="73">
        <v>6</v>
      </c>
      <c r="I298" s="74" t="s">
        <v>641</v>
      </c>
      <c r="J298" s="75" t="s">
        <v>634</v>
      </c>
      <c r="K298" s="74"/>
      <c r="L298" s="82">
        <v>89</v>
      </c>
      <c r="M298" s="138">
        <v>89</v>
      </c>
      <c r="N298" s="138">
        <v>89</v>
      </c>
      <c r="O298" s="138">
        <v>89</v>
      </c>
      <c r="P298" s="138">
        <v>89</v>
      </c>
      <c r="Q298" s="138">
        <v>89</v>
      </c>
      <c r="R298" s="138">
        <v>89</v>
      </c>
      <c r="S298" s="138">
        <v>89</v>
      </c>
      <c r="T298" s="138">
        <v>89</v>
      </c>
      <c r="U298" s="138">
        <v>89</v>
      </c>
      <c r="V298" s="138">
        <v>89</v>
      </c>
      <c r="W298" s="138">
        <v>89</v>
      </c>
      <c r="X298" s="138">
        <v>89</v>
      </c>
      <c r="Y298" s="138">
        <f t="shared" si="213"/>
        <v>89</v>
      </c>
      <c r="Z298" s="138">
        <f t="shared" si="214"/>
        <v>89</v>
      </c>
      <c r="AA298" s="138">
        <f t="shared" si="215"/>
        <v>89</v>
      </c>
      <c r="AB298" s="138">
        <f t="shared" si="216"/>
        <v>89</v>
      </c>
      <c r="AC298" s="138">
        <f t="shared" si="217"/>
        <v>89</v>
      </c>
      <c r="AD298" s="138">
        <f t="shared" si="218"/>
        <v>89</v>
      </c>
      <c r="AE298" s="138">
        <f t="shared" si="219"/>
        <v>89</v>
      </c>
      <c r="AF298" s="138">
        <f t="shared" si="220"/>
        <v>89</v>
      </c>
      <c r="AG298" s="138">
        <f t="shared" si="221"/>
        <v>89</v>
      </c>
      <c r="AH298" s="138">
        <f t="shared" si="222"/>
        <v>89</v>
      </c>
      <c r="AI298" s="138">
        <f t="shared" si="223"/>
        <v>89</v>
      </c>
      <c r="AJ298" s="138">
        <f t="shared" si="224"/>
        <v>89</v>
      </c>
      <c r="AK298" s="138">
        <f t="shared" si="225"/>
        <v>89</v>
      </c>
      <c r="AL298" s="138">
        <f t="shared" si="226"/>
        <v>89</v>
      </c>
      <c r="AM298" s="138">
        <f t="shared" si="227"/>
        <v>89</v>
      </c>
      <c r="AO298" s="77" t="str">
        <f t="shared" si="184"/>
        <v>DS-2 Optional (Small General Service)</v>
      </c>
      <c r="AP298" s="78" t="s">
        <v>664</v>
      </c>
      <c r="AQ298" s="77" t="str">
        <f t="shared" si="185"/>
        <v>OPT Meter Reassignment</v>
      </c>
      <c r="AR298" s="78" t="str">
        <f t="shared" si="186"/>
        <v>Billing Cycle</v>
      </c>
      <c r="AS298" s="79">
        <f t="shared" si="187"/>
        <v>6</v>
      </c>
      <c r="AT298" s="78">
        <f t="shared" si="188"/>
        <v>89</v>
      </c>
      <c r="AU298" s="78">
        <f t="shared" si="189"/>
        <v>89</v>
      </c>
      <c r="AV298" s="78">
        <f t="shared" si="190"/>
        <v>89</v>
      </c>
      <c r="AW298" s="78">
        <f t="shared" si="191"/>
        <v>89</v>
      </c>
      <c r="AX298" s="78">
        <f t="shared" si="192"/>
        <v>89</v>
      </c>
      <c r="AY298" s="78">
        <f t="shared" si="193"/>
        <v>89</v>
      </c>
      <c r="AZ298" s="78">
        <f t="shared" si="194"/>
        <v>89</v>
      </c>
      <c r="BA298" s="78">
        <f t="shared" si="195"/>
        <v>89</v>
      </c>
      <c r="BB298" s="78">
        <f t="shared" si="196"/>
        <v>89</v>
      </c>
      <c r="BC298" s="78">
        <f t="shared" si="197"/>
        <v>89</v>
      </c>
      <c r="BD298" s="78">
        <f t="shared" si="198"/>
        <v>89</v>
      </c>
      <c r="BE298" s="78">
        <f t="shared" si="199"/>
        <v>89</v>
      </c>
      <c r="BF298" s="78">
        <f t="shared" si="200"/>
        <v>89</v>
      </c>
      <c r="BG298" s="78">
        <f t="shared" si="201"/>
        <v>89</v>
      </c>
      <c r="BH298" s="78">
        <f t="shared" si="202"/>
        <v>89</v>
      </c>
      <c r="BI298" s="78">
        <f t="shared" si="203"/>
        <v>89</v>
      </c>
      <c r="BJ298" s="78">
        <f t="shared" si="204"/>
        <v>89</v>
      </c>
      <c r="BK298" s="78">
        <f t="shared" si="205"/>
        <v>89</v>
      </c>
      <c r="BL298" s="78">
        <f t="shared" si="206"/>
        <v>89</v>
      </c>
      <c r="BM298" s="78">
        <f t="shared" si="207"/>
        <v>89</v>
      </c>
      <c r="BN298" s="78">
        <f t="shared" si="208"/>
        <v>89</v>
      </c>
      <c r="BO298" s="78">
        <f t="shared" si="209"/>
        <v>89</v>
      </c>
      <c r="BP298" s="78">
        <f t="shared" si="210"/>
        <v>89</v>
      </c>
      <c r="BQ298" s="78">
        <f t="shared" si="211"/>
        <v>89</v>
      </c>
      <c r="BR298" s="78">
        <f t="shared" si="212"/>
        <v>89</v>
      </c>
      <c r="BS298" s="77"/>
      <c r="BT298" s="77"/>
    </row>
    <row r="299" spans="1:72" ht="14.1" customHeight="1" x14ac:dyDescent="0.2">
      <c r="A299" s="55" t="str">
        <f t="shared" si="183"/>
        <v>DS-2 Optional (Small General Service)_OPT Renewable Energy</v>
      </c>
      <c r="B299" s="80" t="s">
        <v>663</v>
      </c>
      <c r="C299" s="83" t="s">
        <v>809</v>
      </c>
      <c r="D299" s="150"/>
      <c r="E299" s="81"/>
      <c r="F299" s="73" t="s">
        <v>649</v>
      </c>
      <c r="G299" s="73">
        <v>0</v>
      </c>
      <c r="H299" s="73">
        <v>6</v>
      </c>
      <c r="I299" s="74" t="s">
        <v>641</v>
      </c>
      <c r="J299" s="75" t="s">
        <v>634</v>
      </c>
      <c r="K299" s="74"/>
      <c r="L299" s="82">
        <v>1</v>
      </c>
      <c r="M299" s="138">
        <v>1</v>
      </c>
      <c r="N299" s="138">
        <v>1</v>
      </c>
      <c r="O299" s="138">
        <v>1</v>
      </c>
      <c r="P299" s="138">
        <v>1</v>
      </c>
      <c r="Q299" s="138">
        <v>1</v>
      </c>
      <c r="R299" s="138">
        <v>1</v>
      </c>
      <c r="S299" s="138">
        <v>1</v>
      </c>
      <c r="T299" s="138">
        <v>1</v>
      </c>
      <c r="U299" s="138">
        <v>1</v>
      </c>
      <c r="V299" s="138">
        <v>1</v>
      </c>
      <c r="W299" s="138">
        <v>1</v>
      </c>
      <c r="X299" s="138">
        <v>1</v>
      </c>
      <c r="Y299" s="138">
        <f t="shared" si="213"/>
        <v>1</v>
      </c>
      <c r="Z299" s="138">
        <f t="shared" si="214"/>
        <v>1</v>
      </c>
      <c r="AA299" s="138">
        <f t="shared" si="215"/>
        <v>1</v>
      </c>
      <c r="AB299" s="138">
        <f t="shared" si="216"/>
        <v>1</v>
      </c>
      <c r="AC299" s="138">
        <f t="shared" si="217"/>
        <v>1</v>
      </c>
      <c r="AD299" s="138">
        <f t="shared" si="218"/>
        <v>1</v>
      </c>
      <c r="AE299" s="138">
        <f t="shared" si="219"/>
        <v>1</v>
      </c>
      <c r="AF299" s="138">
        <f t="shared" si="220"/>
        <v>1</v>
      </c>
      <c r="AG299" s="138">
        <f t="shared" si="221"/>
        <v>1</v>
      </c>
      <c r="AH299" s="138">
        <f t="shared" si="222"/>
        <v>1</v>
      </c>
      <c r="AI299" s="138">
        <f t="shared" si="223"/>
        <v>1</v>
      </c>
      <c r="AJ299" s="138">
        <f t="shared" si="224"/>
        <v>1</v>
      </c>
      <c r="AK299" s="138">
        <f t="shared" si="225"/>
        <v>1</v>
      </c>
      <c r="AL299" s="138">
        <f t="shared" si="226"/>
        <v>1</v>
      </c>
      <c r="AM299" s="138">
        <f t="shared" si="227"/>
        <v>1</v>
      </c>
      <c r="AO299" s="77" t="str">
        <f t="shared" si="184"/>
        <v>DS-2 Optional (Small General Service)</v>
      </c>
      <c r="AP299" s="78" t="s">
        <v>664</v>
      </c>
      <c r="AQ299" s="77" t="str">
        <f t="shared" si="185"/>
        <v>OPT Renewable Energy</v>
      </c>
      <c r="AR299" s="78" t="str">
        <f t="shared" si="186"/>
        <v>Billing Cycle</v>
      </c>
      <c r="AS299" s="79">
        <f t="shared" si="187"/>
        <v>6</v>
      </c>
      <c r="AT299" s="78">
        <f t="shared" si="188"/>
        <v>1</v>
      </c>
      <c r="AU299" s="78">
        <f t="shared" si="189"/>
        <v>1</v>
      </c>
      <c r="AV299" s="78">
        <f t="shared" si="190"/>
        <v>1</v>
      </c>
      <c r="AW299" s="78">
        <f t="shared" si="191"/>
        <v>1</v>
      </c>
      <c r="AX299" s="78">
        <f t="shared" si="192"/>
        <v>1</v>
      </c>
      <c r="AY299" s="78">
        <f t="shared" si="193"/>
        <v>1</v>
      </c>
      <c r="AZ299" s="78">
        <f t="shared" si="194"/>
        <v>1</v>
      </c>
      <c r="BA299" s="78">
        <f t="shared" si="195"/>
        <v>1</v>
      </c>
      <c r="BB299" s="78">
        <f t="shared" si="196"/>
        <v>1</v>
      </c>
      <c r="BC299" s="78">
        <f t="shared" si="197"/>
        <v>1</v>
      </c>
      <c r="BD299" s="78">
        <f t="shared" si="198"/>
        <v>1</v>
      </c>
      <c r="BE299" s="78">
        <f t="shared" si="199"/>
        <v>1</v>
      </c>
      <c r="BF299" s="78">
        <f t="shared" si="200"/>
        <v>1</v>
      </c>
      <c r="BG299" s="78">
        <f t="shared" si="201"/>
        <v>1</v>
      </c>
      <c r="BH299" s="78">
        <f t="shared" si="202"/>
        <v>1</v>
      </c>
      <c r="BI299" s="78">
        <f t="shared" si="203"/>
        <v>1</v>
      </c>
      <c r="BJ299" s="78">
        <f t="shared" si="204"/>
        <v>1</v>
      </c>
      <c r="BK299" s="78">
        <f t="shared" si="205"/>
        <v>1</v>
      </c>
      <c r="BL299" s="78">
        <f t="shared" si="206"/>
        <v>1</v>
      </c>
      <c r="BM299" s="78">
        <f t="shared" si="207"/>
        <v>1</v>
      </c>
      <c r="BN299" s="78">
        <f t="shared" si="208"/>
        <v>1</v>
      </c>
      <c r="BO299" s="78">
        <f t="shared" si="209"/>
        <v>1</v>
      </c>
      <c r="BP299" s="78">
        <f t="shared" si="210"/>
        <v>1</v>
      </c>
      <c r="BQ299" s="78">
        <f t="shared" si="211"/>
        <v>1</v>
      </c>
      <c r="BR299" s="78">
        <f t="shared" si="212"/>
        <v>1</v>
      </c>
      <c r="BS299" s="77"/>
      <c r="BT299" s="77"/>
    </row>
    <row r="300" spans="1:72" ht="14.1" customHeight="1" x14ac:dyDescent="0.2">
      <c r="A300" s="55" t="str">
        <f t="shared" si="183"/>
        <v>DS-2 Optional (Small General Service)_OPT Rider EUA-DS (Added to Customer Charge)</v>
      </c>
      <c r="B300" s="80" t="s">
        <v>663</v>
      </c>
      <c r="C300" s="83" t="s">
        <v>810</v>
      </c>
      <c r="D300" s="150"/>
      <c r="E300" s="81"/>
      <c r="F300" s="73" t="s">
        <v>649</v>
      </c>
      <c r="G300" s="73">
        <v>0</v>
      </c>
      <c r="H300" s="73">
        <v>6</v>
      </c>
      <c r="I300" s="74" t="s">
        <v>641</v>
      </c>
      <c r="J300" s="75" t="s">
        <v>634</v>
      </c>
      <c r="K300" s="74"/>
      <c r="L300" s="82">
        <v>-0.52</v>
      </c>
      <c r="M300" s="138">
        <v>-0.52</v>
      </c>
      <c r="N300" s="138">
        <v>-0.52</v>
      </c>
      <c r="O300" s="138">
        <v>-0.52</v>
      </c>
      <c r="P300" s="138">
        <v>-0.52</v>
      </c>
      <c r="Q300" s="138">
        <v>-0.52</v>
      </c>
      <c r="R300" s="138">
        <v>-0.52</v>
      </c>
      <c r="S300" s="138">
        <v>-0.52</v>
      </c>
      <c r="T300" s="138">
        <v>-0.52</v>
      </c>
      <c r="U300" s="138">
        <v>-0.52</v>
      </c>
      <c r="V300" s="138">
        <v>-0.52</v>
      </c>
      <c r="W300" s="138">
        <v>-0.52</v>
      </c>
      <c r="X300" s="138">
        <v>-0.52</v>
      </c>
      <c r="Y300" s="138">
        <f t="shared" si="213"/>
        <v>-0.52</v>
      </c>
      <c r="Z300" s="138">
        <f t="shared" si="214"/>
        <v>-0.52</v>
      </c>
      <c r="AA300" s="138">
        <f t="shared" si="215"/>
        <v>-0.52</v>
      </c>
      <c r="AB300" s="138">
        <f t="shared" si="216"/>
        <v>-0.52</v>
      </c>
      <c r="AC300" s="138">
        <f t="shared" si="217"/>
        <v>-0.52</v>
      </c>
      <c r="AD300" s="138">
        <f t="shared" si="218"/>
        <v>-0.52</v>
      </c>
      <c r="AE300" s="138">
        <f t="shared" si="219"/>
        <v>-0.52</v>
      </c>
      <c r="AF300" s="138">
        <f t="shared" si="220"/>
        <v>-0.52</v>
      </c>
      <c r="AG300" s="138">
        <f t="shared" si="221"/>
        <v>-0.52</v>
      </c>
      <c r="AH300" s="138">
        <f t="shared" si="222"/>
        <v>-0.52</v>
      </c>
      <c r="AI300" s="138">
        <f t="shared" si="223"/>
        <v>-0.52</v>
      </c>
      <c r="AJ300" s="138">
        <f t="shared" si="224"/>
        <v>-0.52</v>
      </c>
      <c r="AK300" s="138">
        <f t="shared" si="225"/>
        <v>-0.52</v>
      </c>
      <c r="AL300" s="138">
        <f t="shared" si="226"/>
        <v>-0.51999999999999991</v>
      </c>
      <c r="AM300" s="138">
        <f t="shared" si="227"/>
        <v>-0.51999999999999968</v>
      </c>
      <c r="AO300" s="77" t="str">
        <f t="shared" si="184"/>
        <v>DS-2 Optional (Small General Service)</v>
      </c>
      <c r="AP300" s="78" t="s">
        <v>664</v>
      </c>
      <c r="AQ300" s="77" t="str">
        <f t="shared" si="185"/>
        <v>OPT Rider EUA-DS (Added to Customer Charge)</v>
      </c>
      <c r="AR300" s="78" t="str">
        <f t="shared" si="186"/>
        <v>Billing Cycle</v>
      </c>
      <c r="AS300" s="79">
        <f t="shared" si="187"/>
        <v>6</v>
      </c>
      <c r="AT300" s="78">
        <f t="shared" si="188"/>
        <v>-1</v>
      </c>
      <c r="AU300" s="78">
        <f t="shared" si="189"/>
        <v>-0.52</v>
      </c>
      <c r="AV300" s="78">
        <f t="shared" si="190"/>
        <v>-0.52</v>
      </c>
      <c r="AW300" s="78">
        <f t="shared" si="191"/>
        <v>-0.52</v>
      </c>
      <c r="AX300" s="78">
        <f t="shared" si="192"/>
        <v>-0.52</v>
      </c>
      <c r="AY300" s="78">
        <f t="shared" si="193"/>
        <v>-0.52</v>
      </c>
      <c r="AZ300" s="78">
        <f t="shared" si="194"/>
        <v>-0.52</v>
      </c>
      <c r="BA300" s="78">
        <f t="shared" si="195"/>
        <v>-0.52</v>
      </c>
      <c r="BB300" s="78">
        <f t="shared" si="196"/>
        <v>-0.52</v>
      </c>
      <c r="BC300" s="78">
        <f t="shared" si="197"/>
        <v>-0.52</v>
      </c>
      <c r="BD300" s="78">
        <f t="shared" si="198"/>
        <v>-0.52</v>
      </c>
      <c r="BE300" s="78">
        <f t="shared" si="199"/>
        <v>-0.52</v>
      </c>
      <c r="BF300" s="78">
        <f t="shared" si="200"/>
        <v>-0.52</v>
      </c>
      <c r="BG300" s="78">
        <f t="shared" si="201"/>
        <v>-0.52</v>
      </c>
      <c r="BH300" s="78">
        <f t="shared" si="202"/>
        <v>-0.52</v>
      </c>
      <c r="BI300" s="78">
        <f t="shared" si="203"/>
        <v>-0.52</v>
      </c>
      <c r="BJ300" s="78">
        <f t="shared" si="204"/>
        <v>-0.52</v>
      </c>
      <c r="BK300" s="78">
        <f t="shared" si="205"/>
        <v>-0.52</v>
      </c>
      <c r="BL300" s="78">
        <f t="shared" si="206"/>
        <v>-0.52</v>
      </c>
      <c r="BM300" s="78">
        <f t="shared" si="207"/>
        <v>-0.52</v>
      </c>
      <c r="BN300" s="78">
        <f t="shared" si="208"/>
        <v>-0.52</v>
      </c>
      <c r="BO300" s="78">
        <f t="shared" si="209"/>
        <v>-0.52</v>
      </c>
      <c r="BP300" s="78">
        <f t="shared" si="210"/>
        <v>-0.52</v>
      </c>
      <c r="BQ300" s="78">
        <f t="shared" si="211"/>
        <v>-0.52</v>
      </c>
      <c r="BR300" s="78">
        <f t="shared" si="212"/>
        <v>-0.52</v>
      </c>
      <c r="BS300" s="77"/>
      <c r="BT300" s="77"/>
    </row>
    <row r="301" spans="1:72" ht="14.1" customHeight="1" x14ac:dyDescent="0.2">
      <c r="A301" s="55" t="str">
        <f t="shared" si="183"/>
        <v>DS-2 Optional (Small General Service)_OPT Rider UCB/POR - Program Charge</v>
      </c>
      <c r="B301" s="80" t="s">
        <v>663</v>
      </c>
      <c r="C301" s="83" t="s">
        <v>811</v>
      </c>
      <c r="D301" s="150"/>
      <c r="E301" s="81"/>
      <c r="F301" s="73" t="s">
        <v>649</v>
      </c>
      <c r="G301" s="73">
        <v>0</v>
      </c>
      <c r="H301" s="73">
        <v>6</v>
      </c>
      <c r="I301" s="74" t="s">
        <v>641</v>
      </c>
      <c r="J301" s="75" t="s">
        <v>634</v>
      </c>
      <c r="K301" s="74"/>
      <c r="L301" s="82">
        <v>-0.72</v>
      </c>
      <c r="M301" s="138">
        <v>0</v>
      </c>
      <c r="N301" s="138">
        <v>0</v>
      </c>
      <c r="O301" s="138">
        <v>0</v>
      </c>
      <c r="P301" s="138">
        <v>0.64</v>
      </c>
      <c r="Q301" s="138">
        <v>0.64</v>
      </c>
      <c r="R301" s="138">
        <v>0.64</v>
      </c>
      <c r="S301" s="138">
        <v>0.64</v>
      </c>
      <c r="T301" s="138">
        <v>0.64</v>
      </c>
      <c r="U301" s="138">
        <v>0.64</v>
      </c>
      <c r="V301" s="138">
        <v>0.64</v>
      </c>
      <c r="W301" s="138">
        <v>0.64</v>
      </c>
      <c r="X301" s="138">
        <v>0.64</v>
      </c>
      <c r="Y301" s="138">
        <f t="shared" si="213"/>
        <v>0.64</v>
      </c>
      <c r="Z301" s="138">
        <f t="shared" si="214"/>
        <v>0.64</v>
      </c>
      <c r="AA301" s="138">
        <f t="shared" si="215"/>
        <v>0.64</v>
      </c>
      <c r="AB301" s="138">
        <f t="shared" si="216"/>
        <v>0.64</v>
      </c>
      <c r="AC301" s="138">
        <f t="shared" si="217"/>
        <v>0.64</v>
      </c>
      <c r="AD301" s="138">
        <f t="shared" si="218"/>
        <v>0.64</v>
      </c>
      <c r="AE301" s="138">
        <f t="shared" si="219"/>
        <v>0.64</v>
      </c>
      <c r="AF301" s="138">
        <f t="shared" si="220"/>
        <v>0.64</v>
      </c>
      <c r="AG301" s="138">
        <f t="shared" si="221"/>
        <v>0.64</v>
      </c>
      <c r="AH301" s="138">
        <f t="shared" si="222"/>
        <v>0.64</v>
      </c>
      <c r="AI301" s="138">
        <f t="shared" si="223"/>
        <v>0.64</v>
      </c>
      <c r="AJ301" s="138">
        <f t="shared" si="224"/>
        <v>0.64</v>
      </c>
      <c r="AK301" s="138">
        <f t="shared" si="225"/>
        <v>0.64</v>
      </c>
      <c r="AL301" s="138">
        <f t="shared" si="226"/>
        <v>0.6399999999999999</v>
      </c>
      <c r="AM301" s="138">
        <f t="shared" si="227"/>
        <v>0.58666666666666678</v>
      </c>
      <c r="AO301" s="77" t="str">
        <f t="shared" si="184"/>
        <v>DS-2 Optional (Small General Service)</v>
      </c>
      <c r="AP301" s="78" t="s">
        <v>664</v>
      </c>
      <c r="AQ301" s="77" t="str">
        <f t="shared" si="185"/>
        <v>OPT Rider UCB/POR - Program Charge</v>
      </c>
      <c r="AR301" s="78" t="str">
        <f t="shared" si="186"/>
        <v>Billing Cycle</v>
      </c>
      <c r="AS301" s="79">
        <f t="shared" si="187"/>
        <v>6</v>
      </c>
      <c r="AT301" s="78">
        <f t="shared" si="188"/>
        <v>-1</v>
      </c>
      <c r="AU301" s="78">
        <f t="shared" si="189"/>
        <v>0</v>
      </c>
      <c r="AV301" s="78">
        <f t="shared" si="190"/>
        <v>0</v>
      </c>
      <c r="AW301" s="78">
        <f t="shared" si="191"/>
        <v>0</v>
      </c>
      <c r="AX301" s="78">
        <f t="shared" si="192"/>
        <v>0.64</v>
      </c>
      <c r="AY301" s="78">
        <f t="shared" si="193"/>
        <v>0.64</v>
      </c>
      <c r="AZ301" s="78">
        <f t="shared" si="194"/>
        <v>0.64</v>
      </c>
      <c r="BA301" s="78">
        <f t="shared" si="195"/>
        <v>0.64</v>
      </c>
      <c r="BB301" s="78">
        <f t="shared" si="196"/>
        <v>0.64</v>
      </c>
      <c r="BC301" s="78">
        <f t="shared" si="197"/>
        <v>0.64</v>
      </c>
      <c r="BD301" s="78">
        <f t="shared" si="198"/>
        <v>0.64</v>
      </c>
      <c r="BE301" s="78">
        <f t="shared" si="199"/>
        <v>0.64</v>
      </c>
      <c r="BF301" s="78">
        <f t="shared" si="200"/>
        <v>0.64</v>
      </c>
      <c r="BG301" s="78">
        <f t="shared" si="201"/>
        <v>0.64</v>
      </c>
      <c r="BH301" s="78">
        <f t="shared" si="202"/>
        <v>0.64</v>
      </c>
      <c r="BI301" s="78">
        <f t="shared" si="203"/>
        <v>0.64</v>
      </c>
      <c r="BJ301" s="78">
        <f t="shared" si="204"/>
        <v>0.64</v>
      </c>
      <c r="BK301" s="78">
        <f t="shared" si="205"/>
        <v>0.64</v>
      </c>
      <c r="BL301" s="78">
        <f t="shared" si="206"/>
        <v>0.64</v>
      </c>
      <c r="BM301" s="78">
        <f t="shared" si="207"/>
        <v>0.64</v>
      </c>
      <c r="BN301" s="78">
        <f t="shared" si="208"/>
        <v>0.64</v>
      </c>
      <c r="BO301" s="78">
        <f t="shared" si="209"/>
        <v>0.64</v>
      </c>
      <c r="BP301" s="78">
        <f t="shared" si="210"/>
        <v>0.64</v>
      </c>
      <c r="BQ301" s="78">
        <f t="shared" si="211"/>
        <v>0.64</v>
      </c>
      <c r="BR301" s="78">
        <f t="shared" si="212"/>
        <v>0.64</v>
      </c>
      <c r="BS301" s="77"/>
      <c r="BT301" s="77"/>
    </row>
    <row r="302" spans="1:72" ht="14.1" customHeight="1" x14ac:dyDescent="0.2">
      <c r="A302" s="55" t="str">
        <f t="shared" si="183"/>
        <v>DS-2 Optional (Small General Service)_OPT Transformation Charge (per KW)</v>
      </c>
      <c r="B302" s="80" t="s">
        <v>663</v>
      </c>
      <c r="C302" s="83" t="s">
        <v>812</v>
      </c>
      <c r="D302" s="150"/>
      <c r="E302" s="81"/>
      <c r="F302" s="73" t="s">
        <v>649</v>
      </c>
      <c r="G302" s="73">
        <v>0</v>
      </c>
      <c r="H302" s="73">
        <v>6</v>
      </c>
      <c r="I302" s="74" t="s">
        <v>641</v>
      </c>
      <c r="J302" s="75" t="s">
        <v>634</v>
      </c>
      <c r="K302" s="74"/>
      <c r="L302" s="82">
        <v>1</v>
      </c>
      <c r="M302" s="138">
        <v>1</v>
      </c>
      <c r="N302" s="138">
        <v>1</v>
      </c>
      <c r="O302" s="138">
        <v>1</v>
      </c>
      <c r="P302" s="138">
        <v>1</v>
      </c>
      <c r="Q302" s="138">
        <v>1</v>
      </c>
      <c r="R302" s="138">
        <v>1</v>
      </c>
      <c r="S302" s="138">
        <v>1</v>
      </c>
      <c r="T302" s="138">
        <v>1</v>
      </c>
      <c r="U302" s="138">
        <v>1</v>
      </c>
      <c r="V302" s="138">
        <v>1</v>
      </c>
      <c r="W302" s="138">
        <v>1</v>
      </c>
      <c r="X302" s="138">
        <v>1</v>
      </c>
      <c r="Y302" s="138">
        <f t="shared" si="213"/>
        <v>1</v>
      </c>
      <c r="Z302" s="138">
        <f t="shared" si="214"/>
        <v>1</v>
      </c>
      <c r="AA302" s="138">
        <f t="shared" si="215"/>
        <v>1</v>
      </c>
      <c r="AB302" s="138">
        <f t="shared" si="216"/>
        <v>1</v>
      </c>
      <c r="AC302" s="138">
        <f t="shared" si="217"/>
        <v>1</v>
      </c>
      <c r="AD302" s="138">
        <f t="shared" si="218"/>
        <v>1</v>
      </c>
      <c r="AE302" s="138">
        <f t="shared" si="219"/>
        <v>1</v>
      </c>
      <c r="AF302" s="138">
        <f t="shared" si="220"/>
        <v>1</v>
      </c>
      <c r="AG302" s="138">
        <f t="shared" si="221"/>
        <v>1</v>
      </c>
      <c r="AH302" s="138">
        <f t="shared" si="222"/>
        <v>1</v>
      </c>
      <c r="AI302" s="138">
        <f t="shared" si="223"/>
        <v>1</v>
      </c>
      <c r="AJ302" s="138">
        <f t="shared" si="224"/>
        <v>1</v>
      </c>
      <c r="AK302" s="138">
        <f t="shared" si="225"/>
        <v>1</v>
      </c>
      <c r="AL302" s="138">
        <f t="shared" si="226"/>
        <v>1</v>
      </c>
      <c r="AM302" s="138">
        <f t="shared" si="227"/>
        <v>1</v>
      </c>
      <c r="AO302" s="77" t="str">
        <f t="shared" si="184"/>
        <v>DS-2 Optional (Small General Service)</v>
      </c>
      <c r="AP302" s="78" t="s">
        <v>664</v>
      </c>
      <c r="AQ302" s="77" t="str">
        <f t="shared" si="185"/>
        <v>OPT Transformation Charge (per KW)</v>
      </c>
      <c r="AR302" s="78" t="str">
        <f t="shared" si="186"/>
        <v>Billing Cycle</v>
      </c>
      <c r="AS302" s="79">
        <f t="shared" si="187"/>
        <v>6</v>
      </c>
      <c r="AT302" s="78">
        <f t="shared" si="188"/>
        <v>1</v>
      </c>
      <c r="AU302" s="78">
        <f t="shared" si="189"/>
        <v>1</v>
      </c>
      <c r="AV302" s="78">
        <f t="shared" si="190"/>
        <v>1</v>
      </c>
      <c r="AW302" s="78">
        <f t="shared" si="191"/>
        <v>1</v>
      </c>
      <c r="AX302" s="78">
        <f t="shared" si="192"/>
        <v>1</v>
      </c>
      <c r="AY302" s="78">
        <f t="shared" si="193"/>
        <v>1</v>
      </c>
      <c r="AZ302" s="78">
        <f t="shared" si="194"/>
        <v>1</v>
      </c>
      <c r="BA302" s="78">
        <f t="shared" si="195"/>
        <v>1</v>
      </c>
      <c r="BB302" s="78">
        <f t="shared" si="196"/>
        <v>1</v>
      </c>
      <c r="BC302" s="78">
        <f t="shared" si="197"/>
        <v>1</v>
      </c>
      <c r="BD302" s="78">
        <f t="shared" si="198"/>
        <v>1</v>
      </c>
      <c r="BE302" s="78">
        <f t="shared" si="199"/>
        <v>1</v>
      </c>
      <c r="BF302" s="78">
        <f t="shared" si="200"/>
        <v>1</v>
      </c>
      <c r="BG302" s="78">
        <f t="shared" si="201"/>
        <v>1</v>
      </c>
      <c r="BH302" s="78">
        <f t="shared" si="202"/>
        <v>1</v>
      </c>
      <c r="BI302" s="78">
        <f t="shared" si="203"/>
        <v>1</v>
      </c>
      <c r="BJ302" s="78">
        <f t="shared" si="204"/>
        <v>1</v>
      </c>
      <c r="BK302" s="78">
        <f t="shared" si="205"/>
        <v>1</v>
      </c>
      <c r="BL302" s="78">
        <f t="shared" si="206"/>
        <v>1</v>
      </c>
      <c r="BM302" s="78">
        <f t="shared" si="207"/>
        <v>1</v>
      </c>
      <c r="BN302" s="78">
        <f t="shared" si="208"/>
        <v>1</v>
      </c>
      <c r="BO302" s="78">
        <f t="shared" si="209"/>
        <v>1</v>
      </c>
      <c r="BP302" s="78">
        <f t="shared" si="210"/>
        <v>1</v>
      </c>
      <c r="BQ302" s="78">
        <f t="shared" si="211"/>
        <v>1</v>
      </c>
      <c r="BR302" s="78">
        <f t="shared" si="212"/>
        <v>1</v>
      </c>
      <c r="BS302" s="77"/>
      <c r="BT302" s="77"/>
    </row>
    <row r="303" spans="1:72" ht="14.1" customHeight="1" x14ac:dyDescent="0.2">
      <c r="A303" s="55" t="str">
        <f t="shared" si="183"/>
        <v>GDS-4 (Large General Delivery)_Overrun Demand Charge &lt; 60 psig MAOP (Rider S)</v>
      </c>
      <c r="B303" s="80" t="s">
        <v>673</v>
      </c>
      <c r="C303" s="83" t="s">
        <v>813</v>
      </c>
      <c r="D303" s="150"/>
      <c r="E303" s="81"/>
      <c r="F303" s="73" t="s">
        <v>649</v>
      </c>
      <c r="G303" s="73">
        <v>0</v>
      </c>
      <c r="H303" s="73">
        <v>6</v>
      </c>
      <c r="I303" s="74" t="s">
        <v>641</v>
      </c>
      <c r="J303" s="75" t="s">
        <v>634</v>
      </c>
      <c r="K303" s="74"/>
      <c r="L303" s="82">
        <v>4.04922</v>
      </c>
      <c r="M303" s="138">
        <v>4.04922</v>
      </c>
      <c r="N303" s="138">
        <v>4.04922</v>
      </c>
      <c r="O303" s="138">
        <v>4.04922</v>
      </c>
      <c r="P303" s="138">
        <v>4.04922</v>
      </c>
      <c r="Q303" s="138">
        <v>4.04922</v>
      </c>
      <c r="R303" s="138">
        <v>4.04922</v>
      </c>
      <c r="S303" s="138">
        <v>4.04922</v>
      </c>
      <c r="T303" s="138">
        <v>4.04922</v>
      </c>
      <c r="U303" s="138">
        <v>4.04922</v>
      </c>
      <c r="V303" s="138">
        <v>4.04922</v>
      </c>
      <c r="W303" s="138">
        <v>4.04922</v>
      </c>
      <c r="X303" s="138">
        <v>4.04922</v>
      </c>
      <c r="Y303" s="138">
        <f t="shared" si="213"/>
        <v>4.04922</v>
      </c>
      <c r="Z303" s="138">
        <f t="shared" si="214"/>
        <v>4.04922</v>
      </c>
      <c r="AA303" s="138">
        <f t="shared" si="215"/>
        <v>4.04922</v>
      </c>
      <c r="AB303" s="138">
        <f t="shared" si="216"/>
        <v>4.04922</v>
      </c>
      <c r="AC303" s="138">
        <f t="shared" si="217"/>
        <v>4.04922</v>
      </c>
      <c r="AD303" s="138">
        <f t="shared" si="218"/>
        <v>4.04922</v>
      </c>
      <c r="AE303" s="138">
        <f t="shared" si="219"/>
        <v>4.04922</v>
      </c>
      <c r="AF303" s="138">
        <f t="shared" si="220"/>
        <v>4.04922</v>
      </c>
      <c r="AG303" s="138">
        <f t="shared" si="221"/>
        <v>4.04922</v>
      </c>
      <c r="AH303" s="138">
        <f t="shared" si="222"/>
        <v>4.04922</v>
      </c>
      <c r="AI303" s="138">
        <f t="shared" si="223"/>
        <v>4.04922</v>
      </c>
      <c r="AJ303" s="138">
        <f t="shared" si="224"/>
        <v>4.04922</v>
      </c>
      <c r="AK303" s="138">
        <f t="shared" si="225"/>
        <v>4.04922</v>
      </c>
      <c r="AL303" s="138">
        <f t="shared" si="226"/>
        <v>4.0492199999999992</v>
      </c>
      <c r="AM303" s="138">
        <f t="shared" si="227"/>
        <v>4.0492200000000009</v>
      </c>
      <c r="AO303" s="77" t="str">
        <f t="shared" si="184"/>
        <v>GDS-4 (Large General Delivery)</v>
      </c>
      <c r="AP303" s="78" t="s">
        <v>674</v>
      </c>
      <c r="AQ303" s="77" t="str">
        <f t="shared" si="185"/>
        <v>Overrun Demand Charge &lt; 60 psig MAOP (Rider S)</v>
      </c>
      <c r="AR303" s="78" t="str">
        <f t="shared" si="186"/>
        <v>Billing Cycle</v>
      </c>
      <c r="AS303" s="79">
        <f t="shared" si="187"/>
        <v>6</v>
      </c>
      <c r="AT303" s="78">
        <f t="shared" si="188"/>
        <v>4</v>
      </c>
      <c r="AU303" s="78">
        <f t="shared" si="189"/>
        <v>4.04922</v>
      </c>
      <c r="AV303" s="78">
        <f t="shared" si="190"/>
        <v>4.04922</v>
      </c>
      <c r="AW303" s="78">
        <f t="shared" si="191"/>
        <v>4.04922</v>
      </c>
      <c r="AX303" s="78">
        <f t="shared" si="192"/>
        <v>4.04922</v>
      </c>
      <c r="AY303" s="78">
        <f t="shared" si="193"/>
        <v>4.04922</v>
      </c>
      <c r="AZ303" s="78">
        <f t="shared" si="194"/>
        <v>4.04922</v>
      </c>
      <c r="BA303" s="78">
        <f t="shared" si="195"/>
        <v>4.04922</v>
      </c>
      <c r="BB303" s="78">
        <f t="shared" si="196"/>
        <v>4.04922</v>
      </c>
      <c r="BC303" s="78">
        <f t="shared" si="197"/>
        <v>4.04922</v>
      </c>
      <c r="BD303" s="78">
        <f t="shared" si="198"/>
        <v>4.04922</v>
      </c>
      <c r="BE303" s="78">
        <f t="shared" si="199"/>
        <v>4.04922</v>
      </c>
      <c r="BF303" s="78">
        <f t="shared" si="200"/>
        <v>4.04922</v>
      </c>
      <c r="BG303" s="78">
        <f t="shared" si="201"/>
        <v>4.04922</v>
      </c>
      <c r="BH303" s="78">
        <f t="shared" si="202"/>
        <v>4.04922</v>
      </c>
      <c r="BI303" s="78">
        <f t="shared" si="203"/>
        <v>4.04922</v>
      </c>
      <c r="BJ303" s="78">
        <f t="shared" si="204"/>
        <v>4.04922</v>
      </c>
      <c r="BK303" s="78">
        <f t="shared" si="205"/>
        <v>4.04922</v>
      </c>
      <c r="BL303" s="78">
        <f t="shared" si="206"/>
        <v>4.04922</v>
      </c>
      <c r="BM303" s="78">
        <f t="shared" si="207"/>
        <v>4.04922</v>
      </c>
      <c r="BN303" s="78">
        <f t="shared" si="208"/>
        <v>4.04922</v>
      </c>
      <c r="BO303" s="78">
        <f t="shared" si="209"/>
        <v>4.04922</v>
      </c>
      <c r="BP303" s="78">
        <f t="shared" si="210"/>
        <v>4.04922</v>
      </c>
      <c r="BQ303" s="78">
        <f t="shared" si="211"/>
        <v>4.04922</v>
      </c>
      <c r="BR303" s="78">
        <f t="shared" si="212"/>
        <v>4.04922</v>
      </c>
      <c r="BS303" s="77"/>
      <c r="BT303" s="77"/>
    </row>
    <row r="304" spans="1:72" ht="14.1" customHeight="1" x14ac:dyDescent="0.2">
      <c r="A304" s="55" t="str">
        <f t="shared" si="183"/>
        <v>GDS-4 (Large General Delivery)_Overrun Demand Charge &lt; 60 psig MAOP (Rider T)</v>
      </c>
      <c r="B304" s="80" t="s">
        <v>673</v>
      </c>
      <c r="C304" s="83" t="s">
        <v>814</v>
      </c>
      <c r="D304" s="150"/>
      <c r="E304" s="81"/>
      <c r="F304" s="73" t="s">
        <v>649</v>
      </c>
      <c r="G304" s="73">
        <v>0</v>
      </c>
      <c r="H304" s="73">
        <v>6</v>
      </c>
      <c r="I304" s="74" t="s">
        <v>641</v>
      </c>
      <c r="J304" s="75" t="s">
        <v>634</v>
      </c>
      <c r="K304" s="74"/>
      <c r="L304" s="82">
        <v>3.93512</v>
      </c>
      <c r="M304" s="138">
        <v>3.93512</v>
      </c>
      <c r="N304" s="138">
        <v>3.93512</v>
      </c>
      <c r="O304" s="138">
        <v>3.93512</v>
      </c>
      <c r="P304" s="138">
        <v>3.93512</v>
      </c>
      <c r="Q304" s="138">
        <v>3.93512</v>
      </c>
      <c r="R304" s="138">
        <v>3.93512</v>
      </c>
      <c r="S304" s="138">
        <v>3.93512</v>
      </c>
      <c r="T304" s="138">
        <v>3.93512</v>
      </c>
      <c r="U304" s="138">
        <v>3.93512</v>
      </c>
      <c r="V304" s="138">
        <v>3.93512</v>
      </c>
      <c r="W304" s="138">
        <v>3.93512</v>
      </c>
      <c r="X304" s="138">
        <v>3.93512</v>
      </c>
      <c r="Y304" s="138">
        <f t="shared" si="213"/>
        <v>3.93512</v>
      </c>
      <c r="Z304" s="138">
        <f t="shared" si="214"/>
        <v>3.93512</v>
      </c>
      <c r="AA304" s="138">
        <f t="shared" si="215"/>
        <v>3.93512</v>
      </c>
      <c r="AB304" s="138">
        <f t="shared" si="216"/>
        <v>3.93512</v>
      </c>
      <c r="AC304" s="138">
        <f t="shared" si="217"/>
        <v>3.93512</v>
      </c>
      <c r="AD304" s="138">
        <f t="shared" si="218"/>
        <v>3.93512</v>
      </c>
      <c r="AE304" s="138">
        <f t="shared" si="219"/>
        <v>3.93512</v>
      </c>
      <c r="AF304" s="138">
        <f t="shared" si="220"/>
        <v>3.93512</v>
      </c>
      <c r="AG304" s="138">
        <f t="shared" si="221"/>
        <v>3.93512</v>
      </c>
      <c r="AH304" s="138">
        <f t="shared" si="222"/>
        <v>3.93512</v>
      </c>
      <c r="AI304" s="138">
        <f t="shared" si="223"/>
        <v>3.93512</v>
      </c>
      <c r="AJ304" s="138">
        <f t="shared" si="224"/>
        <v>3.93512</v>
      </c>
      <c r="AK304" s="138">
        <f t="shared" si="225"/>
        <v>3.93512</v>
      </c>
      <c r="AL304" s="138">
        <f t="shared" si="226"/>
        <v>3.9351199999999995</v>
      </c>
      <c r="AM304" s="138">
        <f t="shared" si="227"/>
        <v>3.9351199999999991</v>
      </c>
      <c r="AO304" s="77" t="str">
        <f t="shared" si="184"/>
        <v>GDS-4 (Large General Delivery)</v>
      </c>
      <c r="AP304" s="78" t="s">
        <v>674</v>
      </c>
      <c r="AQ304" s="77" t="str">
        <f t="shared" si="185"/>
        <v>Overrun Demand Charge &lt; 60 psig MAOP (Rider T)</v>
      </c>
      <c r="AR304" s="78" t="str">
        <f t="shared" si="186"/>
        <v>Billing Cycle</v>
      </c>
      <c r="AS304" s="79">
        <f t="shared" si="187"/>
        <v>6</v>
      </c>
      <c r="AT304" s="78">
        <f t="shared" si="188"/>
        <v>4</v>
      </c>
      <c r="AU304" s="78">
        <f t="shared" si="189"/>
        <v>3.93512</v>
      </c>
      <c r="AV304" s="78">
        <f t="shared" si="190"/>
        <v>3.93512</v>
      </c>
      <c r="AW304" s="78">
        <f t="shared" si="191"/>
        <v>3.93512</v>
      </c>
      <c r="AX304" s="78">
        <f t="shared" si="192"/>
        <v>3.93512</v>
      </c>
      <c r="AY304" s="78">
        <f t="shared" si="193"/>
        <v>3.93512</v>
      </c>
      <c r="AZ304" s="78">
        <f t="shared" si="194"/>
        <v>3.93512</v>
      </c>
      <c r="BA304" s="78">
        <f t="shared" si="195"/>
        <v>3.93512</v>
      </c>
      <c r="BB304" s="78">
        <f t="shared" si="196"/>
        <v>3.93512</v>
      </c>
      <c r="BC304" s="78">
        <f t="shared" si="197"/>
        <v>3.93512</v>
      </c>
      <c r="BD304" s="78">
        <f t="shared" si="198"/>
        <v>3.93512</v>
      </c>
      <c r="BE304" s="78">
        <f t="shared" si="199"/>
        <v>3.93512</v>
      </c>
      <c r="BF304" s="78">
        <f t="shared" si="200"/>
        <v>3.93512</v>
      </c>
      <c r="BG304" s="78">
        <f t="shared" si="201"/>
        <v>3.93512</v>
      </c>
      <c r="BH304" s="78">
        <f t="shared" si="202"/>
        <v>3.93512</v>
      </c>
      <c r="BI304" s="78">
        <f t="shared" si="203"/>
        <v>3.93512</v>
      </c>
      <c r="BJ304" s="78">
        <f t="shared" si="204"/>
        <v>3.93512</v>
      </c>
      <c r="BK304" s="78">
        <f t="shared" si="205"/>
        <v>3.93512</v>
      </c>
      <c r="BL304" s="78">
        <f t="shared" si="206"/>
        <v>3.93512</v>
      </c>
      <c r="BM304" s="78">
        <f t="shared" si="207"/>
        <v>3.93512</v>
      </c>
      <c r="BN304" s="78">
        <f t="shared" si="208"/>
        <v>3.93512</v>
      </c>
      <c r="BO304" s="78">
        <f t="shared" si="209"/>
        <v>3.93512</v>
      </c>
      <c r="BP304" s="78">
        <f t="shared" si="210"/>
        <v>3.93512</v>
      </c>
      <c r="BQ304" s="78">
        <f t="shared" si="211"/>
        <v>3.93512</v>
      </c>
      <c r="BR304" s="78">
        <f t="shared" si="212"/>
        <v>3.93512</v>
      </c>
      <c r="BS304" s="77"/>
      <c r="BT304" s="77"/>
    </row>
    <row r="305" spans="1:72" ht="14.1" customHeight="1" x14ac:dyDescent="0.2">
      <c r="A305" s="55" t="str">
        <f t="shared" si="183"/>
        <v>GDS-4 (Large General Delivery)_Overrun Demand Charge &gt; 60 psig MAOP (Rider S)</v>
      </c>
      <c r="B305" s="80" t="s">
        <v>673</v>
      </c>
      <c r="C305" s="83" t="s">
        <v>815</v>
      </c>
      <c r="D305" s="150"/>
      <c r="E305" s="81"/>
      <c r="F305" s="73" t="s">
        <v>649</v>
      </c>
      <c r="G305" s="73">
        <v>0</v>
      </c>
      <c r="H305" s="73">
        <v>6</v>
      </c>
      <c r="I305" s="74" t="s">
        <v>641</v>
      </c>
      <c r="J305" s="75" t="s">
        <v>634</v>
      </c>
      <c r="K305" s="74"/>
      <c r="L305" s="82">
        <v>1.4454199999999999</v>
      </c>
      <c r="M305" s="138">
        <v>1.4454199999999999</v>
      </c>
      <c r="N305" s="138">
        <v>1.4454199999999999</v>
      </c>
      <c r="O305" s="138">
        <v>1.4454199999999999</v>
      </c>
      <c r="P305" s="138">
        <v>1.4454199999999999</v>
      </c>
      <c r="Q305" s="138">
        <v>1.4454199999999999</v>
      </c>
      <c r="R305" s="138">
        <v>1.4454199999999999</v>
      </c>
      <c r="S305" s="138">
        <v>1.4454199999999999</v>
      </c>
      <c r="T305" s="138">
        <v>1.4454199999999999</v>
      </c>
      <c r="U305" s="138">
        <v>1.4454199999999999</v>
      </c>
      <c r="V305" s="138">
        <v>1.4454199999999999</v>
      </c>
      <c r="W305" s="138">
        <v>1.4454199999999999</v>
      </c>
      <c r="X305" s="138">
        <v>1.4454199999999999</v>
      </c>
      <c r="Y305" s="138">
        <f t="shared" si="213"/>
        <v>1.4454199999999999</v>
      </c>
      <c r="Z305" s="138">
        <f t="shared" si="214"/>
        <v>1.4454199999999999</v>
      </c>
      <c r="AA305" s="138">
        <f t="shared" si="215"/>
        <v>1.4454199999999999</v>
      </c>
      <c r="AB305" s="138">
        <f t="shared" si="216"/>
        <v>1.4454199999999999</v>
      </c>
      <c r="AC305" s="138">
        <f t="shared" si="217"/>
        <v>1.4454199999999999</v>
      </c>
      <c r="AD305" s="138">
        <f t="shared" si="218"/>
        <v>1.4454199999999999</v>
      </c>
      <c r="AE305" s="138">
        <f t="shared" si="219"/>
        <v>1.4454199999999999</v>
      </c>
      <c r="AF305" s="138">
        <f t="shared" si="220"/>
        <v>1.4454199999999999</v>
      </c>
      <c r="AG305" s="138">
        <f t="shared" si="221"/>
        <v>1.4454199999999999</v>
      </c>
      <c r="AH305" s="138">
        <f t="shared" si="222"/>
        <v>1.4454199999999999</v>
      </c>
      <c r="AI305" s="138">
        <f t="shared" si="223"/>
        <v>1.4454199999999999</v>
      </c>
      <c r="AJ305" s="138">
        <f t="shared" si="224"/>
        <v>1.4454199999999999</v>
      </c>
      <c r="AK305" s="138">
        <f t="shared" si="225"/>
        <v>1.4454199999999999</v>
      </c>
      <c r="AL305" s="138">
        <f t="shared" si="226"/>
        <v>1.4454200000000001</v>
      </c>
      <c r="AM305" s="138">
        <f t="shared" si="227"/>
        <v>1.4454199999999995</v>
      </c>
      <c r="AO305" s="77" t="str">
        <f t="shared" si="184"/>
        <v>GDS-4 (Large General Delivery)</v>
      </c>
      <c r="AP305" s="78" t="s">
        <v>674</v>
      </c>
      <c r="AQ305" s="77" t="str">
        <f t="shared" si="185"/>
        <v>Overrun Demand Charge &gt; 60 psig MAOP (Rider S)</v>
      </c>
      <c r="AR305" s="78" t="str">
        <f t="shared" si="186"/>
        <v>Billing Cycle</v>
      </c>
      <c r="AS305" s="79">
        <f t="shared" si="187"/>
        <v>6</v>
      </c>
      <c r="AT305" s="78">
        <f t="shared" si="188"/>
        <v>1</v>
      </c>
      <c r="AU305" s="78">
        <f t="shared" si="189"/>
        <v>1.4454199999999999</v>
      </c>
      <c r="AV305" s="78">
        <f t="shared" si="190"/>
        <v>1.4454199999999999</v>
      </c>
      <c r="AW305" s="78">
        <f t="shared" si="191"/>
        <v>1.4454199999999999</v>
      </c>
      <c r="AX305" s="78">
        <f t="shared" si="192"/>
        <v>1.4454199999999999</v>
      </c>
      <c r="AY305" s="78">
        <f t="shared" si="193"/>
        <v>1.4454199999999999</v>
      </c>
      <c r="AZ305" s="78">
        <f t="shared" si="194"/>
        <v>1.4454199999999999</v>
      </c>
      <c r="BA305" s="78">
        <f t="shared" si="195"/>
        <v>1.4454199999999999</v>
      </c>
      <c r="BB305" s="78">
        <f t="shared" si="196"/>
        <v>1.4454199999999999</v>
      </c>
      <c r="BC305" s="78">
        <f t="shared" si="197"/>
        <v>1.4454199999999999</v>
      </c>
      <c r="BD305" s="78">
        <f t="shared" si="198"/>
        <v>1.4454199999999999</v>
      </c>
      <c r="BE305" s="78">
        <f t="shared" si="199"/>
        <v>1.4454199999999999</v>
      </c>
      <c r="BF305" s="78">
        <f t="shared" si="200"/>
        <v>1.4454199999999999</v>
      </c>
      <c r="BG305" s="78">
        <f t="shared" si="201"/>
        <v>1.4454199999999999</v>
      </c>
      <c r="BH305" s="78">
        <f t="shared" si="202"/>
        <v>1.4454199999999999</v>
      </c>
      <c r="BI305" s="78">
        <f t="shared" si="203"/>
        <v>1.4454199999999999</v>
      </c>
      <c r="BJ305" s="78">
        <f t="shared" si="204"/>
        <v>1.4454199999999999</v>
      </c>
      <c r="BK305" s="78">
        <f t="shared" si="205"/>
        <v>1.4454199999999999</v>
      </c>
      <c r="BL305" s="78">
        <f t="shared" si="206"/>
        <v>1.4454199999999999</v>
      </c>
      <c r="BM305" s="78">
        <f t="shared" si="207"/>
        <v>1.4454199999999999</v>
      </c>
      <c r="BN305" s="78">
        <f t="shared" si="208"/>
        <v>1.4454199999999999</v>
      </c>
      <c r="BO305" s="78">
        <f t="shared" si="209"/>
        <v>1.4454199999999999</v>
      </c>
      <c r="BP305" s="78">
        <f t="shared" si="210"/>
        <v>1.4454199999999999</v>
      </c>
      <c r="BQ305" s="78">
        <f t="shared" si="211"/>
        <v>1.4454199999999999</v>
      </c>
      <c r="BR305" s="78">
        <f t="shared" si="212"/>
        <v>1.4454199999999999</v>
      </c>
      <c r="BS305" s="77"/>
      <c r="BT305" s="77"/>
    </row>
    <row r="306" spans="1:72" ht="14.1" customHeight="1" x14ac:dyDescent="0.2">
      <c r="A306" s="55" t="str">
        <f t="shared" si="183"/>
        <v>GDS-4 (Large General Delivery)_Overrun Demand Charge &gt; 60 psig MAOP &lt; 30000 (Rider T) Zone I</v>
      </c>
      <c r="B306" s="80" t="s">
        <v>673</v>
      </c>
      <c r="C306" s="83" t="s">
        <v>816</v>
      </c>
      <c r="D306" s="150"/>
      <c r="E306" s="81"/>
      <c r="F306" s="73" t="s">
        <v>649</v>
      </c>
      <c r="G306" s="73">
        <v>0</v>
      </c>
      <c r="H306" s="73">
        <v>6</v>
      </c>
      <c r="I306" s="74" t="s">
        <v>641</v>
      </c>
      <c r="J306" s="75" t="s">
        <v>634</v>
      </c>
      <c r="K306" s="74"/>
      <c r="L306" s="82">
        <v>1.5795399999999999</v>
      </c>
      <c r="M306" s="138">
        <v>1.5795399999999999</v>
      </c>
      <c r="N306" s="138">
        <v>1.5795399999999999</v>
      </c>
      <c r="O306" s="138">
        <v>1.5795399999999999</v>
      </c>
      <c r="P306" s="138">
        <v>1.5795399999999999</v>
      </c>
      <c r="Q306" s="138">
        <v>1.5795399999999999</v>
      </c>
      <c r="R306" s="138">
        <v>1.5795399999999999</v>
      </c>
      <c r="S306" s="138">
        <v>1.5795399999999999</v>
      </c>
      <c r="T306" s="138">
        <v>1.5795399999999999</v>
      </c>
      <c r="U306" s="138">
        <v>1.5795399999999999</v>
      </c>
      <c r="V306" s="138">
        <v>1.5795399999999999</v>
      </c>
      <c r="W306" s="138">
        <v>1.5795399999999999</v>
      </c>
      <c r="X306" s="138">
        <v>1.5795399999999999</v>
      </c>
      <c r="Y306" s="138">
        <f t="shared" si="213"/>
        <v>1.5795399999999999</v>
      </c>
      <c r="Z306" s="138">
        <f t="shared" si="214"/>
        <v>1.5795399999999999</v>
      </c>
      <c r="AA306" s="138">
        <f t="shared" si="215"/>
        <v>1.5795399999999999</v>
      </c>
      <c r="AB306" s="138">
        <f t="shared" si="216"/>
        <v>1.5795399999999999</v>
      </c>
      <c r="AC306" s="138">
        <f t="shared" si="217"/>
        <v>1.5795399999999999</v>
      </c>
      <c r="AD306" s="138">
        <f t="shared" si="218"/>
        <v>1.5795399999999999</v>
      </c>
      <c r="AE306" s="138">
        <f t="shared" si="219"/>
        <v>1.5795399999999999</v>
      </c>
      <c r="AF306" s="138">
        <f t="shared" si="220"/>
        <v>1.5795399999999999</v>
      </c>
      <c r="AG306" s="138">
        <f t="shared" si="221"/>
        <v>1.5795399999999999</v>
      </c>
      <c r="AH306" s="138">
        <f t="shared" si="222"/>
        <v>1.5795399999999999</v>
      </c>
      <c r="AI306" s="138">
        <f t="shared" si="223"/>
        <v>1.5795399999999999</v>
      </c>
      <c r="AJ306" s="138">
        <f t="shared" si="224"/>
        <v>1.5795399999999999</v>
      </c>
      <c r="AK306" s="138">
        <f t="shared" si="225"/>
        <v>1.5795399999999999</v>
      </c>
      <c r="AL306" s="138">
        <f t="shared" si="226"/>
        <v>1.5795399999999999</v>
      </c>
      <c r="AM306" s="138">
        <f t="shared" si="227"/>
        <v>1.5795400000000006</v>
      </c>
      <c r="AO306" s="77" t="str">
        <f t="shared" si="184"/>
        <v>GDS-4 (Large General Delivery)</v>
      </c>
      <c r="AP306" s="78" t="s">
        <v>674</v>
      </c>
      <c r="AQ306" s="77" t="str">
        <f t="shared" si="185"/>
        <v>Overrun Demand Charge &gt; 60 psig MAOP &lt; 30000 (Rider T) Zone I</v>
      </c>
      <c r="AR306" s="78" t="str">
        <f t="shared" si="186"/>
        <v>Billing Cycle</v>
      </c>
      <c r="AS306" s="79">
        <f t="shared" si="187"/>
        <v>6</v>
      </c>
      <c r="AT306" s="78">
        <f t="shared" si="188"/>
        <v>2</v>
      </c>
      <c r="AU306" s="78">
        <f t="shared" si="189"/>
        <v>1.5795399999999999</v>
      </c>
      <c r="AV306" s="78">
        <f t="shared" si="190"/>
        <v>1.5795399999999999</v>
      </c>
      <c r="AW306" s="78">
        <f t="shared" si="191"/>
        <v>1.5795399999999999</v>
      </c>
      <c r="AX306" s="78">
        <f t="shared" si="192"/>
        <v>1.5795399999999999</v>
      </c>
      <c r="AY306" s="78">
        <f t="shared" si="193"/>
        <v>1.5795399999999999</v>
      </c>
      <c r="AZ306" s="78">
        <f t="shared" si="194"/>
        <v>1.5795399999999999</v>
      </c>
      <c r="BA306" s="78">
        <f t="shared" si="195"/>
        <v>1.5795399999999999</v>
      </c>
      <c r="BB306" s="78">
        <f t="shared" si="196"/>
        <v>1.5795399999999999</v>
      </c>
      <c r="BC306" s="78">
        <f t="shared" si="197"/>
        <v>1.5795399999999999</v>
      </c>
      <c r="BD306" s="78">
        <f t="shared" si="198"/>
        <v>1.5795399999999999</v>
      </c>
      <c r="BE306" s="78">
        <f t="shared" si="199"/>
        <v>1.5795399999999999</v>
      </c>
      <c r="BF306" s="78">
        <f t="shared" si="200"/>
        <v>1.5795399999999999</v>
      </c>
      <c r="BG306" s="78">
        <f t="shared" si="201"/>
        <v>1.5795399999999999</v>
      </c>
      <c r="BH306" s="78">
        <f t="shared" si="202"/>
        <v>1.5795399999999999</v>
      </c>
      <c r="BI306" s="78">
        <f t="shared" si="203"/>
        <v>1.5795399999999999</v>
      </c>
      <c r="BJ306" s="78">
        <f t="shared" si="204"/>
        <v>1.5795399999999999</v>
      </c>
      <c r="BK306" s="78">
        <f t="shared" si="205"/>
        <v>1.5795399999999999</v>
      </c>
      <c r="BL306" s="78">
        <f t="shared" si="206"/>
        <v>1.5795399999999999</v>
      </c>
      <c r="BM306" s="78">
        <f t="shared" si="207"/>
        <v>1.5795399999999999</v>
      </c>
      <c r="BN306" s="78">
        <f t="shared" si="208"/>
        <v>1.5795399999999999</v>
      </c>
      <c r="BO306" s="78">
        <f t="shared" si="209"/>
        <v>1.5795399999999999</v>
      </c>
      <c r="BP306" s="78">
        <f t="shared" si="210"/>
        <v>1.5795399999999999</v>
      </c>
      <c r="BQ306" s="78">
        <f t="shared" si="211"/>
        <v>1.5795399999999999</v>
      </c>
      <c r="BR306" s="78">
        <f t="shared" si="212"/>
        <v>1.5795399999999999</v>
      </c>
      <c r="BS306" s="77"/>
      <c r="BT306" s="77"/>
    </row>
    <row r="307" spans="1:72" ht="14.1" customHeight="1" x14ac:dyDescent="0.2">
      <c r="A307" s="55" t="str">
        <f t="shared" si="183"/>
        <v>GDS-4 (Large General Delivery)_Overrun Demand Charge &gt; 60 psig MAOP &lt; 30000 (Rider T) Zone II</v>
      </c>
      <c r="B307" s="80" t="s">
        <v>673</v>
      </c>
      <c r="C307" s="83" t="s">
        <v>817</v>
      </c>
      <c r="D307" s="150"/>
      <c r="E307" s="81"/>
      <c r="F307" s="73" t="s">
        <v>649</v>
      </c>
      <c r="G307" s="73">
        <v>0</v>
      </c>
      <c r="H307" s="73">
        <v>6</v>
      </c>
      <c r="I307" s="74" t="s">
        <v>641</v>
      </c>
      <c r="J307" s="75" t="s">
        <v>634</v>
      </c>
      <c r="K307" s="74"/>
      <c r="L307" s="82">
        <v>1.5795399999999999</v>
      </c>
      <c r="M307" s="138">
        <v>1.5795399999999999</v>
      </c>
      <c r="N307" s="138">
        <v>1.5795399999999999</v>
      </c>
      <c r="O307" s="138">
        <v>1.5795399999999999</v>
      </c>
      <c r="P307" s="138">
        <v>1.5795399999999999</v>
      </c>
      <c r="Q307" s="138">
        <v>1.5795399999999999</v>
      </c>
      <c r="R307" s="138">
        <v>1.5795399999999999</v>
      </c>
      <c r="S307" s="138">
        <v>1.5795399999999999</v>
      </c>
      <c r="T307" s="138">
        <v>1.5795399999999999</v>
      </c>
      <c r="U307" s="138">
        <v>1.5795399999999999</v>
      </c>
      <c r="V307" s="138">
        <v>1.5795399999999999</v>
      </c>
      <c r="W307" s="138">
        <v>1.5795399999999999</v>
      </c>
      <c r="X307" s="138">
        <v>1.5795399999999999</v>
      </c>
      <c r="Y307" s="138">
        <f t="shared" si="213"/>
        <v>1.5795399999999999</v>
      </c>
      <c r="Z307" s="138">
        <f t="shared" si="214"/>
        <v>1.5795399999999999</v>
      </c>
      <c r="AA307" s="138">
        <f t="shared" si="215"/>
        <v>1.5795399999999999</v>
      </c>
      <c r="AB307" s="138">
        <f t="shared" si="216"/>
        <v>1.5795399999999999</v>
      </c>
      <c r="AC307" s="138">
        <f t="shared" si="217"/>
        <v>1.5795399999999999</v>
      </c>
      <c r="AD307" s="138">
        <f t="shared" si="218"/>
        <v>1.5795399999999999</v>
      </c>
      <c r="AE307" s="138">
        <f t="shared" si="219"/>
        <v>1.5795399999999999</v>
      </c>
      <c r="AF307" s="138">
        <f t="shared" si="220"/>
        <v>1.5795399999999999</v>
      </c>
      <c r="AG307" s="138">
        <f t="shared" si="221"/>
        <v>1.5795399999999999</v>
      </c>
      <c r="AH307" s="138">
        <f t="shared" si="222"/>
        <v>1.5795399999999999</v>
      </c>
      <c r="AI307" s="138">
        <f t="shared" si="223"/>
        <v>1.5795399999999999</v>
      </c>
      <c r="AJ307" s="138">
        <f t="shared" si="224"/>
        <v>1.5795399999999999</v>
      </c>
      <c r="AK307" s="138">
        <f t="shared" si="225"/>
        <v>1.5795399999999999</v>
      </c>
      <c r="AL307" s="138">
        <f t="shared" si="226"/>
        <v>1.5795399999999999</v>
      </c>
      <c r="AM307" s="138">
        <f t="shared" si="227"/>
        <v>1.5795400000000006</v>
      </c>
      <c r="AO307" s="77" t="str">
        <f t="shared" si="184"/>
        <v>GDS-4 (Large General Delivery)</v>
      </c>
      <c r="AP307" s="78" t="s">
        <v>674</v>
      </c>
      <c r="AQ307" s="77" t="str">
        <f t="shared" si="185"/>
        <v>Overrun Demand Charge &gt; 60 psig MAOP &lt; 30000 (Rider T) Zone II</v>
      </c>
      <c r="AR307" s="78" t="str">
        <f t="shared" si="186"/>
        <v>Billing Cycle</v>
      </c>
      <c r="AS307" s="79">
        <f t="shared" si="187"/>
        <v>6</v>
      </c>
      <c r="AT307" s="78">
        <f t="shared" si="188"/>
        <v>2</v>
      </c>
      <c r="AU307" s="78">
        <f t="shared" si="189"/>
        <v>1.5795399999999999</v>
      </c>
      <c r="AV307" s="78">
        <f t="shared" si="190"/>
        <v>1.5795399999999999</v>
      </c>
      <c r="AW307" s="78">
        <f t="shared" si="191"/>
        <v>1.5795399999999999</v>
      </c>
      <c r="AX307" s="78">
        <f t="shared" si="192"/>
        <v>1.5795399999999999</v>
      </c>
      <c r="AY307" s="78">
        <f t="shared" si="193"/>
        <v>1.5795399999999999</v>
      </c>
      <c r="AZ307" s="78">
        <f t="shared" si="194"/>
        <v>1.5795399999999999</v>
      </c>
      <c r="BA307" s="78">
        <f t="shared" si="195"/>
        <v>1.5795399999999999</v>
      </c>
      <c r="BB307" s="78">
        <f t="shared" si="196"/>
        <v>1.5795399999999999</v>
      </c>
      <c r="BC307" s="78">
        <f t="shared" si="197"/>
        <v>1.5795399999999999</v>
      </c>
      <c r="BD307" s="78">
        <f t="shared" si="198"/>
        <v>1.5795399999999999</v>
      </c>
      <c r="BE307" s="78">
        <f t="shared" si="199"/>
        <v>1.5795399999999999</v>
      </c>
      <c r="BF307" s="78">
        <f t="shared" si="200"/>
        <v>1.5795399999999999</v>
      </c>
      <c r="BG307" s="78">
        <f t="shared" si="201"/>
        <v>1.5795399999999999</v>
      </c>
      <c r="BH307" s="78">
        <f t="shared" si="202"/>
        <v>1.5795399999999999</v>
      </c>
      <c r="BI307" s="78">
        <f t="shared" si="203"/>
        <v>1.5795399999999999</v>
      </c>
      <c r="BJ307" s="78">
        <f t="shared" si="204"/>
        <v>1.5795399999999999</v>
      </c>
      <c r="BK307" s="78">
        <f t="shared" si="205"/>
        <v>1.5795399999999999</v>
      </c>
      <c r="BL307" s="78">
        <f t="shared" si="206"/>
        <v>1.5795399999999999</v>
      </c>
      <c r="BM307" s="78">
        <f t="shared" si="207"/>
        <v>1.5795399999999999</v>
      </c>
      <c r="BN307" s="78">
        <f t="shared" si="208"/>
        <v>1.5795399999999999</v>
      </c>
      <c r="BO307" s="78">
        <f t="shared" si="209"/>
        <v>1.5795399999999999</v>
      </c>
      <c r="BP307" s="78">
        <f t="shared" si="210"/>
        <v>1.5795399999999999</v>
      </c>
      <c r="BQ307" s="78">
        <f t="shared" si="211"/>
        <v>1.5795399999999999</v>
      </c>
      <c r="BR307" s="78">
        <f t="shared" si="212"/>
        <v>1.5795399999999999</v>
      </c>
      <c r="BS307" s="77"/>
      <c r="BT307" s="77"/>
    </row>
    <row r="308" spans="1:72" ht="14.1" customHeight="1" x14ac:dyDescent="0.2">
      <c r="A308" s="55" t="str">
        <f t="shared" si="183"/>
        <v>GDS-4 (Large General Delivery)_Overrun Demand Charge &gt; 60 psig MAOP &lt; 30000 (Rider T) Zone III</v>
      </c>
      <c r="B308" s="80" t="s">
        <v>673</v>
      </c>
      <c r="C308" s="83" t="s">
        <v>818</v>
      </c>
      <c r="D308" s="150"/>
      <c r="E308" s="81"/>
      <c r="F308" s="73" t="s">
        <v>649</v>
      </c>
      <c r="G308" s="73">
        <v>0</v>
      </c>
      <c r="H308" s="73">
        <v>6</v>
      </c>
      <c r="I308" s="74" t="s">
        <v>641</v>
      </c>
      <c r="J308" s="75" t="s">
        <v>634</v>
      </c>
      <c r="K308" s="74"/>
      <c r="L308" s="82">
        <v>1.2866599999999999</v>
      </c>
      <c r="M308" s="138">
        <v>1.2866599999999999</v>
      </c>
      <c r="N308" s="138">
        <v>1.2866599999999999</v>
      </c>
      <c r="O308" s="138">
        <v>1.2866599999999999</v>
      </c>
      <c r="P308" s="138">
        <v>1.2866599999999999</v>
      </c>
      <c r="Q308" s="138">
        <v>1.2866599999999999</v>
      </c>
      <c r="R308" s="138">
        <v>1.2866599999999999</v>
      </c>
      <c r="S308" s="138">
        <v>1.2866599999999999</v>
      </c>
      <c r="T308" s="138">
        <v>1.2866599999999999</v>
      </c>
      <c r="U308" s="138">
        <v>1.2866599999999999</v>
      </c>
      <c r="V308" s="138">
        <v>1.2866599999999999</v>
      </c>
      <c r="W308" s="138">
        <v>1.2866599999999999</v>
      </c>
      <c r="X308" s="138">
        <v>1.2866599999999999</v>
      </c>
      <c r="Y308" s="138">
        <f t="shared" si="213"/>
        <v>1.2866599999999999</v>
      </c>
      <c r="Z308" s="138">
        <f t="shared" si="214"/>
        <v>1.2866599999999999</v>
      </c>
      <c r="AA308" s="138">
        <f t="shared" si="215"/>
        <v>1.2866599999999999</v>
      </c>
      <c r="AB308" s="138">
        <f t="shared" si="216"/>
        <v>1.2866599999999999</v>
      </c>
      <c r="AC308" s="138">
        <f t="shared" si="217"/>
        <v>1.2866599999999999</v>
      </c>
      <c r="AD308" s="138">
        <f t="shared" si="218"/>
        <v>1.2866599999999999</v>
      </c>
      <c r="AE308" s="138">
        <f t="shared" si="219"/>
        <v>1.2866599999999999</v>
      </c>
      <c r="AF308" s="138">
        <f t="shared" si="220"/>
        <v>1.2866599999999999</v>
      </c>
      <c r="AG308" s="138">
        <f t="shared" si="221"/>
        <v>1.2866599999999999</v>
      </c>
      <c r="AH308" s="138">
        <f t="shared" si="222"/>
        <v>1.2866599999999999</v>
      </c>
      <c r="AI308" s="138">
        <f t="shared" si="223"/>
        <v>1.2866599999999999</v>
      </c>
      <c r="AJ308" s="138">
        <f t="shared" si="224"/>
        <v>1.2866599999999999</v>
      </c>
      <c r="AK308" s="138">
        <f t="shared" si="225"/>
        <v>1.2866599999999999</v>
      </c>
      <c r="AL308" s="138">
        <f t="shared" si="226"/>
        <v>1.2866599999999997</v>
      </c>
      <c r="AM308" s="138">
        <f t="shared" si="227"/>
        <v>1.2866600000000004</v>
      </c>
      <c r="AO308" s="77" t="str">
        <f t="shared" si="184"/>
        <v>GDS-4 (Large General Delivery)</v>
      </c>
      <c r="AP308" s="78" t="s">
        <v>674</v>
      </c>
      <c r="AQ308" s="77" t="str">
        <f t="shared" si="185"/>
        <v>Overrun Demand Charge &gt; 60 psig MAOP &lt; 30000 (Rider T) Zone III</v>
      </c>
      <c r="AR308" s="78" t="str">
        <f t="shared" si="186"/>
        <v>Billing Cycle</v>
      </c>
      <c r="AS308" s="79">
        <f t="shared" si="187"/>
        <v>6</v>
      </c>
      <c r="AT308" s="78">
        <f t="shared" si="188"/>
        <v>1</v>
      </c>
      <c r="AU308" s="78">
        <f t="shared" si="189"/>
        <v>1.2866599999999999</v>
      </c>
      <c r="AV308" s="78">
        <f t="shared" si="190"/>
        <v>1.2866599999999999</v>
      </c>
      <c r="AW308" s="78">
        <f t="shared" si="191"/>
        <v>1.2866599999999999</v>
      </c>
      <c r="AX308" s="78">
        <f t="shared" si="192"/>
        <v>1.2866599999999999</v>
      </c>
      <c r="AY308" s="78">
        <f t="shared" si="193"/>
        <v>1.2866599999999999</v>
      </c>
      <c r="AZ308" s="78">
        <f t="shared" si="194"/>
        <v>1.2866599999999999</v>
      </c>
      <c r="BA308" s="78">
        <f t="shared" si="195"/>
        <v>1.2866599999999999</v>
      </c>
      <c r="BB308" s="78">
        <f t="shared" si="196"/>
        <v>1.2866599999999999</v>
      </c>
      <c r="BC308" s="78">
        <f t="shared" si="197"/>
        <v>1.2866599999999999</v>
      </c>
      <c r="BD308" s="78">
        <f t="shared" si="198"/>
        <v>1.2866599999999999</v>
      </c>
      <c r="BE308" s="78">
        <f t="shared" si="199"/>
        <v>1.2866599999999999</v>
      </c>
      <c r="BF308" s="78">
        <f t="shared" si="200"/>
        <v>1.2866599999999999</v>
      </c>
      <c r="BG308" s="78">
        <f t="shared" si="201"/>
        <v>1.2866599999999999</v>
      </c>
      <c r="BH308" s="78">
        <f t="shared" si="202"/>
        <v>1.2866599999999999</v>
      </c>
      <c r="BI308" s="78">
        <f t="shared" si="203"/>
        <v>1.2866599999999999</v>
      </c>
      <c r="BJ308" s="78">
        <f t="shared" si="204"/>
        <v>1.2866599999999999</v>
      </c>
      <c r="BK308" s="78">
        <f t="shared" si="205"/>
        <v>1.2866599999999999</v>
      </c>
      <c r="BL308" s="78">
        <f t="shared" si="206"/>
        <v>1.2866599999999999</v>
      </c>
      <c r="BM308" s="78">
        <f t="shared" si="207"/>
        <v>1.2866599999999999</v>
      </c>
      <c r="BN308" s="78">
        <f t="shared" si="208"/>
        <v>1.2866599999999999</v>
      </c>
      <c r="BO308" s="78">
        <f t="shared" si="209"/>
        <v>1.2866599999999999</v>
      </c>
      <c r="BP308" s="78">
        <f t="shared" si="210"/>
        <v>1.2866599999999999</v>
      </c>
      <c r="BQ308" s="78">
        <f t="shared" si="211"/>
        <v>1.2866599999999999</v>
      </c>
      <c r="BR308" s="78">
        <f t="shared" si="212"/>
        <v>1.2866599999999999</v>
      </c>
      <c r="BS308" s="77"/>
      <c r="BT308" s="77"/>
    </row>
    <row r="309" spans="1:72" ht="14.1" customHeight="1" x14ac:dyDescent="0.2">
      <c r="A309" s="55" t="str">
        <f t="shared" si="183"/>
        <v>GDS-4 (Large General Delivery)_Overrun Demand Charge &gt; 60 psig MAOP &gt; 30000 (Rider T) Zone I</v>
      </c>
      <c r="B309" s="80" t="s">
        <v>673</v>
      </c>
      <c r="C309" s="83" t="s">
        <v>819</v>
      </c>
      <c r="D309" s="150"/>
      <c r="E309" s="81"/>
      <c r="F309" s="73" t="s">
        <v>649</v>
      </c>
      <c r="G309" s="73">
        <v>0</v>
      </c>
      <c r="H309" s="73">
        <v>6</v>
      </c>
      <c r="I309" s="74" t="s">
        <v>641</v>
      </c>
      <c r="J309" s="75" t="s">
        <v>634</v>
      </c>
      <c r="K309" s="74"/>
      <c r="L309" s="82">
        <v>1.2511000000000001</v>
      </c>
      <c r="M309" s="138">
        <v>1.2511000000000001</v>
      </c>
      <c r="N309" s="138">
        <v>1.2511000000000001</v>
      </c>
      <c r="O309" s="138">
        <v>1.2511000000000001</v>
      </c>
      <c r="P309" s="138">
        <v>1.2511000000000001</v>
      </c>
      <c r="Q309" s="138">
        <v>1.2511000000000001</v>
      </c>
      <c r="R309" s="138">
        <v>1.2511000000000001</v>
      </c>
      <c r="S309" s="138">
        <v>1.2511000000000001</v>
      </c>
      <c r="T309" s="138">
        <v>1.2511000000000001</v>
      </c>
      <c r="U309" s="138">
        <v>1.2511000000000001</v>
      </c>
      <c r="V309" s="138">
        <v>1.2511000000000001</v>
      </c>
      <c r="W309" s="138">
        <v>1.2511000000000001</v>
      </c>
      <c r="X309" s="138">
        <v>1.2511000000000001</v>
      </c>
      <c r="Y309" s="138">
        <f t="shared" si="213"/>
        <v>1.2511000000000001</v>
      </c>
      <c r="Z309" s="138">
        <f t="shared" si="214"/>
        <v>1.2511000000000001</v>
      </c>
      <c r="AA309" s="138">
        <f t="shared" si="215"/>
        <v>1.2511000000000001</v>
      </c>
      <c r="AB309" s="138">
        <f t="shared" si="216"/>
        <v>1.2511000000000001</v>
      </c>
      <c r="AC309" s="138">
        <f t="shared" si="217"/>
        <v>1.2511000000000001</v>
      </c>
      <c r="AD309" s="138">
        <f t="shared" si="218"/>
        <v>1.2511000000000001</v>
      </c>
      <c r="AE309" s="138">
        <f t="shared" si="219"/>
        <v>1.2511000000000001</v>
      </c>
      <c r="AF309" s="138">
        <f t="shared" si="220"/>
        <v>1.2511000000000001</v>
      </c>
      <c r="AG309" s="138">
        <f t="shared" si="221"/>
        <v>1.2511000000000001</v>
      </c>
      <c r="AH309" s="138">
        <f t="shared" si="222"/>
        <v>1.2511000000000001</v>
      </c>
      <c r="AI309" s="138">
        <f t="shared" si="223"/>
        <v>1.2511000000000001</v>
      </c>
      <c r="AJ309" s="138">
        <f t="shared" si="224"/>
        <v>1.2511000000000001</v>
      </c>
      <c r="AK309" s="138">
        <f t="shared" si="225"/>
        <v>1.2511000000000001</v>
      </c>
      <c r="AL309" s="138">
        <f t="shared" si="226"/>
        <v>1.2511000000000003</v>
      </c>
      <c r="AM309" s="138">
        <f t="shared" si="227"/>
        <v>1.2511000000000008</v>
      </c>
      <c r="AO309" s="77" t="str">
        <f t="shared" si="184"/>
        <v>GDS-4 (Large General Delivery)</v>
      </c>
      <c r="AP309" s="78" t="s">
        <v>674</v>
      </c>
      <c r="AQ309" s="77" t="str">
        <f t="shared" si="185"/>
        <v>Overrun Demand Charge &gt; 60 psig MAOP &gt; 30000 (Rider T) Zone I</v>
      </c>
      <c r="AR309" s="78" t="str">
        <f t="shared" si="186"/>
        <v>Billing Cycle</v>
      </c>
      <c r="AS309" s="79">
        <f t="shared" si="187"/>
        <v>6</v>
      </c>
      <c r="AT309" s="78">
        <f t="shared" si="188"/>
        <v>1</v>
      </c>
      <c r="AU309" s="78">
        <f t="shared" si="189"/>
        <v>1.2511000000000001</v>
      </c>
      <c r="AV309" s="78">
        <f t="shared" si="190"/>
        <v>1.2511000000000001</v>
      </c>
      <c r="AW309" s="78">
        <f t="shared" si="191"/>
        <v>1.2511000000000001</v>
      </c>
      <c r="AX309" s="78">
        <f t="shared" si="192"/>
        <v>1.2511000000000001</v>
      </c>
      <c r="AY309" s="78">
        <f t="shared" si="193"/>
        <v>1.2511000000000001</v>
      </c>
      <c r="AZ309" s="78">
        <f t="shared" si="194"/>
        <v>1.2511000000000001</v>
      </c>
      <c r="BA309" s="78">
        <f t="shared" si="195"/>
        <v>1.2511000000000001</v>
      </c>
      <c r="BB309" s="78">
        <f t="shared" si="196"/>
        <v>1.2511000000000001</v>
      </c>
      <c r="BC309" s="78">
        <f t="shared" si="197"/>
        <v>1.2511000000000001</v>
      </c>
      <c r="BD309" s="78">
        <f t="shared" si="198"/>
        <v>1.2511000000000001</v>
      </c>
      <c r="BE309" s="78">
        <f t="shared" si="199"/>
        <v>1.2511000000000001</v>
      </c>
      <c r="BF309" s="78">
        <f t="shared" si="200"/>
        <v>1.2511000000000001</v>
      </c>
      <c r="BG309" s="78">
        <f t="shared" si="201"/>
        <v>1.2511000000000001</v>
      </c>
      <c r="BH309" s="78">
        <f t="shared" si="202"/>
        <v>1.2511000000000001</v>
      </c>
      <c r="BI309" s="78">
        <f t="shared" si="203"/>
        <v>1.2511000000000001</v>
      </c>
      <c r="BJ309" s="78">
        <f t="shared" si="204"/>
        <v>1.2511000000000001</v>
      </c>
      <c r="BK309" s="78">
        <f t="shared" si="205"/>
        <v>1.2511000000000001</v>
      </c>
      <c r="BL309" s="78">
        <f t="shared" si="206"/>
        <v>1.2511000000000001</v>
      </c>
      <c r="BM309" s="78">
        <f t="shared" si="207"/>
        <v>1.2511000000000001</v>
      </c>
      <c r="BN309" s="78">
        <f t="shared" si="208"/>
        <v>1.2511000000000001</v>
      </c>
      <c r="BO309" s="78">
        <f t="shared" si="209"/>
        <v>1.2511000000000001</v>
      </c>
      <c r="BP309" s="78">
        <f t="shared" si="210"/>
        <v>1.2511000000000001</v>
      </c>
      <c r="BQ309" s="78">
        <f t="shared" si="211"/>
        <v>1.2511000000000001</v>
      </c>
      <c r="BR309" s="78">
        <f t="shared" si="212"/>
        <v>1.2511000000000001</v>
      </c>
      <c r="BS309" s="77"/>
      <c r="BT309" s="77"/>
    </row>
    <row r="310" spans="1:72" ht="14.1" customHeight="1" x14ac:dyDescent="0.2">
      <c r="A310" s="55" t="str">
        <f t="shared" si="183"/>
        <v>GDS-4 (Large General Delivery)_Overrun Demand Charge &gt; 60 psig MAOP &gt; 30000 (Rider T) Zone II</v>
      </c>
      <c r="B310" s="80" t="s">
        <v>673</v>
      </c>
      <c r="C310" s="83" t="s">
        <v>820</v>
      </c>
      <c r="D310" s="150"/>
      <c r="E310" s="81"/>
      <c r="F310" s="73" t="s">
        <v>649</v>
      </c>
      <c r="G310" s="73">
        <v>0</v>
      </c>
      <c r="H310" s="73">
        <v>6</v>
      </c>
      <c r="I310" s="74" t="s">
        <v>641</v>
      </c>
      <c r="J310" s="75" t="s">
        <v>634</v>
      </c>
      <c r="K310" s="74"/>
      <c r="L310" s="82">
        <v>1.2511000000000001</v>
      </c>
      <c r="M310" s="138">
        <v>1.2511000000000001</v>
      </c>
      <c r="N310" s="138">
        <v>1.2511000000000001</v>
      </c>
      <c r="O310" s="138">
        <v>1.2511000000000001</v>
      </c>
      <c r="P310" s="138">
        <v>1.2511000000000001</v>
      </c>
      <c r="Q310" s="138">
        <v>1.2511000000000001</v>
      </c>
      <c r="R310" s="138">
        <v>1.2511000000000001</v>
      </c>
      <c r="S310" s="138">
        <v>1.2511000000000001</v>
      </c>
      <c r="T310" s="138">
        <v>1.2511000000000001</v>
      </c>
      <c r="U310" s="138">
        <v>1.2511000000000001</v>
      </c>
      <c r="V310" s="138">
        <v>1.2511000000000001</v>
      </c>
      <c r="W310" s="138">
        <v>1.2511000000000001</v>
      </c>
      <c r="X310" s="138">
        <v>1.2511000000000001</v>
      </c>
      <c r="Y310" s="138">
        <f t="shared" si="213"/>
        <v>1.2511000000000001</v>
      </c>
      <c r="Z310" s="138">
        <f t="shared" si="214"/>
        <v>1.2511000000000001</v>
      </c>
      <c r="AA310" s="138">
        <f t="shared" si="215"/>
        <v>1.2511000000000001</v>
      </c>
      <c r="AB310" s="138">
        <f t="shared" si="216"/>
        <v>1.2511000000000001</v>
      </c>
      <c r="AC310" s="138">
        <f t="shared" si="217"/>
        <v>1.2511000000000001</v>
      </c>
      <c r="AD310" s="138">
        <f t="shared" si="218"/>
        <v>1.2511000000000001</v>
      </c>
      <c r="AE310" s="138">
        <f t="shared" si="219"/>
        <v>1.2511000000000001</v>
      </c>
      <c r="AF310" s="138">
        <f t="shared" si="220"/>
        <v>1.2511000000000001</v>
      </c>
      <c r="AG310" s="138">
        <f t="shared" si="221"/>
        <v>1.2511000000000001</v>
      </c>
      <c r="AH310" s="138">
        <f t="shared" si="222"/>
        <v>1.2511000000000001</v>
      </c>
      <c r="AI310" s="138">
        <f t="shared" si="223"/>
        <v>1.2511000000000001</v>
      </c>
      <c r="AJ310" s="138">
        <f t="shared" si="224"/>
        <v>1.2511000000000001</v>
      </c>
      <c r="AK310" s="138">
        <f t="shared" si="225"/>
        <v>1.2511000000000001</v>
      </c>
      <c r="AL310" s="138">
        <f t="shared" si="226"/>
        <v>1.2511000000000003</v>
      </c>
      <c r="AM310" s="138">
        <f t="shared" si="227"/>
        <v>1.2511000000000008</v>
      </c>
      <c r="AO310" s="77" t="str">
        <f t="shared" si="184"/>
        <v>GDS-4 (Large General Delivery)</v>
      </c>
      <c r="AP310" s="78" t="s">
        <v>674</v>
      </c>
      <c r="AQ310" s="77" t="str">
        <f t="shared" si="185"/>
        <v>Overrun Demand Charge &gt; 60 psig MAOP &gt; 30000 (Rider T) Zone II</v>
      </c>
      <c r="AR310" s="78" t="str">
        <f t="shared" si="186"/>
        <v>Billing Cycle</v>
      </c>
      <c r="AS310" s="79">
        <f t="shared" si="187"/>
        <v>6</v>
      </c>
      <c r="AT310" s="78">
        <f t="shared" si="188"/>
        <v>1</v>
      </c>
      <c r="AU310" s="78">
        <f t="shared" si="189"/>
        <v>1.2511000000000001</v>
      </c>
      <c r="AV310" s="78">
        <f t="shared" si="190"/>
        <v>1.2511000000000001</v>
      </c>
      <c r="AW310" s="78">
        <f t="shared" si="191"/>
        <v>1.2511000000000001</v>
      </c>
      <c r="AX310" s="78">
        <f t="shared" si="192"/>
        <v>1.2511000000000001</v>
      </c>
      <c r="AY310" s="78">
        <f t="shared" si="193"/>
        <v>1.2511000000000001</v>
      </c>
      <c r="AZ310" s="78">
        <f t="shared" si="194"/>
        <v>1.2511000000000001</v>
      </c>
      <c r="BA310" s="78">
        <f t="shared" si="195"/>
        <v>1.2511000000000001</v>
      </c>
      <c r="BB310" s="78">
        <f t="shared" si="196"/>
        <v>1.2511000000000001</v>
      </c>
      <c r="BC310" s="78">
        <f t="shared" si="197"/>
        <v>1.2511000000000001</v>
      </c>
      <c r="BD310" s="78">
        <f t="shared" si="198"/>
        <v>1.2511000000000001</v>
      </c>
      <c r="BE310" s="78">
        <f t="shared" si="199"/>
        <v>1.2511000000000001</v>
      </c>
      <c r="BF310" s="78">
        <f t="shared" si="200"/>
        <v>1.2511000000000001</v>
      </c>
      <c r="BG310" s="78">
        <f t="shared" si="201"/>
        <v>1.2511000000000001</v>
      </c>
      <c r="BH310" s="78">
        <f t="shared" si="202"/>
        <v>1.2511000000000001</v>
      </c>
      <c r="BI310" s="78">
        <f t="shared" si="203"/>
        <v>1.2511000000000001</v>
      </c>
      <c r="BJ310" s="78">
        <f t="shared" si="204"/>
        <v>1.2511000000000001</v>
      </c>
      <c r="BK310" s="78">
        <f t="shared" si="205"/>
        <v>1.2511000000000001</v>
      </c>
      <c r="BL310" s="78">
        <f t="shared" si="206"/>
        <v>1.2511000000000001</v>
      </c>
      <c r="BM310" s="78">
        <f t="shared" si="207"/>
        <v>1.2511000000000001</v>
      </c>
      <c r="BN310" s="78">
        <f t="shared" si="208"/>
        <v>1.2511000000000001</v>
      </c>
      <c r="BO310" s="78">
        <f t="shared" si="209"/>
        <v>1.2511000000000001</v>
      </c>
      <c r="BP310" s="78">
        <f t="shared" si="210"/>
        <v>1.2511000000000001</v>
      </c>
      <c r="BQ310" s="78">
        <f t="shared" si="211"/>
        <v>1.2511000000000001</v>
      </c>
      <c r="BR310" s="78">
        <f t="shared" si="212"/>
        <v>1.2511000000000001</v>
      </c>
      <c r="BS310" s="77"/>
      <c r="BT310" s="77"/>
    </row>
    <row r="311" spans="1:72" ht="14.1" customHeight="1" x14ac:dyDescent="0.2">
      <c r="A311" s="55" t="str">
        <f t="shared" si="183"/>
        <v>GDS-4 (Large General Delivery)_Overrun Demand Charge &gt; 60 psig MAOP &gt; 30000 (Rider T) Zone III</v>
      </c>
      <c r="B311" s="80" t="s">
        <v>673</v>
      </c>
      <c r="C311" s="83" t="s">
        <v>821</v>
      </c>
      <c r="D311" s="150"/>
      <c r="E311" s="81"/>
      <c r="F311" s="73" t="s">
        <v>649</v>
      </c>
      <c r="G311" s="73">
        <v>0</v>
      </c>
      <c r="H311" s="73">
        <v>6</v>
      </c>
      <c r="I311" s="74" t="s">
        <v>641</v>
      </c>
      <c r="J311" s="75" t="s">
        <v>634</v>
      </c>
      <c r="K311" s="74"/>
      <c r="L311" s="82">
        <v>0.96106000000000003</v>
      </c>
      <c r="M311" s="138">
        <v>0.96106000000000003</v>
      </c>
      <c r="N311" s="138">
        <v>0.96106000000000003</v>
      </c>
      <c r="O311" s="138">
        <v>0.96106000000000003</v>
      </c>
      <c r="P311" s="138">
        <v>0.96106000000000003</v>
      </c>
      <c r="Q311" s="138">
        <v>0.96106000000000003</v>
      </c>
      <c r="R311" s="138">
        <v>0.96106000000000003</v>
      </c>
      <c r="S311" s="138">
        <v>0.96106000000000003</v>
      </c>
      <c r="T311" s="138">
        <v>0.96106000000000003</v>
      </c>
      <c r="U311" s="138">
        <v>0.96106000000000003</v>
      </c>
      <c r="V311" s="138">
        <v>0.96106000000000003</v>
      </c>
      <c r="W311" s="138">
        <v>0.96106000000000003</v>
      </c>
      <c r="X311" s="138">
        <v>0.96106000000000003</v>
      </c>
      <c r="Y311" s="138">
        <f t="shared" si="213"/>
        <v>0.96106000000000003</v>
      </c>
      <c r="Z311" s="138">
        <f t="shared" si="214"/>
        <v>0.96106000000000003</v>
      </c>
      <c r="AA311" s="138">
        <f t="shared" si="215"/>
        <v>0.96106000000000003</v>
      </c>
      <c r="AB311" s="138">
        <f t="shared" si="216"/>
        <v>0.96106000000000003</v>
      </c>
      <c r="AC311" s="138">
        <f t="shared" si="217"/>
        <v>0.96106000000000003</v>
      </c>
      <c r="AD311" s="138">
        <f t="shared" si="218"/>
        <v>0.96106000000000003</v>
      </c>
      <c r="AE311" s="138">
        <f t="shared" si="219"/>
        <v>0.96106000000000003</v>
      </c>
      <c r="AF311" s="138">
        <f t="shared" si="220"/>
        <v>0.96106000000000003</v>
      </c>
      <c r="AG311" s="138">
        <f t="shared" si="221"/>
        <v>0.96106000000000003</v>
      </c>
      <c r="AH311" s="138">
        <f t="shared" si="222"/>
        <v>0.96106000000000003</v>
      </c>
      <c r="AI311" s="138">
        <f t="shared" si="223"/>
        <v>0.96106000000000003</v>
      </c>
      <c r="AJ311" s="138">
        <f t="shared" si="224"/>
        <v>0.96106000000000003</v>
      </c>
      <c r="AK311" s="138">
        <f t="shared" si="225"/>
        <v>0.96106000000000003</v>
      </c>
      <c r="AL311" s="138">
        <f t="shared" si="226"/>
        <v>0.96105999999999991</v>
      </c>
      <c r="AM311" s="138">
        <f t="shared" si="227"/>
        <v>0.96105999999999991</v>
      </c>
      <c r="AO311" s="77" t="str">
        <f t="shared" si="184"/>
        <v>GDS-4 (Large General Delivery)</v>
      </c>
      <c r="AP311" s="78" t="s">
        <v>674</v>
      </c>
      <c r="AQ311" s="77" t="str">
        <f t="shared" si="185"/>
        <v>Overrun Demand Charge &gt; 60 psig MAOP &gt; 30000 (Rider T) Zone III</v>
      </c>
      <c r="AR311" s="78" t="str">
        <f t="shared" si="186"/>
        <v>Billing Cycle</v>
      </c>
      <c r="AS311" s="79">
        <f t="shared" si="187"/>
        <v>6</v>
      </c>
      <c r="AT311" s="78">
        <f t="shared" si="188"/>
        <v>1</v>
      </c>
      <c r="AU311" s="78">
        <f t="shared" si="189"/>
        <v>0.96106000000000003</v>
      </c>
      <c r="AV311" s="78">
        <f t="shared" si="190"/>
        <v>0.96106000000000003</v>
      </c>
      <c r="AW311" s="78">
        <f t="shared" si="191"/>
        <v>0.96106000000000003</v>
      </c>
      <c r="AX311" s="78">
        <f t="shared" si="192"/>
        <v>0.96106000000000003</v>
      </c>
      <c r="AY311" s="78">
        <f t="shared" si="193"/>
        <v>0.96106000000000003</v>
      </c>
      <c r="AZ311" s="78">
        <f t="shared" si="194"/>
        <v>0.96106000000000003</v>
      </c>
      <c r="BA311" s="78">
        <f t="shared" si="195"/>
        <v>0.96106000000000003</v>
      </c>
      <c r="BB311" s="78">
        <f t="shared" si="196"/>
        <v>0.96106000000000003</v>
      </c>
      <c r="BC311" s="78">
        <f t="shared" si="197"/>
        <v>0.96106000000000003</v>
      </c>
      <c r="BD311" s="78">
        <f t="shared" si="198"/>
        <v>0.96106000000000003</v>
      </c>
      <c r="BE311" s="78">
        <f t="shared" si="199"/>
        <v>0.96106000000000003</v>
      </c>
      <c r="BF311" s="78">
        <f t="shared" si="200"/>
        <v>0.96106000000000003</v>
      </c>
      <c r="BG311" s="78">
        <f t="shared" si="201"/>
        <v>0.96106000000000003</v>
      </c>
      <c r="BH311" s="78">
        <f t="shared" si="202"/>
        <v>0.96106000000000003</v>
      </c>
      <c r="BI311" s="78">
        <f t="shared" si="203"/>
        <v>0.96106000000000003</v>
      </c>
      <c r="BJ311" s="78">
        <f t="shared" si="204"/>
        <v>0.96106000000000003</v>
      </c>
      <c r="BK311" s="78">
        <f t="shared" si="205"/>
        <v>0.96106000000000003</v>
      </c>
      <c r="BL311" s="78">
        <f t="shared" si="206"/>
        <v>0.96106000000000003</v>
      </c>
      <c r="BM311" s="78">
        <f t="shared" si="207"/>
        <v>0.96106000000000003</v>
      </c>
      <c r="BN311" s="78">
        <f t="shared" si="208"/>
        <v>0.96106000000000003</v>
      </c>
      <c r="BO311" s="78">
        <f t="shared" si="209"/>
        <v>0.96106000000000003</v>
      </c>
      <c r="BP311" s="78">
        <f t="shared" si="210"/>
        <v>0.96106000000000003</v>
      </c>
      <c r="BQ311" s="78">
        <f t="shared" si="211"/>
        <v>0.96106000000000003</v>
      </c>
      <c r="BR311" s="78">
        <f t="shared" si="212"/>
        <v>0.96106000000000003</v>
      </c>
      <c r="BS311" s="77"/>
      <c r="BT311" s="77"/>
    </row>
    <row r="312" spans="1:72" ht="14.1" customHeight="1" x14ac:dyDescent="0.2">
      <c r="A312" s="55" t="str">
        <f t="shared" si="183"/>
        <v>GDS-1 (Residential)_PGA Cash Working Capital</v>
      </c>
      <c r="B312" s="80" t="s">
        <v>95</v>
      </c>
      <c r="C312" s="83" t="s">
        <v>822</v>
      </c>
      <c r="D312" s="150" t="s">
        <v>603</v>
      </c>
      <c r="E312" s="81"/>
      <c r="F312" s="84" t="s">
        <v>640</v>
      </c>
      <c r="G312" s="84">
        <v>0</v>
      </c>
      <c r="H312" s="84">
        <v>6</v>
      </c>
      <c r="I312" s="74" t="s">
        <v>699</v>
      </c>
      <c r="J312" s="75" t="s">
        <v>634</v>
      </c>
      <c r="K312" s="74"/>
      <c r="L312" s="82">
        <v>8.4999999999999995E-4</v>
      </c>
      <c r="M312" s="138">
        <v>1.58E-3</v>
      </c>
      <c r="N312" s="138">
        <v>1.6299999999999999E-3</v>
      </c>
      <c r="O312" s="138">
        <v>1.7799999999999999E-3</v>
      </c>
      <c r="P312" s="138">
        <v>1.6800000000000001E-3</v>
      </c>
      <c r="Q312" s="138">
        <v>1.75E-3</v>
      </c>
      <c r="R312" s="138">
        <v>1.7700000000000001E-3</v>
      </c>
      <c r="S312" s="138">
        <v>1.7799999999999999E-3</v>
      </c>
      <c r="T312" s="138">
        <v>1.82E-3</v>
      </c>
      <c r="U312" s="138">
        <v>1.9499999999999999E-3</v>
      </c>
      <c r="V312" s="138">
        <v>1.83E-3</v>
      </c>
      <c r="W312" s="138">
        <v>1.83E-3</v>
      </c>
      <c r="X312" s="138">
        <v>1.83E-3</v>
      </c>
      <c r="Y312" s="138">
        <f t="shared" si="213"/>
        <v>1.83E-3</v>
      </c>
      <c r="Z312" s="138">
        <f t="shared" si="214"/>
        <v>1.83E-3</v>
      </c>
      <c r="AA312" s="138">
        <f t="shared" si="215"/>
        <v>1.83E-3</v>
      </c>
      <c r="AB312" s="138">
        <f t="shared" si="216"/>
        <v>1.83E-3</v>
      </c>
      <c r="AC312" s="138">
        <f t="shared" si="217"/>
        <v>1.83E-3</v>
      </c>
      <c r="AD312" s="138">
        <f t="shared" si="218"/>
        <v>1.83E-3</v>
      </c>
      <c r="AE312" s="138">
        <f t="shared" si="219"/>
        <v>1.83E-3</v>
      </c>
      <c r="AF312" s="138">
        <f t="shared" si="220"/>
        <v>1.83E-3</v>
      </c>
      <c r="AG312" s="138">
        <f t="shared" si="221"/>
        <v>1.83E-3</v>
      </c>
      <c r="AH312" s="138">
        <f t="shared" si="222"/>
        <v>1.83E-3</v>
      </c>
      <c r="AI312" s="138">
        <f t="shared" si="223"/>
        <v>1.83E-3</v>
      </c>
      <c r="AJ312" s="138">
        <f t="shared" si="224"/>
        <v>1.83E-3</v>
      </c>
      <c r="AK312" s="138">
        <f t="shared" si="225"/>
        <v>1.83E-3</v>
      </c>
      <c r="AL312" s="138">
        <f t="shared" si="226"/>
        <v>1.8299999999999994E-3</v>
      </c>
      <c r="AM312" s="138">
        <f t="shared" si="227"/>
        <v>1.8099999999999991E-3</v>
      </c>
      <c r="AO312" s="77" t="str">
        <f t="shared" si="184"/>
        <v>GDS-1 (Residential)</v>
      </c>
      <c r="AP312" s="78" t="s">
        <v>668</v>
      </c>
      <c r="AQ312" s="77" t="str">
        <f t="shared" si="185"/>
        <v>PGA Cash Working Capital</v>
      </c>
      <c r="AR312" s="78" t="str">
        <f t="shared" si="186"/>
        <v>Prorated</v>
      </c>
      <c r="AS312" s="79">
        <f t="shared" si="187"/>
        <v>6</v>
      </c>
      <c r="AT312" s="78">
        <f t="shared" si="188"/>
        <v>0</v>
      </c>
      <c r="AU312" s="78">
        <f t="shared" si="189"/>
        <v>1.58E-3</v>
      </c>
      <c r="AV312" s="78">
        <f t="shared" si="190"/>
        <v>1.6299999999999999E-3</v>
      </c>
      <c r="AW312" s="78">
        <f t="shared" si="191"/>
        <v>1.7799999999999999E-3</v>
      </c>
      <c r="AX312" s="78">
        <f t="shared" si="192"/>
        <v>1.6800000000000001E-3</v>
      </c>
      <c r="AY312" s="78">
        <f t="shared" si="193"/>
        <v>1.75E-3</v>
      </c>
      <c r="AZ312" s="78">
        <f t="shared" si="194"/>
        <v>1.7700000000000001E-3</v>
      </c>
      <c r="BA312" s="78">
        <f t="shared" si="195"/>
        <v>1.7799999999999999E-3</v>
      </c>
      <c r="BB312" s="78">
        <f t="shared" si="196"/>
        <v>1.82E-3</v>
      </c>
      <c r="BC312" s="78">
        <f t="shared" si="197"/>
        <v>1.9499999999999999E-3</v>
      </c>
      <c r="BD312" s="78">
        <f t="shared" si="198"/>
        <v>1.83E-3</v>
      </c>
      <c r="BE312" s="78">
        <f t="shared" si="199"/>
        <v>1.83E-3</v>
      </c>
      <c r="BF312" s="78">
        <f t="shared" si="200"/>
        <v>1.83E-3</v>
      </c>
      <c r="BG312" s="78">
        <f t="shared" si="201"/>
        <v>1.83E-3</v>
      </c>
      <c r="BH312" s="78">
        <f t="shared" si="202"/>
        <v>1.83E-3</v>
      </c>
      <c r="BI312" s="78">
        <f t="shared" si="203"/>
        <v>1.83E-3</v>
      </c>
      <c r="BJ312" s="78">
        <f t="shared" si="204"/>
        <v>1.83E-3</v>
      </c>
      <c r="BK312" s="78">
        <f t="shared" si="205"/>
        <v>1.83E-3</v>
      </c>
      <c r="BL312" s="78">
        <f t="shared" si="206"/>
        <v>1.83E-3</v>
      </c>
      <c r="BM312" s="78">
        <f t="shared" si="207"/>
        <v>1.83E-3</v>
      </c>
      <c r="BN312" s="78">
        <f t="shared" si="208"/>
        <v>1.83E-3</v>
      </c>
      <c r="BO312" s="78">
        <f t="shared" si="209"/>
        <v>1.83E-3</v>
      </c>
      <c r="BP312" s="78">
        <f t="shared" si="210"/>
        <v>1.83E-3</v>
      </c>
      <c r="BQ312" s="78">
        <f t="shared" si="211"/>
        <v>1.83E-3</v>
      </c>
      <c r="BR312" s="78">
        <f t="shared" si="212"/>
        <v>1.83E-3</v>
      </c>
      <c r="BS312" s="77"/>
      <c r="BT312" s="77"/>
    </row>
    <row r="313" spans="1:72" ht="14.1" customHeight="1" x14ac:dyDescent="0.2">
      <c r="A313" s="55" t="str">
        <f t="shared" si="183"/>
        <v>GDS-2 (Small General Delivery)_PGA Cash Working Capital</v>
      </c>
      <c r="B313" s="80" t="s">
        <v>669</v>
      </c>
      <c r="C313" s="83" t="s">
        <v>822</v>
      </c>
      <c r="D313" s="150"/>
      <c r="E313" s="81"/>
      <c r="F313" s="84" t="s">
        <v>640</v>
      </c>
      <c r="G313" s="84">
        <v>0</v>
      </c>
      <c r="H313" s="84">
        <v>6</v>
      </c>
      <c r="I313" s="74" t="s">
        <v>699</v>
      </c>
      <c r="J313" s="75" t="s">
        <v>634</v>
      </c>
      <c r="K313" s="74"/>
      <c r="L313" s="82">
        <v>8.4999999999999995E-4</v>
      </c>
      <c r="M313" s="138">
        <v>1.58E-3</v>
      </c>
      <c r="N313" s="138">
        <v>1.6299999999999999E-3</v>
      </c>
      <c r="O313" s="138">
        <v>1.7799999999999999E-3</v>
      </c>
      <c r="P313" s="138">
        <v>1.6800000000000001E-3</v>
      </c>
      <c r="Q313" s="138">
        <v>1.75E-3</v>
      </c>
      <c r="R313" s="138">
        <v>1.7700000000000001E-3</v>
      </c>
      <c r="S313" s="138">
        <v>1.7799999999999999E-3</v>
      </c>
      <c r="T313" s="138">
        <v>1.82E-3</v>
      </c>
      <c r="U313" s="138">
        <v>1.9499999999999999E-3</v>
      </c>
      <c r="V313" s="138">
        <v>1.83E-3</v>
      </c>
      <c r="W313" s="138">
        <v>1.83E-3</v>
      </c>
      <c r="X313" s="138">
        <v>1.83E-3</v>
      </c>
      <c r="Y313" s="138">
        <f t="shared" si="213"/>
        <v>1.83E-3</v>
      </c>
      <c r="Z313" s="138">
        <f t="shared" si="214"/>
        <v>1.83E-3</v>
      </c>
      <c r="AA313" s="138">
        <f t="shared" si="215"/>
        <v>1.83E-3</v>
      </c>
      <c r="AB313" s="138">
        <f t="shared" si="216"/>
        <v>1.83E-3</v>
      </c>
      <c r="AC313" s="138">
        <f t="shared" si="217"/>
        <v>1.83E-3</v>
      </c>
      <c r="AD313" s="138">
        <f t="shared" si="218"/>
        <v>1.83E-3</v>
      </c>
      <c r="AE313" s="138">
        <f t="shared" si="219"/>
        <v>1.83E-3</v>
      </c>
      <c r="AF313" s="138">
        <f t="shared" si="220"/>
        <v>1.83E-3</v>
      </c>
      <c r="AG313" s="138">
        <f t="shared" si="221"/>
        <v>1.83E-3</v>
      </c>
      <c r="AH313" s="138">
        <f t="shared" si="222"/>
        <v>1.83E-3</v>
      </c>
      <c r="AI313" s="138">
        <f t="shared" si="223"/>
        <v>1.83E-3</v>
      </c>
      <c r="AJ313" s="138">
        <f t="shared" si="224"/>
        <v>1.83E-3</v>
      </c>
      <c r="AK313" s="138">
        <f t="shared" si="225"/>
        <v>1.83E-3</v>
      </c>
      <c r="AL313" s="138">
        <f t="shared" si="226"/>
        <v>1.8299999999999994E-3</v>
      </c>
      <c r="AM313" s="138">
        <f t="shared" si="227"/>
        <v>1.8099999999999991E-3</v>
      </c>
      <c r="AO313" s="77" t="str">
        <f t="shared" si="184"/>
        <v>GDS-2 (Small General Delivery)</v>
      </c>
      <c r="AP313" s="78" t="s">
        <v>670</v>
      </c>
      <c r="AQ313" s="77" t="str">
        <f t="shared" si="185"/>
        <v>PGA Cash Working Capital</v>
      </c>
      <c r="AR313" s="78" t="str">
        <f t="shared" si="186"/>
        <v>Prorated</v>
      </c>
      <c r="AS313" s="79">
        <f t="shared" si="187"/>
        <v>6</v>
      </c>
      <c r="AT313" s="78">
        <f t="shared" si="188"/>
        <v>0</v>
      </c>
      <c r="AU313" s="78">
        <f t="shared" si="189"/>
        <v>1.58E-3</v>
      </c>
      <c r="AV313" s="78">
        <f t="shared" si="190"/>
        <v>1.6299999999999999E-3</v>
      </c>
      <c r="AW313" s="78">
        <f t="shared" si="191"/>
        <v>1.7799999999999999E-3</v>
      </c>
      <c r="AX313" s="78">
        <f t="shared" si="192"/>
        <v>1.6800000000000001E-3</v>
      </c>
      <c r="AY313" s="78">
        <f t="shared" si="193"/>
        <v>1.75E-3</v>
      </c>
      <c r="AZ313" s="78">
        <f t="shared" si="194"/>
        <v>1.7700000000000001E-3</v>
      </c>
      <c r="BA313" s="78">
        <f t="shared" si="195"/>
        <v>1.7799999999999999E-3</v>
      </c>
      <c r="BB313" s="78">
        <f t="shared" si="196"/>
        <v>1.82E-3</v>
      </c>
      <c r="BC313" s="78">
        <f t="shared" si="197"/>
        <v>1.9499999999999999E-3</v>
      </c>
      <c r="BD313" s="78">
        <f t="shared" si="198"/>
        <v>1.83E-3</v>
      </c>
      <c r="BE313" s="78">
        <f t="shared" si="199"/>
        <v>1.83E-3</v>
      </c>
      <c r="BF313" s="78">
        <f t="shared" si="200"/>
        <v>1.83E-3</v>
      </c>
      <c r="BG313" s="78">
        <f t="shared" si="201"/>
        <v>1.83E-3</v>
      </c>
      <c r="BH313" s="78">
        <f t="shared" si="202"/>
        <v>1.83E-3</v>
      </c>
      <c r="BI313" s="78">
        <f t="shared" si="203"/>
        <v>1.83E-3</v>
      </c>
      <c r="BJ313" s="78">
        <f t="shared" si="204"/>
        <v>1.83E-3</v>
      </c>
      <c r="BK313" s="78">
        <f t="shared" si="205"/>
        <v>1.83E-3</v>
      </c>
      <c r="BL313" s="78">
        <f t="shared" si="206"/>
        <v>1.83E-3</v>
      </c>
      <c r="BM313" s="78">
        <f t="shared" si="207"/>
        <v>1.83E-3</v>
      </c>
      <c r="BN313" s="78">
        <f t="shared" si="208"/>
        <v>1.83E-3</v>
      </c>
      <c r="BO313" s="78">
        <f t="shared" si="209"/>
        <v>1.83E-3</v>
      </c>
      <c r="BP313" s="78">
        <f t="shared" si="210"/>
        <v>1.83E-3</v>
      </c>
      <c r="BQ313" s="78">
        <f t="shared" si="211"/>
        <v>1.83E-3</v>
      </c>
      <c r="BR313" s="78">
        <f t="shared" si="212"/>
        <v>1.83E-3</v>
      </c>
      <c r="BS313" s="77"/>
      <c r="BT313" s="77"/>
    </row>
    <row r="314" spans="1:72" ht="14.1" customHeight="1" x14ac:dyDescent="0.2">
      <c r="A314" s="55" t="str">
        <f t="shared" si="183"/>
        <v>GDS-3 (Intermediate General Delivery)_PGA Cash Working Capital</v>
      </c>
      <c r="B314" s="80" t="s">
        <v>671</v>
      </c>
      <c r="C314" s="83" t="s">
        <v>822</v>
      </c>
      <c r="D314" s="150"/>
      <c r="E314" s="81"/>
      <c r="F314" s="84" t="s">
        <v>640</v>
      </c>
      <c r="G314" s="84">
        <v>0</v>
      </c>
      <c r="H314" s="84">
        <v>6</v>
      </c>
      <c r="I314" s="74" t="s">
        <v>699</v>
      </c>
      <c r="J314" s="75" t="s">
        <v>634</v>
      </c>
      <c r="K314" s="74"/>
      <c r="L314" s="82">
        <v>8.4999999999999995E-4</v>
      </c>
      <c r="M314" s="138">
        <v>1.58E-3</v>
      </c>
      <c r="N314" s="138">
        <v>1.6299999999999999E-3</v>
      </c>
      <c r="O314" s="138">
        <v>1.7799999999999999E-3</v>
      </c>
      <c r="P314" s="138">
        <v>1.6800000000000001E-3</v>
      </c>
      <c r="Q314" s="138">
        <v>1.75E-3</v>
      </c>
      <c r="R314" s="138">
        <v>1.7700000000000001E-3</v>
      </c>
      <c r="S314" s="138">
        <v>1.7799999999999999E-3</v>
      </c>
      <c r="T314" s="138">
        <v>1.82E-3</v>
      </c>
      <c r="U314" s="138">
        <v>1.9499999999999999E-3</v>
      </c>
      <c r="V314" s="138">
        <v>1.83E-3</v>
      </c>
      <c r="W314" s="138">
        <v>1.83E-3</v>
      </c>
      <c r="X314" s="138">
        <v>1.83E-3</v>
      </c>
      <c r="Y314" s="138">
        <f t="shared" si="213"/>
        <v>1.83E-3</v>
      </c>
      <c r="Z314" s="138">
        <f t="shared" si="214"/>
        <v>1.83E-3</v>
      </c>
      <c r="AA314" s="138">
        <f t="shared" si="215"/>
        <v>1.83E-3</v>
      </c>
      <c r="AB314" s="138">
        <f t="shared" si="216"/>
        <v>1.83E-3</v>
      </c>
      <c r="AC314" s="138">
        <f t="shared" si="217"/>
        <v>1.83E-3</v>
      </c>
      <c r="AD314" s="138">
        <f t="shared" si="218"/>
        <v>1.83E-3</v>
      </c>
      <c r="AE314" s="138">
        <f t="shared" si="219"/>
        <v>1.83E-3</v>
      </c>
      <c r="AF314" s="138">
        <f t="shared" si="220"/>
        <v>1.83E-3</v>
      </c>
      <c r="AG314" s="138">
        <f t="shared" si="221"/>
        <v>1.83E-3</v>
      </c>
      <c r="AH314" s="138">
        <f t="shared" si="222"/>
        <v>1.83E-3</v>
      </c>
      <c r="AI314" s="138">
        <f t="shared" si="223"/>
        <v>1.83E-3</v>
      </c>
      <c r="AJ314" s="138">
        <f t="shared" si="224"/>
        <v>1.83E-3</v>
      </c>
      <c r="AK314" s="138">
        <f t="shared" si="225"/>
        <v>1.83E-3</v>
      </c>
      <c r="AL314" s="138">
        <f t="shared" si="226"/>
        <v>1.8299999999999994E-3</v>
      </c>
      <c r="AM314" s="138">
        <f t="shared" si="227"/>
        <v>1.8099999999999991E-3</v>
      </c>
      <c r="AO314" s="77" t="str">
        <f t="shared" si="184"/>
        <v>GDS-3 (Intermediate General Delivery)</v>
      </c>
      <c r="AP314" s="78" t="s">
        <v>672</v>
      </c>
      <c r="AQ314" s="77" t="str">
        <f t="shared" si="185"/>
        <v>PGA Cash Working Capital</v>
      </c>
      <c r="AR314" s="78" t="str">
        <f t="shared" si="186"/>
        <v>Prorated</v>
      </c>
      <c r="AS314" s="79">
        <f t="shared" si="187"/>
        <v>6</v>
      </c>
      <c r="AT314" s="78">
        <f t="shared" si="188"/>
        <v>0</v>
      </c>
      <c r="AU314" s="78">
        <f t="shared" si="189"/>
        <v>1.58E-3</v>
      </c>
      <c r="AV314" s="78">
        <f t="shared" si="190"/>
        <v>1.6299999999999999E-3</v>
      </c>
      <c r="AW314" s="78">
        <f t="shared" si="191"/>
        <v>1.7799999999999999E-3</v>
      </c>
      <c r="AX314" s="78">
        <f t="shared" si="192"/>
        <v>1.6800000000000001E-3</v>
      </c>
      <c r="AY314" s="78">
        <f t="shared" si="193"/>
        <v>1.75E-3</v>
      </c>
      <c r="AZ314" s="78">
        <f t="shared" si="194"/>
        <v>1.7700000000000001E-3</v>
      </c>
      <c r="BA314" s="78">
        <f t="shared" si="195"/>
        <v>1.7799999999999999E-3</v>
      </c>
      <c r="BB314" s="78">
        <f t="shared" si="196"/>
        <v>1.82E-3</v>
      </c>
      <c r="BC314" s="78">
        <f t="shared" si="197"/>
        <v>1.9499999999999999E-3</v>
      </c>
      <c r="BD314" s="78">
        <f t="shared" si="198"/>
        <v>1.83E-3</v>
      </c>
      <c r="BE314" s="78">
        <f t="shared" si="199"/>
        <v>1.83E-3</v>
      </c>
      <c r="BF314" s="78">
        <f t="shared" si="200"/>
        <v>1.83E-3</v>
      </c>
      <c r="BG314" s="78">
        <f t="shared" si="201"/>
        <v>1.83E-3</v>
      </c>
      <c r="BH314" s="78">
        <f t="shared" si="202"/>
        <v>1.83E-3</v>
      </c>
      <c r="BI314" s="78">
        <f t="shared" si="203"/>
        <v>1.83E-3</v>
      </c>
      <c r="BJ314" s="78">
        <f t="shared" si="204"/>
        <v>1.83E-3</v>
      </c>
      <c r="BK314" s="78">
        <f t="shared" si="205"/>
        <v>1.83E-3</v>
      </c>
      <c r="BL314" s="78">
        <f t="shared" si="206"/>
        <v>1.83E-3</v>
      </c>
      <c r="BM314" s="78">
        <f t="shared" si="207"/>
        <v>1.83E-3</v>
      </c>
      <c r="BN314" s="78">
        <f t="shared" si="208"/>
        <v>1.83E-3</v>
      </c>
      <c r="BO314" s="78">
        <f t="shared" si="209"/>
        <v>1.83E-3</v>
      </c>
      <c r="BP314" s="78">
        <f t="shared" si="210"/>
        <v>1.83E-3</v>
      </c>
      <c r="BQ314" s="78">
        <f t="shared" si="211"/>
        <v>1.83E-3</v>
      </c>
      <c r="BR314" s="78">
        <f t="shared" si="212"/>
        <v>1.83E-3</v>
      </c>
      <c r="BS314" s="77"/>
      <c r="BT314" s="77"/>
    </row>
    <row r="315" spans="1:72" ht="14.1" customHeight="1" x14ac:dyDescent="0.2">
      <c r="A315" s="55" t="str">
        <f t="shared" si="183"/>
        <v>GDS-4 (Large General Delivery)_PGA Cash Working Capital</v>
      </c>
      <c r="B315" s="80" t="s">
        <v>673</v>
      </c>
      <c r="C315" s="83" t="s">
        <v>822</v>
      </c>
      <c r="D315" s="150"/>
      <c r="E315" s="81"/>
      <c r="F315" s="84" t="s">
        <v>640</v>
      </c>
      <c r="G315" s="84">
        <v>0</v>
      </c>
      <c r="H315" s="84">
        <v>6</v>
      </c>
      <c r="I315" s="74" t="s">
        <v>699</v>
      </c>
      <c r="J315" s="75" t="s">
        <v>634</v>
      </c>
      <c r="K315" s="74"/>
      <c r="L315" s="82">
        <v>7.2999999999999996E-4</v>
      </c>
      <c r="M315" s="138">
        <v>1.3600000000000001E-3</v>
      </c>
      <c r="N315" s="138">
        <v>1.2099999999999999E-3</v>
      </c>
      <c r="O315" s="138">
        <v>1.4599999999999999E-3</v>
      </c>
      <c r="P315" s="138">
        <v>1.2600000000000001E-3</v>
      </c>
      <c r="Q315" s="138">
        <v>1.3600000000000001E-3</v>
      </c>
      <c r="R315" s="138">
        <v>1.3500000000000001E-3</v>
      </c>
      <c r="S315" s="138">
        <v>1.32E-3</v>
      </c>
      <c r="T315" s="138">
        <v>1.3600000000000001E-3</v>
      </c>
      <c r="U315" s="138">
        <v>1.5499999999999999E-3</v>
      </c>
      <c r="V315" s="138">
        <v>1.5100000000000001E-3</v>
      </c>
      <c r="W315" s="138">
        <v>1.5100000000000001E-3</v>
      </c>
      <c r="X315" s="138">
        <v>1.5100000000000001E-3</v>
      </c>
      <c r="Y315" s="138">
        <f t="shared" si="213"/>
        <v>1.5100000000000001E-3</v>
      </c>
      <c r="Z315" s="138">
        <f t="shared" si="214"/>
        <v>1.5100000000000001E-3</v>
      </c>
      <c r="AA315" s="138">
        <f t="shared" si="215"/>
        <v>1.5100000000000001E-3</v>
      </c>
      <c r="AB315" s="138">
        <f t="shared" si="216"/>
        <v>1.5100000000000001E-3</v>
      </c>
      <c r="AC315" s="138">
        <f t="shared" si="217"/>
        <v>1.5100000000000001E-3</v>
      </c>
      <c r="AD315" s="138">
        <f t="shared" si="218"/>
        <v>1.5100000000000001E-3</v>
      </c>
      <c r="AE315" s="138">
        <f t="shared" si="219"/>
        <v>1.5100000000000001E-3</v>
      </c>
      <c r="AF315" s="138">
        <f t="shared" si="220"/>
        <v>1.5100000000000001E-3</v>
      </c>
      <c r="AG315" s="138">
        <f t="shared" si="221"/>
        <v>1.5100000000000001E-3</v>
      </c>
      <c r="AH315" s="138">
        <f t="shared" si="222"/>
        <v>1.5100000000000001E-3</v>
      </c>
      <c r="AI315" s="138">
        <f t="shared" si="223"/>
        <v>1.5100000000000001E-3</v>
      </c>
      <c r="AJ315" s="138">
        <f t="shared" si="224"/>
        <v>1.5100000000000001E-3</v>
      </c>
      <c r="AK315" s="138">
        <f t="shared" si="225"/>
        <v>1.5100000000000001E-3</v>
      </c>
      <c r="AL315" s="138">
        <f t="shared" si="226"/>
        <v>1.5100000000000003E-3</v>
      </c>
      <c r="AM315" s="138">
        <f t="shared" si="227"/>
        <v>1.4595833333333336E-3</v>
      </c>
      <c r="AO315" s="77" t="str">
        <f t="shared" si="184"/>
        <v>GDS-4 (Large General Delivery)</v>
      </c>
      <c r="AP315" s="78" t="s">
        <v>674</v>
      </c>
      <c r="AQ315" s="77" t="str">
        <f t="shared" si="185"/>
        <v>PGA Cash Working Capital</v>
      </c>
      <c r="AR315" s="78" t="str">
        <f t="shared" si="186"/>
        <v>Prorated</v>
      </c>
      <c r="AS315" s="79">
        <f t="shared" si="187"/>
        <v>6</v>
      </c>
      <c r="AT315" s="78">
        <f t="shared" si="188"/>
        <v>0</v>
      </c>
      <c r="AU315" s="78">
        <f t="shared" si="189"/>
        <v>1.3600000000000001E-3</v>
      </c>
      <c r="AV315" s="78">
        <f t="shared" si="190"/>
        <v>1.2099999999999999E-3</v>
      </c>
      <c r="AW315" s="78">
        <f t="shared" si="191"/>
        <v>1.4599999999999999E-3</v>
      </c>
      <c r="AX315" s="78">
        <f t="shared" si="192"/>
        <v>1.2600000000000001E-3</v>
      </c>
      <c r="AY315" s="78">
        <f t="shared" si="193"/>
        <v>1.3600000000000001E-3</v>
      </c>
      <c r="AZ315" s="78">
        <f t="shared" si="194"/>
        <v>1.3500000000000001E-3</v>
      </c>
      <c r="BA315" s="78">
        <f t="shared" si="195"/>
        <v>1.32E-3</v>
      </c>
      <c r="BB315" s="78">
        <f t="shared" si="196"/>
        <v>1.3600000000000001E-3</v>
      </c>
      <c r="BC315" s="78">
        <f t="shared" si="197"/>
        <v>1.5499999999999999E-3</v>
      </c>
      <c r="BD315" s="78">
        <f t="shared" si="198"/>
        <v>1.5100000000000001E-3</v>
      </c>
      <c r="BE315" s="78">
        <f t="shared" si="199"/>
        <v>1.5100000000000001E-3</v>
      </c>
      <c r="BF315" s="78">
        <f t="shared" si="200"/>
        <v>1.5100000000000001E-3</v>
      </c>
      <c r="BG315" s="78">
        <f t="shared" si="201"/>
        <v>1.5100000000000001E-3</v>
      </c>
      <c r="BH315" s="78">
        <f t="shared" si="202"/>
        <v>1.5100000000000001E-3</v>
      </c>
      <c r="BI315" s="78">
        <f t="shared" si="203"/>
        <v>1.5100000000000001E-3</v>
      </c>
      <c r="BJ315" s="78">
        <f t="shared" si="204"/>
        <v>1.5100000000000001E-3</v>
      </c>
      <c r="BK315" s="78">
        <f t="shared" si="205"/>
        <v>1.5100000000000001E-3</v>
      </c>
      <c r="BL315" s="78">
        <f t="shared" si="206"/>
        <v>1.5100000000000001E-3</v>
      </c>
      <c r="BM315" s="78">
        <f t="shared" si="207"/>
        <v>1.5100000000000001E-3</v>
      </c>
      <c r="BN315" s="78">
        <f t="shared" si="208"/>
        <v>1.5100000000000001E-3</v>
      </c>
      <c r="BO315" s="78">
        <f t="shared" si="209"/>
        <v>1.5100000000000001E-3</v>
      </c>
      <c r="BP315" s="78">
        <f t="shared" si="210"/>
        <v>1.5100000000000001E-3</v>
      </c>
      <c r="BQ315" s="78">
        <f t="shared" si="211"/>
        <v>1.5100000000000001E-3</v>
      </c>
      <c r="BR315" s="78">
        <f t="shared" si="212"/>
        <v>1.5100000000000001E-3</v>
      </c>
      <c r="BS315" s="77"/>
      <c r="BT315" s="77"/>
    </row>
    <row r="316" spans="1:72" ht="14.1" customHeight="1" x14ac:dyDescent="0.2">
      <c r="A316" s="55" t="str">
        <f t="shared" si="183"/>
        <v>GDS-5 (Seasonal)_PGA Cash Working Capital</v>
      </c>
      <c r="B316" s="80" t="s">
        <v>675</v>
      </c>
      <c r="C316" s="83" t="s">
        <v>822</v>
      </c>
      <c r="D316" s="150"/>
      <c r="E316" s="81"/>
      <c r="F316" s="84" t="s">
        <v>640</v>
      </c>
      <c r="G316" s="84">
        <v>0</v>
      </c>
      <c r="H316" s="84">
        <v>6</v>
      </c>
      <c r="I316" s="74" t="s">
        <v>699</v>
      </c>
      <c r="J316" s="75" t="s">
        <v>634</v>
      </c>
      <c r="K316" s="74"/>
      <c r="L316" s="82">
        <v>7.2999999999999996E-4</v>
      </c>
      <c r="M316" s="138">
        <v>1.3600000000000001E-3</v>
      </c>
      <c r="N316" s="138">
        <v>1.2099999999999999E-3</v>
      </c>
      <c r="O316" s="138">
        <v>1.4599999999999999E-3</v>
      </c>
      <c r="P316" s="138">
        <v>1.2600000000000001E-3</v>
      </c>
      <c r="Q316" s="138">
        <v>1.3600000000000001E-3</v>
      </c>
      <c r="R316" s="138">
        <v>1.3500000000000001E-3</v>
      </c>
      <c r="S316" s="138">
        <v>1.32E-3</v>
      </c>
      <c r="T316" s="138">
        <v>1.3600000000000001E-3</v>
      </c>
      <c r="U316" s="138">
        <v>1.5499999999999999E-3</v>
      </c>
      <c r="V316" s="138">
        <v>1.5100000000000001E-3</v>
      </c>
      <c r="W316" s="138">
        <v>1.5100000000000001E-3</v>
      </c>
      <c r="X316" s="138">
        <v>1.5100000000000001E-3</v>
      </c>
      <c r="Y316" s="138">
        <f t="shared" si="213"/>
        <v>1.5100000000000001E-3</v>
      </c>
      <c r="Z316" s="138">
        <f t="shared" si="214"/>
        <v>1.5100000000000001E-3</v>
      </c>
      <c r="AA316" s="138">
        <f t="shared" si="215"/>
        <v>1.5100000000000001E-3</v>
      </c>
      <c r="AB316" s="138">
        <f t="shared" si="216"/>
        <v>1.5100000000000001E-3</v>
      </c>
      <c r="AC316" s="138">
        <f t="shared" si="217"/>
        <v>1.5100000000000001E-3</v>
      </c>
      <c r="AD316" s="138">
        <f t="shared" si="218"/>
        <v>1.5100000000000001E-3</v>
      </c>
      <c r="AE316" s="138">
        <f t="shared" si="219"/>
        <v>1.5100000000000001E-3</v>
      </c>
      <c r="AF316" s="138">
        <f t="shared" si="220"/>
        <v>1.5100000000000001E-3</v>
      </c>
      <c r="AG316" s="138">
        <f t="shared" si="221"/>
        <v>1.5100000000000001E-3</v>
      </c>
      <c r="AH316" s="138">
        <f t="shared" si="222"/>
        <v>1.5100000000000001E-3</v>
      </c>
      <c r="AI316" s="138">
        <f t="shared" si="223"/>
        <v>1.5100000000000001E-3</v>
      </c>
      <c r="AJ316" s="138">
        <f t="shared" si="224"/>
        <v>1.5100000000000001E-3</v>
      </c>
      <c r="AK316" s="138">
        <f t="shared" si="225"/>
        <v>1.5100000000000001E-3</v>
      </c>
      <c r="AL316" s="138">
        <f t="shared" si="226"/>
        <v>1.5100000000000003E-3</v>
      </c>
      <c r="AM316" s="138">
        <f t="shared" si="227"/>
        <v>1.4595833333333336E-3</v>
      </c>
      <c r="AO316" s="77" t="str">
        <f t="shared" si="184"/>
        <v>GDS-5 (Seasonal)</v>
      </c>
      <c r="AP316" s="78" t="s">
        <v>676</v>
      </c>
      <c r="AQ316" s="77" t="str">
        <f t="shared" si="185"/>
        <v>PGA Cash Working Capital</v>
      </c>
      <c r="AR316" s="78" t="str">
        <f t="shared" si="186"/>
        <v>Prorated</v>
      </c>
      <c r="AS316" s="79">
        <f t="shared" si="187"/>
        <v>6</v>
      </c>
      <c r="AT316" s="78">
        <f t="shared" si="188"/>
        <v>0</v>
      </c>
      <c r="AU316" s="78">
        <f t="shared" si="189"/>
        <v>1.3600000000000001E-3</v>
      </c>
      <c r="AV316" s="78">
        <f t="shared" si="190"/>
        <v>1.2099999999999999E-3</v>
      </c>
      <c r="AW316" s="78">
        <f t="shared" si="191"/>
        <v>1.4599999999999999E-3</v>
      </c>
      <c r="AX316" s="78">
        <f t="shared" si="192"/>
        <v>1.2600000000000001E-3</v>
      </c>
      <c r="AY316" s="78">
        <f t="shared" si="193"/>
        <v>1.3600000000000001E-3</v>
      </c>
      <c r="AZ316" s="78">
        <f t="shared" si="194"/>
        <v>1.3500000000000001E-3</v>
      </c>
      <c r="BA316" s="78">
        <f t="shared" si="195"/>
        <v>1.32E-3</v>
      </c>
      <c r="BB316" s="78">
        <f t="shared" si="196"/>
        <v>1.3600000000000001E-3</v>
      </c>
      <c r="BC316" s="78">
        <f t="shared" si="197"/>
        <v>1.5499999999999999E-3</v>
      </c>
      <c r="BD316" s="78">
        <f t="shared" si="198"/>
        <v>1.5100000000000001E-3</v>
      </c>
      <c r="BE316" s="78">
        <f t="shared" si="199"/>
        <v>1.5100000000000001E-3</v>
      </c>
      <c r="BF316" s="78">
        <f t="shared" si="200"/>
        <v>1.5100000000000001E-3</v>
      </c>
      <c r="BG316" s="78">
        <f t="shared" si="201"/>
        <v>1.5100000000000001E-3</v>
      </c>
      <c r="BH316" s="78">
        <f t="shared" si="202"/>
        <v>1.5100000000000001E-3</v>
      </c>
      <c r="BI316" s="78">
        <f t="shared" si="203"/>
        <v>1.5100000000000001E-3</v>
      </c>
      <c r="BJ316" s="78">
        <f t="shared" si="204"/>
        <v>1.5100000000000001E-3</v>
      </c>
      <c r="BK316" s="78">
        <f t="shared" si="205"/>
        <v>1.5100000000000001E-3</v>
      </c>
      <c r="BL316" s="78">
        <f t="shared" si="206"/>
        <v>1.5100000000000001E-3</v>
      </c>
      <c r="BM316" s="78">
        <f t="shared" si="207"/>
        <v>1.5100000000000001E-3</v>
      </c>
      <c r="BN316" s="78">
        <f t="shared" si="208"/>
        <v>1.5100000000000001E-3</v>
      </c>
      <c r="BO316" s="78">
        <f t="shared" si="209"/>
        <v>1.5100000000000001E-3</v>
      </c>
      <c r="BP316" s="78">
        <f t="shared" si="210"/>
        <v>1.5100000000000001E-3</v>
      </c>
      <c r="BQ316" s="78">
        <f t="shared" si="211"/>
        <v>1.5100000000000001E-3</v>
      </c>
      <c r="BR316" s="78">
        <f t="shared" si="212"/>
        <v>1.5100000000000001E-3</v>
      </c>
      <c r="BS316" s="77"/>
      <c r="BT316" s="77"/>
    </row>
    <row r="317" spans="1:72" ht="14.1" customHeight="1" x14ac:dyDescent="0.2">
      <c r="A317" s="55" t="str">
        <f t="shared" si="183"/>
        <v>GDS-6 (Inadequate Capacity)_PGA Cash Working Capital</v>
      </c>
      <c r="B317" s="80" t="s">
        <v>700</v>
      </c>
      <c r="C317" s="83" t="s">
        <v>822</v>
      </c>
      <c r="D317" s="150"/>
      <c r="E317" s="81"/>
      <c r="F317" s="84" t="s">
        <v>640</v>
      </c>
      <c r="G317" s="84">
        <v>0</v>
      </c>
      <c r="H317" s="84">
        <v>6</v>
      </c>
      <c r="I317" s="74" t="s">
        <v>699</v>
      </c>
      <c r="J317" s="75" t="s">
        <v>634</v>
      </c>
      <c r="K317" s="74"/>
      <c r="L317" s="82">
        <v>7.2999999999999996E-4</v>
      </c>
      <c r="M317" s="138">
        <v>1.3600000000000001E-3</v>
      </c>
      <c r="N317" s="138">
        <v>1.2099999999999999E-3</v>
      </c>
      <c r="O317" s="138">
        <v>1.4599999999999999E-3</v>
      </c>
      <c r="P317" s="138">
        <v>1.2600000000000001E-3</v>
      </c>
      <c r="Q317" s="138">
        <v>1.3600000000000001E-3</v>
      </c>
      <c r="R317" s="138">
        <v>1.3500000000000001E-3</v>
      </c>
      <c r="S317" s="138">
        <v>1.32E-3</v>
      </c>
      <c r="T317" s="138">
        <v>1.3600000000000001E-3</v>
      </c>
      <c r="U317" s="138">
        <v>1.5499999999999999E-3</v>
      </c>
      <c r="V317" s="138">
        <v>1.5100000000000001E-3</v>
      </c>
      <c r="W317" s="138">
        <v>1.5100000000000001E-3</v>
      </c>
      <c r="X317" s="138">
        <v>1.5100000000000001E-3</v>
      </c>
      <c r="Y317" s="138">
        <f t="shared" si="213"/>
        <v>1.5100000000000001E-3</v>
      </c>
      <c r="Z317" s="138">
        <f t="shared" si="214"/>
        <v>1.5100000000000001E-3</v>
      </c>
      <c r="AA317" s="138">
        <f t="shared" si="215"/>
        <v>1.5100000000000001E-3</v>
      </c>
      <c r="AB317" s="138">
        <f t="shared" si="216"/>
        <v>1.5100000000000001E-3</v>
      </c>
      <c r="AC317" s="138">
        <f t="shared" si="217"/>
        <v>1.5100000000000001E-3</v>
      </c>
      <c r="AD317" s="138">
        <f t="shared" si="218"/>
        <v>1.5100000000000001E-3</v>
      </c>
      <c r="AE317" s="138">
        <f t="shared" si="219"/>
        <v>1.5100000000000001E-3</v>
      </c>
      <c r="AF317" s="138">
        <f t="shared" si="220"/>
        <v>1.5100000000000001E-3</v>
      </c>
      <c r="AG317" s="138">
        <f t="shared" si="221"/>
        <v>1.5100000000000001E-3</v>
      </c>
      <c r="AH317" s="138">
        <f t="shared" si="222"/>
        <v>1.5100000000000001E-3</v>
      </c>
      <c r="AI317" s="138">
        <f t="shared" si="223"/>
        <v>1.5100000000000001E-3</v>
      </c>
      <c r="AJ317" s="138">
        <f t="shared" si="224"/>
        <v>1.5100000000000001E-3</v>
      </c>
      <c r="AK317" s="138">
        <f t="shared" si="225"/>
        <v>1.5100000000000001E-3</v>
      </c>
      <c r="AL317" s="138">
        <f t="shared" si="226"/>
        <v>1.5100000000000003E-3</v>
      </c>
      <c r="AM317" s="138">
        <f t="shared" si="227"/>
        <v>1.4595833333333336E-3</v>
      </c>
      <c r="AO317" s="77" t="str">
        <f t="shared" si="184"/>
        <v>GDS-6 (Inadequate Capacity)</v>
      </c>
      <c r="AP317" s="78" t="s">
        <v>701</v>
      </c>
      <c r="AQ317" s="77" t="str">
        <f t="shared" si="185"/>
        <v>PGA Cash Working Capital</v>
      </c>
      <c r="AR317" s="78" t="str">
        <f t="shared" si="186"/>
        <v>Prorated</v>
      </c>
      <c r="AS317" s="79">
        <f t="shared" si="187"/>
        <v>6</v>
      </c>
      <c r="AT317" s="78">
        <f t="shared" si="188"/>
        <v>0</v>
      </c>
      <c r="AU317" s="78">
        <f t="shared" si="189"/>
        <v>1.3600000000000001E-3</v>
      </c>
      <c r="AV317" s="78">
        <f t="shared" si="190"/>
        <v>1.2099999999999999E-3</v>
      </c>
      <c r="AW317" s="78">
        <f t="shared" si="191"/>
        <v>1.4599999999999999E-3</v>
      </c>
      <c r="AX317" s="78">
        <f t="shared" si="192"/>
        <v>1.2600000000000001E-3</v>
      </c>
      <c r="AY317" s="78">
        <f t="shared" si="193"/>
        <v>1.3600000000000001E-3</v>
      </c>
      <c r="AZ317" s="78">
        <f t="shared" si="194"/>
        <v>1.3500000000000001E-3</v>
      </c>
      <c r="BA317" s="78">
        <f t="shared" si="195"/>
        <v>1.32E-3</v>
      </c>
      <c r="BB317" s="78">
        <f t="shared" si="196"/>
        <v>1.3600000000000001E-3</v>
      </c>
      <c r="BC317" s="78">
        <f t="shared" si="197"/>
        <v>1.5499999999999999E-3</v>
      </c>
      <c r="BD317" s="78">
        <f t="shared" si="198"/>
        <v>1.5100000000000001E-3</v>
      </c>
      <c r="BE317" s="78">
        <f t="shared" si="199"/>
        <v>1.5100000000000001E-3</v>
      </c>
      <c r="BF317" s="78">
        <f t="shared" si="200"/>
        <v>1.5100000000000001E-3</v>
      </c>
      <c r="BG317" s="78">
        <f t="shared" si="201"/>
        <v>1.5100000000000001E-3</v>
      </c>
      <c r="BH317" s="78">
        <f t="shared" si="202"/>
        <v>1.5100000000000001E-3</v>
      </c>
      <c r="BI317" s="78">
        <f t="shared" si="203"/>
        <v>1.5100000000000001E-3</v>
      </c>
      <c r="BJ317" s="78">
        <f t="shared" si="204"/>
        <v>1.5100000000000001E-3</v>
      </c>
      <c r="BK317" s="78">
        <f t="shared" si="205"/>
        <v>1.5100000000000001E-3</v>
      </c>
      <c r="BL317" s="78">
        <f t="shared" si="206"/>
        <v>1.5100000000000001E-3</v>
      </c>
      <c r="BM317" s="78">
        <f t="shared" si="207"/>
        <v>1.5100000000000001E-3</v>
      </c>
      <c r="BN317" s="78">
        <f t="shared" si="208"/>
        <v>1.5100000000000001E-3</v>
      </c>
      <c r="BO317" s="78">
        <f t="shared" si="209"/>
        <v>1.5100000000000001E-3</v>
      </c>
      <c r="BP317" s="78">
        <f t="shared" si="210"/>
        <v>1.5100000000000001E-3</v>
      </c>
      <c r="BQ317" s="78">
        <f t="shared" si="211"/>
        <v>1.5100000000000001E-3</v>
      </c>
      <c r="BR317" s="78">
        <f t="shared" si="212"/>
        <v>1.5100000000000001E-3</v>
      </c>
      <c r="BS317" s="77"/>
      <c r="BT317" s="77"/>
    </row>
    <row r="318" spans="1:72" ht="14.1" customHeight="1" x14ac:dyDescent="0.2">
      <c r="A318" s="55" t="str">
        <f t="shared" si="183"/>
        <v>DS-5 (Lighting Service)_Pole Charge -Zone III</v>
      </c>
      <c r="B318" s="80" t="s">
        <v>647</v>
      </c>
      <c r="C318" s="83" t="s">
        <v>823</v>
      </c>
      <c r="D318" s="150"/>
      <c r="E318" s="81"/>
      <c r="F318" s="73" t="s">
        <v>649</v>
      </c>
      <c r="G318" s="73">
        <v>0</v>
      </c>
      <c r="H318" s="73">
        <v>6</v>
      </c>
      <c r="I318" s="74" t="s">
        <v>641</v>
      </c>
      <c r="J318" s="75" t="s">
        <v>634</v>
      </c>
      <c r="K318" s="74"/>
      <c r="L318" s="82">
        <v>7</v>
      </c>
      <c r="M318" s="138">
        <v>7</v>
      </c>
      <c r="N318" s="138">
        <v>7</v>
      </c>
      <c r="O318" s="138">
        <v>7</v>
      </c>
      <c r="P318" s="138">
        <v>7</v>
      </c>
      <c r="Q318" s="138">
        <v>7</v>
      </c>
      <c r="R318" s="138">
        <v>7</v>
      </c>
      <c r="S318" s="138">
        <v>7</v>
      </c>
      <c r="T318" s="138">
        <v>7</v>
      </c>
      <c r="U318" s="138">
        <v>7</v>
      </c>
      <c r="V318" s="138">
        <v>7</v>
      </c>
      <c r="W318" s="138">
        <v>7</v>
      </c>
      <c r="X318" s="138">
        <v>7</v>
      </c>
      <c r="Y318" s="138">
        <f t="shared" si="213"/>
        <v>7</v>
      </c>
      <c r="Z318" s="138">
        <f t="shared" si="214"/>
        <v>7</v>
      </c>
      <c r="AA318" s="138">
        <f t="shared" si="215"/>
        <v>7</v>
      </c>
      <c r="AB318" s="138">
        <f t="shared" si="216"/>
        <v>7</v>
      </c>
      <c r="AC318" s="138">
        <f t="shared" si="217"/>
        <v>7</v>
      </c>
      <c r="AD318" s="138">
        <f t="shared" si="218"/>
        <v>7</v>
      </c>
      <c r="AE318" s="138">
        <f t="shared" si="219"/>
        <v>7</v>
      </c>
      <c r="AF318" s="138">
        <f t="shared" si="220"/>
        <v>7</v>
      </c>
      <c r="AG318" s="138">
        <f t="shared" si="221"/>
        <v>7</v>
      </c>
      <c r="AH318" s="138">
        <f t="shared" si="222"/>
        <v>7</v>
      </c>
      <c r="AI318" s="138">
        <f t="shared" si="223"/>
        <v>7</v>
      </c>
      <c r="AJ318" s="138">
        <f t="shared" si="224"/>
        <v>7</v>
      </c>
      <c r="AK318" s="138">
        <f t="shared" si="225"/>
        <v>7</v>
      </c>
      <c r="AL318" s="138">
        <f t="shared" si="226"/>
        <v>7</v>
      </c>
      <c r="AM318" s="138">
        <f t="shared" si="227"/>
        <v>7</v>
      </c>
      <c r="AO318" s="77" t="str">
        <f t="shared" si="184"/>
        <v>DS-5 (Lighting Service)</v>
      </c>
      <c r="AP318" s="78" t="s">
        <v>650</v>
      </c>
      <c r="AQ318" s="77" t="str">
        <f t="shared" si="185"/>
        <v>Pole Charge -Zone III</v>
      </c>
      <c r="AR318" s="78" t="str">
        <f t="shared" si="186"/>
        <v>Billing Cycle</v>
      </c>
      <c r="AS318" s="79">
        <f t="shared" si="187"/>
        <v>6</v>
      </c>
      <c r="AT318" s="78">
        <f t="shared" si="188"/>
        <v>7</v>
      </c>
      <c r="AU318" s="78">
        <f t="shared" si="189"/>
        <v>7</v>
      </c>
      <c r="AV318" s="78">
        <f t="shared" si="190"/>
        <v>7</v>
      </c>
      <c r="AW318" s="78">
        <f t="shared" si="191"/>
        <v>7</v>
      </c>
      <c r="AX318" s="78">
        <f t="shared" si="192"/>
        <v>7</v>
      </c>
      <c r="AY318" s="78">
        <f t="shared" si="193"/>
        <v>7</v>
      </c>
      <c r="AZ318" s="78">
        <f t="shared" si="194"/>
        <v>7</v>
      </c>
      <c r="BA318" s="78">
        <f t="shared" si="195"/>
        <v>7</v>
      </c>
      <c r="BB318" s="78">
        <f t="shared" si="196"/>
        <v>7</v>
      </c>
      <c r="BC318" s="78">
        <f t="shared" si="197"/>
        <v>7</v>
      </c>
      <c r="BD318" s="78">
        <f t="shared" si="198"/>
        <v>7</v>
      </c>
      <c r="BE318" s="78">
        <f t="shared" si="199"/>
        <v>7</v>
      </c>
      <c r="BF318" s="78">
        <f t="shared" si="200"/>
        <v>7</v>
      </c>
      <c r="BG318" s="78">
        <f t="shared" si="201"/>
        <v>7</v>
      </c>
      <c r="BH318" s="78">
        <f t="shared" si="202"/>
        <v>7</v>
      </c>
      <c r="BI318" s="78">
        <f t="shared" si="203"/>
        <v>7</v>
      </c>
      <c r="BJ318" s="78">
        <f t="shared" si="204"/>
        <v>7</v>
      </c>
      <c r="BK318" s="78">
        <f t="shared" si="205"/>
        <v>7</v>
      </c>
      <c r="BL318" s="78">
        <f t="shared" si="206"/>
        <v>7</v>
      </c>
      <c r="BM318" s="78">
        <f t="shared" si="207"/>
        <v>7</v>
      </c>
      <c r="BN318" s="78">
        <f t="shared" si="208"/>
        <v>7</v>
      </c>
      <c r="BO318" s="78">
        <f t="shared" si="209"/>
        <v>7</v>
      </c>
      <c r="BP318" s="78">
        <f t="shared" si="210"/>
        <v>7</v>
      </c>
      <c r="BQ318" s="78">
        <f t="shared" si="211"/>
        <v>7</v>
      </c>
      <c r="BR318" s="78">
        <f t="shared" si="212"/>
        <v>7</v>
      </c>
      <c r="BS318" s="77"/>
      <c r="BT318" s="77"/>
    </row>
    <row r="319" spans="1:72" ht="14.1" customHeight="1" x14ac:dyDescent="0.2">
      <c r="A319" s="55" t="str">
        <f t="shared" si="183"/>
        <v>DS-1 (Residential)_Power Smart Pricing Participation Charge</v>
      </c>
      <c r="B319" s="80" t="s">
        <v>90</v>
      </c>
      <c r="C319" s="169" t="s">
        <v>824</v>
      </c>
      <c r="D319" s="150" t="s">
        <v>825</v>
      </c>
      <c r="E319" s="81"/>
      <c r="F319" s="73" t="s">
        <v>649</v>
      </c>
      <c r="G319" s="73">
        <v>0</v>
      </c>
      <c r="H319" s="73">
        <v>6</v>
      </c>
      <c r="I319" s="74" t="s">
        <v>641</v>
      </c>
      <c r="J319" s="75" t="s">
        <v>634</v>
      </c>
      <c r="K319" s="74"/>
      <c r="L319" s="82">
        <v>2</v>
      </c>
      <c r="M319" s="138">
        <v>2</v>
      </c>
      <c r="N319" s="138">
        <v>2</v>
      </c>
      <c r="O319" s="138">
        <v>2</v>
      </c>
      <c r="P319" s="138">
        <v>2</v>
      </c>
      <c r="Q319" s="138">
        <v>2</v>
      </c>
      <c r="R319" s="138">
        <v>2</v>
      </c>
      <c r="S319" s="138">
        <v>2</v>
      </c>
      <c r="T319" s="138">
        <v>2</v>
      </c>
      <c r="U319" s="138">
        <v>2</v>
      </c>
      <c r="V319" s="138">
        <v>2</v>
      </c>
      <c r="W319" s="138">
        <v>2</v>
      </c>
      <c r="X319" s="138">
        <v>2</v>
      </c>
      <c r="Y319" s="138">
        <f t="shared" si="213"/>
        <v>2</v>
      </c>
      <c r="Z319" s="138">
        <f t="shared" si="214"/>
        <v>2</v>
      </c>
      <c r="AA319" s="138">
        <f t="shared" si="215"/>
        <v>2</v>
      </c>
      <c r="AB319" s="138">
        <f t="shared" si="216"/>
        <v>2</v>
      </c>
      <c r="AC319" s="138">
        <f t="shared" si="217"/>
        <v>2</v>
      </c>
      <c r="AD319" s="138">
        <f t="shared" si="218"/>
        <v>2</v>
      </c>
      <c r="AE319" s="138">
        <f t="shared" si="219"/>
        <v>2</v>
      </c>
      <c r="AF319" s="138">
        <f t="shared" si="220"/>
        <v>2</v>
      </c>
      <c r="AG319" s="138">
        <f t="shared" si="221"/>
        <v>2</v>
      </c>
      <c r="AH319" s="138">
        <f t="shared" si="222"/>
        <v>2</v>
      </c>
      <c r="AI319" s="138">
        <f t="shared" si="223"/>
        <v>2</v>
      </c>
      <c r="AJ319" s="138">
        <f t="shared" si="224"/>
        <v>2</v>
      </c>
      <c r="AK319" s="138">
        <f t="shared" si="225"/>
        <v>2</v>
      </c>
      <c r="AL319" s="138">
        <f t="shared" si="226"/>
        <v>2</v>
      </c>
      <c r="AM319" s="138">
        <f t="shared" si="227"/>
        <v>2</v>
      </c>
      <c r="AO319" s="77" t="str">
        <f t="shared" si="184"/>
        <v>DS-1 (Residential)</v>
      </c>
      <c r="AP319" s="78" t="s">
        <v>662</v>
      </c>
      <c r="AQ319" s="77" t="str">
        <f t="shared" si="185"/>
        <v>Power Smart Pricing Participation Charge</v>
      </c>
      <c r="AR319" s="78" t="str">
        <f t="shared" si="186"/>
        <v>Billing Cycle</v>
      </c>
      <c r="AS319" s="79">
        <f t="shared" si="187"/>
        <v>6</v>
      </c>
      <c r="AT319" s="78">
        <f t="shared" si="188"/>
        <v>2</v>
      </c>
      <c r="AU319" s="78">
        <f t="shared" si="189"/>
        <v>2</v>
      </c>
      <c r="AV319" s="78">
        <f t="shared" si="190"/>
        <v>2</v>
      </c>
      <c r="AW319" s="78">
        <f t="shared" si="191"/>
        <v>2</v>
      </c>
      <c r="AX319" s="78">
        <f t="shared" si="192"/>
        <v>2</v>
      </c>
      <c r="AY319" s="78">
        <f t="shared" si="193"/>
        <v>2</v>
      </c>
      <c r="AZ319" s="78">
        <f t="shared" si="194"/>
        <v>2</v>
      </c>
      <c r="BA319" s="78">
        <f t="shared" si="195"/>
        <v>2</v>
      </c>
      <c r="BB319" s="78">
        <f t="shared" si="196"/>
        <v>2</v>
      </c>
      <c r="BC319" s="78">
        <f t="shared" si="197"/>
        <v>2</v>
      </c>
      <c r="BD319" s="78">
        <f t="shared" si="198"/>
        <v>2</v>
      </c>
      <c r="BE319" s="78">
        <f t="shared" si="199"/>
        <v>2</v>
      </c>
      <c r="BF319" s="78">
        <f t="shared" si="200"/>
        <v>2</v>
      </c>
      <c r="BG319" s="78">
        <f t="shared" si="201"/>
        <v>2</v>
      </c>
      <c r="BH319" s="78">
        <f t="shared" si="202"/>
        <v>2</v>
      </c>
      <c r="BI319" s="78">
        <f t="shared" si="203"/>
        <v>2</v>
      </c>
      <c r="BJ319" s="78">
        <f t="shared" si="204"/>
        <v>2</v>
      </c>
      <c r="BK319" s="78">
        <f t="shared" si="205"/>
        <v>2</v>
      </c>
      <c r="BL319" s="78">
        <f t="shared" si="206"/>
        <v>2</v>
      </c>
      <c r="BM319" s="78">
        <f t="shared" si="207"/>
        <v>2</v>
      </c>
      <c r="BN319" s="78">
        <f t="shared" si="208"/>
        <v>2</v>
      </c>
      <c r="BO319" s="78">
        <f t="shared" si="209"/>
        <v>2</v>
      </c>
      <c r="BP319" s="78">
        <f t="shared" si="210"/>
        <v>2</v>
      </c>
      <c r="BQ319" s="78">
        <f t="shared" si="211"/>
        <v>2</v>
      </c>
      <c r="BR319" s="78">
        <f t="shared" si="212"/>
        <v>2</v>
      </c>
      <c r="BS319" s="77"/>
      <c r="BT319" s="77"/>
    </row>
    <row r="320" spans="1:72" ht="14.1" customHeight="1" x14ac:dyDescent="0.2">
      <c r="A320" s="55" t="str">
        <f t="shared" si="183"/>
        <v>BGS-1 (Residential)_Purchased Electricity Adjustment</v>
      </c>
      <c r="B320" s="80" t="s">
        <v>677</v>
      </c>
      <c r="C320" s="71" t="s">
        <v>826</v>
      </c>
      <c r="D320" s="150" t="s">
        <v>827</v>
      </c>
      <c r="E320" s="86"/>
      <c r="F320" s="73" t="s">
        <v>640</v>
      </c>
      <c r="G320" s="73">
        <v>0</v>
      </c>
      <c r="H320" s="73">
        <v>6</v>
      </c>
      <c r="I320" s="74" t="s">
        <v>641</v>
      </c>
      <c r="J320" s="75" t="s">
        <v>634</v>
      </c>
      <c r="K320" s="74"/>
      <c r="L320" s="82">
        <v>-4.8199999999999996E-3</v>
      </c>
      <c r="M320" s="138">
        <v>-4.5799999999999999E-3</v>
      </c>
      <c r="N320" s="138">
        <v>-5.0299999999999997E-3</v>
      </c>
      <c r="O320" s="138">
        <v>-2.7000000000000001E-3</v>
      </c>
      <c r="P320" s="138">
        <v>-2.5400000000000002E-3</v>
      </c>
      <c r="Q320" s="138">
        <v>-2.5100000000000001E-3</v>
      </c>
      <c r="R320" s="138">
        <v>-1.7099999999999999E-3</v>
      </c>
      <c r="S320" s="138">
        <v>-1.06E-3</v>
      </c>
      <c r="T320" s="138">
        <v>-1.4400000000000001E-3</v>
      </c>
      <c r="U320" s="138">
        <v>-8.7000000000000001E-4</v>
      </c>
      <c r="V320" s="138">
        <v>-1.2999999999999999E-3</v>
      </c>
      <c r="W320" s="138">
        <v>-1.2999999999999999E-3</v>
      </c>
      <c r="X320" s="138">
        <v>-1.2999999999999999E-3</v>
      </c>
      <c r="Y320" s="138">
        <f t="shared" si="213"/>
        <v>-1.2999999999999999E-3</v>
      </c>
      <c r="Z320" s="138">
        <f t="shared" si="214"/>
        <v>-1.2999999999999999E-3</v>
      </c>
      <c r="AA320" s="138">
        <f t="shared" si="215"/>
        <v>-1.2999999999999999E-3</v>
      </c>
      <c r="AB320" s="138">
        <f t="shared" si="216"/>
        <v>-1.2999999999999999E-3</v>
      </c>
      <c r="AC320" s="138">
        <f t="shared" si="217"/>
        <v>-1.2999999999999999E-3</v>
      </c>
      <c r="AD320" s="138">
        <f t="shared" si="218"/>
        <v>-1.2999999999999999E-3</v>
      </c>
      <c r="AE320" s="138">
        <f t="shared" si="219"/>
        <v>-1.2999999999999999E-3</v>
      </c>
      <c r="AF320" s="138">
        <f t="shared" si="220"/>
        <v>-1.2999999999999999E-3</v>
      </c>
      <c r="AG320" s="138">
        <f t="shared" si="221"/>
        <v>-1.2999999999999999E-3</v>
      </c>
      <c r="AH320" s="138">
        <f t="shared" si="222"/>
        <v>-1.2999999999999999E-3</v>
      </c>
      <c r="AI320" s="138">
        <f t="shared" si="223"/>
        <v>-1.2999999999999999E-3</v>
      </c>
      <c r="AJ320" s="138">
        <f t="shared" si="224"/>
        <v>-1.2999999999999999E-3</v>
      </c>
      <c r="AK320" s="138">
        <f t="shared" si="225"/>
        <v>-1.2999999999999999E-3</v>
      </c>
      <c r="AL320" s="138">
        <f t="shared" si="226"/>
        <v>-1.2999999999999997E-3</v>
      </c>
      <c r="AM320" s="138">
        <f t="shared" si="227"/>
        <v>-1.6108333333333333E-3</v>
      </c>
      <c r="AO320" s="77" t="str">
        <f t="shared" si="184"/>
        <v>BGS-1 (Residential)</v>
      </c>
      <c r="AP320" s="78" t="s">
        <v>679</v>
      </c>
      <c r="AQ320" s="77" t="str">
        <f t="shared" si="185"/>
        <v>Purchased Electricity Adjustment</v>
      </c>
      <c r="AR320" s="78" t="str">
        <f t="shared" si="186"/>
        <v>Prorated</v>
      </c>
      <c r="AS320" s="79">
        <f t="shared" si="187"/>
        <v>6</v>
      </c>
      <c r="AT320" s="78">
        <f t="shared" si="188"/>
        <v>0</v>
      </c>
      <c r="AU320" s="78">
        <f t="shared" si="189"/>
        <v>-4.5799999999999999E-3</v>
      </c>
      <c r="AV320" s="78">
        <f t="shared" si="190"/>
        <v>-5.0299999999999997E-3</v>
      </c>
      <c r="AW320" s="78">
        <f t="shared" si="191"/>
        <v>-2.7000000000000001E-3</v>
      </c>
      <c r="AX320" s="78">
        <f t="shared" si="192"/>
        <v>-2.5400000000000002E-3</v>
      </c>
      <c r="AY320" s="78">
        <f t="shared" si="193"/>
        <v>-2.5100000000000001E-3</v>
      </c>
      <c r="AZ320" s="78">
        <f t="shared" si="194"/>
        <v>-1.7099999999999999E-3</v>
      </c>
      <c r="BA320" s="78">
        <f t="shared" si="195"/>
        <v>-1.06E-3</v>
      </c>
      <c r="BB320" s="78">
        <f t="shared" si="196"/>
        <v>-1.4400000000000001E-3</v>
      </c>
      <c r="BC320" s="78">
        <f t="shared" si="197"/>
        <v>-8.7000000000000001E-4</v>
      </c>
      <c r="BD320" s="78">
        <f t="shared" si="198"/>
        <v>-1.2999999999999999E-3</v>
      </c>
      <c r="BE320" s="78">
        <f t="shared" si="199"/>
        <v>-1.2999999999999999E-3</v>
      </c>
      <c r="BF320" s="78">
        <f t="shared" si="200"/>
        <v>-1.2999999999999999E-3</v>
      </c>
      <c r="BG320" s="78">
        <f t="shared" si="201"/>
        <v>-1.2999999999999999E-3</v>
      </c>
      <c r="BH320" s="78">
        <f t="shared" si="202"/>
        <v>-1.2999999999999999E-3</v>
      </c>
      <c r="BI320" s="78">
        <f t="shared" si="203"/>
        <v>-1.2999999999999999E-3</v>
      </c>
      <c r="BJ320" s="78">
        <f t="shared" si="204"/>
        <v>-1.2999999999999999E-3</v>
      </c>
      <c r="BK320" s="78">
        <f t="shared" si="205"/>
        <v>-1.2999999999999999E-3</v>
      </c>
      <c r="BL320" s="78">
        <f t="shared" si="206"/>
        <v>-1.2999999999999999E-3</v>
      </c>
      <c r="BM320" s="78">
        <f t="shared" si="207"/>
        <v>-1.2999999999999999E-3</v>
      </c>
      <c r="BN320" s="78">
        <f t="shared" si="208"/>
        <v>-1.2999999999999999E-3</v>
      </c>
      <c r="BO320" s="78">
        <f t="shared" si="209"/>
        <v>-1.2999999999999999E-3</v>
      </c>
      <c r="BP320" s="78">
        <f t="shared" si="210"/>
        <v>-1.2999999999999999E-3</v>
      </c>
      <c r="BQ320" s="78">
        <f t="shared" si="211"/>
        <v>-1.2999999999999999E-3</v>
      </c>
      <c r="BR320" s="78">
        <f t="shared" si="212"/>
        <v>-1.2999999999999999E-3</v>
      </c>
      <c r="BS320" s="77"/>
      <c r="BT320" s="77"/>
    </row>
    <row r="321" spans="1:72" ht="14.1" customHeight="1" x14ac:dyDescent="0.2">
      <c r="A321" s="55" t="str">
        <f t="shared" si="183"/>
        <v>RTP-1 (Residential)_Purchased Electricity Adjustment</v>
      </c>
      <c r="B321" s="80" t="s">
        <v>828</v>
      </c>
      <c r="C321" s="71" t="s">
        <v>826</v>
      </c>
      <c r="D321" s="150"/>
      <c r="E321" s="81"/>
      <c r="F321" s="73" t="s">
        <v>640</v>
      </c>
      <c r="G321" s="73">
        <v>0</v>
      </c>
      <c r="H321" s="73">
        <v>6</v>
      </c>
      <c r="I321" s="74" t="s">
        <v>641</v>
      </c>
      <c r="J321" s="75" t="s">
        <v>634</v>
      </c>
      <c r="K321" s="74"/>
      <c r="L321" s="82">
        <v>-4.8199999999999996E-3</v>
      </c>
      <c r="M321" s="138">
        <v>-4.5799999999999999E-3</v>
      </c>
      <c r="N321" s="138">
        <v>-5.0299999999999997E-3</v>
      </c>
      <c r="O321" s="138">
        <v>-2.7000000000000001E-3</v>
      </c>
      <c r="P321" s="138">
        <v>-2.5400000000000002E-3</v>
      </c>
      <c r="Q321" s="138">
        <v>-2.5100000000000001E-3</v>
      </c>
      <c r="R321" s="138">
        <v>-1.7099999999999999E-3</v>
      </c>
      <c r="S321" s="138">
        <v>-1.06E-3</v>
      </c>
      <c r="T321" s="138">
        <v>-1.4400000000000001E-3</v>
      </c>
      <c r="U321" s="138">
        <v>-8.7000000000000001E-4</v>
      </c>
      <c r="V321" s="138">
        <v>-1.2999999999999999E-3</v>
      </c>
      <c r="W321" s="138">
        <v>-1.2999999999999999E-3</v>
      </c>
      <c r="X321" s="138">
        <v>-1.2999999999999999E-3</v>
      </c>
      <c r="Y321" s="138">
        <f t="shared" si="213"/>
        <v>-1.2999999999999999E-3</v>
      </c>
      <c r="Z321" s="138">
        <f t="shared" si="214"/>
        <v>-1.2999999999999999E-3</v>
      </c>
      <c r="AA321" s="138">
        <f t="shared" si="215"/>
        <v>-1.2999999999999999E-3</v>
      </c>
      <c r="AB321" s="138">
        <f t="shared" si="216"/>
        <v>-1.2999999999999999E-3</v>
      </c>
      <c r="AC321" s="138">
        <f t="shared" si="217"/>
        <v>-1.2999999999999999E-3</v>
      </c>
      <c r="AD321" s="138">
        <f t="shared" si="218"/>
        <v>-1.2999999999999999E-3</v>
      </c>
      <c r="AE321" s="138">
        <f t="shared" si="219"/>
        <v>-1.2999999999999999E-3</v>
      </c>
      <c r="AF321" s="138">
        <f t="shared" si="220"/>
        <v>-1.2999999999999999E-3</v>
      </c>
      <c r="AG321" s="138">
        <f t="shared" si="221"/>
        <v>-1.2999999999999999E-3</v>
      </c>
      <c r="AH321" s="138">
        <f t="shared" si="222"/>
        <v>-1.2999999999999999E-3</v>
      </c>
      <c r="AI321" s="138">
        <f t="shared" si="223"/>
        <v>-1.2999999999999999E-3</v>
      </c>
      <c r="AJ321" s="138">
        <f t="shared" si="224"/>
        <v>-1.2999999999999999E-3</v>
      </c>
      <c r="AK321" s="138">
        <f t="shared" si="225"/>
        <v>-1.2999999999999999E-3</v>
      </c>
      <c r="AL321" s="138">
        <f t="shared" si="226"/>
        <v>-1.2999999999999997E-3</v>
      </c>
      <c r="AM321" s="138">
        <f t="shared" si="227"/>
        <v>-1.6108333333333333E-3</v>
      </c>
      <c r="AO321" s="77" t="str">
        <f t="shared" si="184"/>
        <v>RTP-1 (Residential)</v>
      </c>
      <c r="AP321" s="78" t="s">
        <v>829</v>
      </c>
      <c r="AQ321" s="77" t="str">
        <f t="shared" si="185"/>
        <v>Purchased Electricity Adjustment</v>
      </c>
      <c r="AR321" s="78" t="str">
        <f t="shared" si="186"/>
        <v>Prorated</v>
      </c>
      <c r="AS321" s="79">
        <f t="shared" si="187"/>
        <v>6</v>
      </c>
      <c r="AT321" s="78">
        <f t="shared" si="188"/>
        <v>0</v>
      </c>
      <c r="AU321" s="78">
        <f t="shared" si="189"/>
        <v>-4.5799999999999999E-3</v>
      </c>
      <c r="AV321" s="78">
        <f t="shared" si="190"/>
        <v>-5.0299999999999997E-3</v>
      </c>
      <c r="AW321" s="78">
        <f t="shared" si="191"/>
        <v>-2.7000000000000001E-3</v>
      </c>
      <c r="AX321" s="78">
        <f t="shared" si="192"/>
        <v>-2.5400000000000002E-3</v>
      </c>
      <c r="AY321" s="78">
        <f t="shared" si="193"/>
        <v>-2.5100000000000001E-3</v>
      </c>
      <c r="AZ321" s="78">
        <f t="shared" si="194"/>
        <v>-1.7099999999999999E-3</v>
      </c>
      <c r="BA321" s="78">
        <f t="shared" si="195"/>
        <v>-1.06E-3</v>
      </c>
      <c r="BB321" s="78">
        <f t="shared" si="196"/>
        <v>-1.4400000000000001E-3</v>
      </c>
      <c r="BC321" s="78">
        <f t="shared" si="197"/>
        <v>-8.7000000000000001E-4</v>
      </c>
      <c r="BD321" s="78">
        <f t="shared" si="198"/>
        <v>-1.2999999999999999E-3</v>
      </c>
      <c r="BE321" s="78">
        <f t="shared" si="199"/>
        <v>-1.2999999999999999E-3</v>
      </c>
      <c r="BF321" s="78">
        <f t="shared" si="200"/>
        <v>-1.2999999999999999E-3</v>
      </c>
      <c r="BG321" s="78">
        <f t="shared" si="201"/>
        <v>-1.2999999999999999E-3</v>
      </c>
      <c r="BH321" s="78">
        <f t="shared" si="202"/>
        <v>-1.2999999999999999E-3</v>
      </c>
      <c r="BI321" s="78">
        <f t="shared" si="203"/>
        <v>-1.2999999999999999E-3</v>
      </c>
      <c r="BJ321" s="78">
        <f t="shared" si="204"/>
        <v>-1.2999999999999999E-3</v>
      </c>
      <c r="BK321" s="78">
        <f t="shared" si="205"/>
        <v>-1.2999999999999999E-3</v>
      </c>
      <c r="BL321" s="78">
        <f t="shared" si="206"/>
        <v>-1.2999999999999999E-3</v>
      </c>
      <c r="BM321" s="78">
        <f t="shared" si="207"/>
        <v>-1.2999999999999999E-3</v>
      </c>
      <c r="BN321" s="78">
        <f t="shared" si="208"/>
        <v>-1.2999999999999999E-3</v>
      </c>
      <c r="BO321" s="78">
        <f t="shared" si="209"/>
        <v>-1.2999999999999999E-3</v>
      </c>
      <c r="BP321" s="78">
        <f t="shared" si="210"/>
        <v>-1.2999999999999999E-3</v>
      </c>
      <c r="BQ321" s="78">
        <f t="shared" si="211"/>
        <v>-1.2999999999999999E-3</v>
      </c>
      <c r="BR321" s="78">
        <f t="shared" si="212"/>
        <v>-1.2999999999999999E-3</v>
      </c>
      <c r="BS321" s="77"/>
      <c r="BT321" s="77"/>
    </row>
    <row r="322" spans="1:72" ht="14.1" customHeight="1" x14ac:dyDescent="0.2">
      <c r="A322" s="55" t="str">
        <f t="shared" si="183"/>
        <v>BGS-2 (Non-Residential)_Purchased Electricity Adjustment</v>
      </c>
      <c r="B322" s="80" t="s">
        <v>685</v>
      </c>
      <c r="C322" s="71" t="s">
        <v>826</v>
      </c>
      <c r="D322" s="150"/>
      <c r="E322" s="81"/>
      <c r="F322" s="73" t="s">
        <v>640</v>
      </c>
      <c r="G322" s="73">
        <v>0</v>
      </c>
      <c r="H322" s="73">
        <v>6</v>
      </c>
      <c r="I322" s="74" t="s">
        <v>641</v>
      </c>
      <c r="J322" s="75" t="s">
        <v>634</v>
      </c>
      <c r="K322" s="74"/>
      <c r="L322" s="82">
        <v>-4.8199999999999996E-3</v>
      </c>
      <c r="M322" s="138">
        <v>-4.5799999999999999E-3</v>
      </c>
      <c r="N322" s="138">
        <v>-5.0299999999999997E-3</v>
      </c>
      <c r="O322" s="138">
        <v>-2.7000000000000001E-3</v>
      </c>
      <c r="P322" s="138">
        <v>-2.5400000000000002E-3</v>
      </c>
      <c r="Q322" s="138">
        <v>-2.5100000000000001E-3</v>
      </c>
      <c r="R322" s="138">
        <v>-1.7099999999999999E-3</v>
      </c>
      <c r="S322" s="138">
        <v>-1.06E-3</v>
      </c>
      <c r="T322" s="138">
        <v>-1.4400000000000001E-3</v>
      </c>
      <c r="U322" s="138">
        <v>-8.7000000000000001E-4</v>
      </c>
      <c r="V322" s="138">
        <v>-1.2999999999999999E-3</v>
      </c>
      <c r="W322" s="138">
        <v>-1.2999999999999999E-3</v>
      </c>
      <c r="X322" s="138">
        <v>-1.2999999999999999E-3</v>
      </c>
      <c r="Y322" s="138">
        <f t="shared" si="213"/>
        <v>-1.2999999999999999E-3</v>
      </c>
      <c r="Z322" s="138">
        <f t="shared" si="214"/>
        <v>-1.2999999999999999E-3</v>
      </c>
      <c r="AA322" s="138">
        <f t="shared" si="215"/>
        <v>-1.2999999999999999E-3</v>
      </c>
      <c r="AB322" s="138">
        <f t="shared" si="216"/>
        <v>-1.2999999999999999E-3</v>
      </c>
      <c r="AC322" s="138">
        <f t="shared" si="217"/>
        <v>-1.2999999999999999E-3</v>
      </c>
      <c r="AD322" s="138">
        <f t="shared" si="218"/>
        <v>-1.2999999999999999E-3</v>
      </c>
      <c r="AE322" s="138">
        <f t="shared" si="219"/>
        <v>-1.2999999999999999E-3</v>
      </c>
      <c r="AF322" s="138">
        <f t="shared" si="220"/>
        <v>-1.2999999999999999E-3</v>
      </c>
      <c r="AG322" s="138">
        <f t="shared" si="221"/>
        <v>-1.2999999999999999E-3</v>
      </c>
      <c r="AH322" s="138">
        <f t="shared" si="222"/>
        <v>-1.2999999999999999E-3</v>
      </c>
      <c r="AI322" s="138">
        <f t="shared" si="223"/>
        <v>-1.2999999999999999E-3</v>
      </c>
      <c r="AJ322" s="138">
        <f t="shared" si="224"/>
        <v>-1.2999999999999999E-3</v>
      </c>
      <c r="AK322" s="138">
        <f t="shared" si="225"/>
        <v>-1.2999999999999999E-3</v>
      </c>
      <c r="AL322" s="138">
        <f t="shared" si="226"/>
        <v>-1.2999999999999997E-3</v>
      </c>
      <c r="AM322" s="138">
        <f t="shared" si="227"/>
        <v>-1.6108333333333333E-3</v>
      </c>
      <c r="AO322" s="77" t="str">
        <f t="shared" si="184"/>
        <v>BGS-2 (Non-Residential)</v>
      </c>
      <c r="AP322" s="78" t="s">
        <v>687</v>
      </c>
      <c r="AQ322" s="77" t="str">
        <f t="shared" si="185"/>
        <v>Purchased Electricity Adjustment</v>
      </c>
      <c r="AR322" s="78" t="str">
        <f t="shared" si="186"/>
        <v>Prorated</v>
      </c>
      <c r="AS322" s="79">
        <f t="shared" si="187"/>
        <v>6</v>
      </c>
      <c r="AT322" s="78">
        <f t="shared" si="188"/>
        <v>0</v>
      </c>
      <c r="AU322" s="78">
        <f t="shared" si="189"/>
        <v>-4.5799999999999999E-3</v>
      </c>
      <c r="AV322" s="78">
        <f t="shared" si="190"/>
        <v>-5.0299999999999997E-3</v>
      </c>
      <c r="AW322" s="78">
        <f t="shared" si="191"/>
        <v>-2.7000000000000001E-3</v>
      </c>
      <c r="AX322" s="78">
        <f t="shared" si="192"/>
        <v>-2.5400000000000002E-3</v>
      </c>
      <c r="AY322" s="78">
        <f t="shared" si="193"/>
        <v>-2.5100000000000001E-3</v>
      </c>
      <c r="AZ322" s="78">
        <f t="shared" si="194"/>
        <v>-1.7099999999999999E-3</v>
      </c>
      <c r="BA322" s="78">
        <f t="shared" si="195"/>
        <v>-1.06E-3</v>
      </c>
      <c r="BB322" s="78">
        <f t="shared" si="196"/>
        <v>-1.4400000000000001E-3</v>
      </c>
      <c r="BC322" s="78">
        <f t="shared" si="197"/>
        <v>-8.7000000000000001E-4</v>
      </c>
      <c r="BD322" s="78">
        <f t="shared" si="198"/>
        <v>-1.2999999999999999E-3</v>
      </c>
      <c r="BE322" s="78">
        <f t="shared" si="199"/>
        <v>-1.2999999999999999E-3</v>
      </c>
      <c r="BF322" s="78">
        <f t="shared" si="200"/>
        <v>-1.2999999999999999E-3</v>
      </c>
      <c r="BG322" s="78">
        <f t="shared" si="201"/>
        <v>-1.2999999999999999E-3</v>
      </c>
      <c r="BH322" s="78">
        <f t="shared" si="202"/>
        <v>-1.2999999999999999E-3</v>
      </c>
      <c r="BI322" s="78">
        <f t="shared" si="203"/>
        <v>-1.2999999999999999E-3</v>
      </c>
      <c r="BJ322" s="78">
        <f t="shared" si="204"/>
        <v>-1.2999999999999999E-3</v>
      </c>
      <c r="BK322" s="78">
        <f t="shared" si="205"/>
        <v>-1.2999999999999999E-3</v>
      </c>
      <c r="BL322" s="78">
        <f t="shared" si="206"/>
        <v>-1.2999999999999999E-3</v>
      </c>
      <c r="BM322" s="78">
        <f t="shared" si="207"/>
        <v>-1.2999999999999999E-3</v>
      </c>
      <c r="BN322" s="78">
        <f t="shared" si="208"/>
        <v>-1.2999999999999999E-3</v>
      </c>
      <c r="BO322" s="78">
        <f t="shared" si="209"/>
        <v>-1.2999999999999999E-3</v>
      </c>
      <c r="BP322" s="78">
        <f t="shared" si="210"/>
        <v>-1.2999999999999999E-3</v>
      </c>
      <c r="BQ322" s="78">
        <f t="shared" si="211"/>
        <v>-1.2999999999999999E-3</v>
      </c>
      <c r="BR322" s="78">
        <f t="shared" si="212"/>
        <v>-1.2999999999999999E-3</v>
      </c>
      <c r="BS322" s="77"/>
      <c r="BT322" s="77"/>
    </row>
    <row r="323" spans="1:72" ht="14.1" customHeight="1" x14ac:dyDescent="0.2">
      <c r="A323" s="55" t="str">
        <f t="shared" si="183"/>
        <v>RTP-2 (Non-Residential)_Purchased Electricity Adjustment</v>
      </c>
      <c r="B323" s="80" t="s">
        <v>830</v>
      </c>
      <c r="C323" s="71" t="s">
        <v>826</v>
      </c>
      <c r="D323" s="150"/>
      <c r="E323" s="81"/>
      <c r="F323" s="73" t="s">
        <v>640</v>
      </c>
      <c r="G323" s="73">
        <v>0</v>
      </c>
      <c r="H323" s="73">
        <v>6</v>
      </c>
      <c r="I323" s="74" t="s">
        <v>641</v>
      </c>
      <c r="J323" s="75" t="s">
        <v>634</v>
      </c>
      <c r="K323" s="74"/>
      <c r="L323" s="82">
        <v>-4.8199999999999996E-3</v>
      </c>
      <c r="M323" s="138">
        <v>-4.5799999999999999E-3</v>
      </c>
      <c r="N323" s="138">
        <v>-5.0299999999999997E-3</v>
      </c>
      <c r="O323" s="138">
        <v>-2.7000000000000001E-3</v>
      </c>
      <c r="P323" s="138">
        <v>-2.5400000000000002E-3</v>
      </c>
      <c r="Q323" s="138">
        <v>-2.5100000000000001E-3</v>
      </c>
      <c r="R323" s="138">
        <v>-1.7099999999999999E-3</v>
      </c>
      <c r="S323" s="138">
        <v>-1.06E-3</v>
      </c>
      <c r="T323" s="138">
        <v>-1.4400000000000001E-3</v>
      </c>
      <c r="U323" s="138">
        <v>-8.7000000000000001E-4</v>
      </c>
      <c r="V323" s="138">
        <v>-1.2999999999999999E-3</v>
      </c>
      <c r="W323" s="138">
        <v>-1.2999999999999999E-3</v>
      </c>
      <c r="X323" s="138">
        <v>-1.2999999999999999E-3</v>
      </c>
      <c r="Y323" s="138">
        <f t="shared" si="213"/>
        <v>-1.2999999999999999E-3</v>
      </c>
      <c r="Z323" s="138">
        <f t="shared" si="214"/>
        <v>-1.2999999999999999E-3</v>
      </c>
      <c r="AA323" s="138">
        <f t="shared" si="215"/>
        <v>-1.2999999999999999E-3</v>
      </c>
      <c r="AB323" s="138">
        <f t="shared" si="216"/>
        <v>-1.2999999999999999E-3</v>
      </c>
      <c r="AC323" s="138">
        <f t="shared" si="217"/>
        <v>-1.2999999999999999E-3</v>
      </c>
      <c r="AD323" s="138">
        <f t="shared" si="218"/>
        <v>-1.2999999999999999E-3</v>
      </c>
      <c r="AE323" s="138">
        <f t="shared" si="219"/>
        <v>-1.2999999999999999E-3</v>
      </c>
      <c r="AF323" s="138">
        <f t="shared" si="220"/>
        <v>-1.2999999999999999E-3</v>
      </c>
      <c r="AG323" s="138">
        <f t="shared" si="221"/>
        <v>-1.2999999999999999E-3</v>
      </c>
      <c r="AH323" s="138">
        <f t="shared" si="222"/>
        <v>-1.2999999999999999E-3</v>
      </c>
      <c r="AI323" s="138">
        <f t="shared" si="223"/>
        <v>-1.2999999999999999E-3</v>
      </c>
      <c r="AJ323" s="138">
        <f t="shared" si="224"/>
        <v>-1.2999999999999999E-3</v>
      </c>
      <c r="AK323" s="138">
        <f t="shared" si="225"/>
        <v>-1.2999999999999999E-3</v>
      </c>
      <c r="AL323" s="138">
        <f t="shared" si="226"/>
        <v>-1.2999999999999997E-3</v>
      </c>
      <c r="AM323" s="138">
        <f t="shared" si="227"/>
        <v>-1.6108333333333333E-3</v>
      </c>
      <c r="AO323" s="77" t="str">
        <f t="shared" si="184"/>
        <v>RTP-2 (Non-Residential)</v>
      </c>
      <c r="AP323" s="78" t="s">
        <v>831</v>
      </c>
      <c r="AQ323" s="77" t="str">
        <f t="shared" si="185"/>
        <v>Purchased Electricity Adjustment</v>
      </c>
      <c r="AR323" s="78" t="str">
        <f t="shared" si="186"/>
        <v>Prorated</v>
      </c>
      <c r="AS323" s="79">
        <f t="shared" si="187"/>
        <v>6</v>
      </c>
      <c r="AT323" s="78">
        <f t="shared" si="188"/>
        <v>0</v>
      </c>
      <c r="AU323" s="78">
        <f t="shared" si="189"/>
        <v>-4.5799999999999999E-3</v>
      </c>
      <c r="AV323" s="78">
        <f t="shared" si="190"/>
        <v>-5.0299999999999997E-3</v>
      </c>
      <c r="AW323" s="78">
        <f t="shared" si="191"/>
        <v>-2.7000000000000001E-3</v>
      </c>
      <c r="AX323" s="78">
        <f t="shared" si="192"/>
        <v>-2.5400000000000002E-3</v>
      </c>
      <c r="AY323" s="78">
        <f t="shared" si="193"/>
        <v>-2.5100000000000001E-3</v>
      </c>
      <c r="AZ323" s="78">
        <f t="shared" si="194"/>
        <v>-1.7099999999999999E-3</v>
      </c>
      <c r="BA323" s="78">
        <f t="shared" si="195"/>
        <v>-1.06E-3</v>
      </c>
      <c r="BB323" s="78">
        <f t="shared" si="196"/>
        <v>-1.4400000000000001E-3</v>
      </c>
      <c r="BC323" s="78">
        <f t="shared" si="197"/>
        <v>-8.7000000000000001E-4</v>
      </c>
      <c r="BD323" s="78">
        <f t="shared" si="198"/>
        <v>-1.2999999999999999E-3</v>
      </c>
      <c r="BE323" s="78">
        <f t="shared" si="199"/>
        <v>-1.2999999999999999E-3</v>
      </c>
      <c r="BF323" s="78">
        <f t="shared" si="200"/>
        <v>-1.2999999999999999E-3</v>
      </c>
      <c r="BG323" s="78">
        <f t="shared" si="201"/>
        <v>-1.2999999999999999E-3</v>
      </c>
      <c r="BH323" s="78">
        <f t="shared" si="202"/>
        <v>-1.2999999999999999E-3</v>
      </c>
      <c r="BI323" s="78">
        <f t="shared" si="203"/>
        <v>-1.2999999999999999E-3</v>
      </c>
      <c r="BJ323" s="78">
        <f t="shared" si="204"/>
        <v>-1.2999999999999999E-3</v>
      </c>
      <c r="BK323" s="78">
        <f t="shared" si="205"/>
        <v>-1.2999999999999999E-3</v>
      </c>
      <c r="BL323" s="78">
        <f t="shared" si="206"/>
        <v>-1.2999999999999999E-3</v>
      </c>
      <c r="BM323" s="78">
        <f t="shared" si="207"/>
        <v>-1.2999999999999999E-3</v>
      </c>
      <c r="BN323" s="78">
        <f t="shared" si="208"/>
        <v>-1.2999999999999999E-3</v>
      </c>
      <c r="BO323" s="78">
        <f t="shared" si="209"/>
        <v>-1.2999999999999999E-3</v>
      </c>
      <c r="BP323" s="78">
        <f t="shared" si="210"/>
        <v>-1.2999999999999999E-3</v>
      </c>
      <c r="BQ323" s="78">
        <f t="shared" si="211"/>
        <v>-1.2999999999999999E-3</v>
      </c>
      <c r="BR323" s="78">
        <f t="shared" si="212"/>
        <v>-1.2999999999999999E-3</v>
      </c>
      <c r="BS323" s="77"/>
      <c r="BT323" s="77"/>
    </row>
    <row r="324" spans="1:72" ht="14.1" customHeight="1" x14ac:dyDescent="0.2">
      <c r="A324" s="55" t="str">
        <f t="shared" si="183"/>
        <v>DS-5 (Lighting Service)_Purchased Electricity Adjustment</v>
      </c>
      <c r="B324" s="80" t="s">
        <v>647</v>
      </c>
      <c r="C324" s="71" t="s">
        <v>826</v>
      </c>
      <c r="D324" s="150"/>
      <c r="E324" s="81"/>
      <c r="F324" s="73" t="s">
        <v>640</v>
      </c>
      <c r="G324" s="73">
        <v>0</v>
      </c>
      <c r="H324" s="73">
        <v>6</v>
      </c>
      <c r="I324" s="74" t="s">
        <v>641</v>
      </c>
      <c r="J324" s="75" t="s">
        <v>634</v>
      </c>
      <c r="K324" s="74"/>
      <c r="L324" s="82">
        <v>-4.8199999999999996E-3</v>
      </c>
      <c r="M324" s="138">
        <v>-4.5799999999999999E-3</v>
      </c>
      <c r="N324" s="138">
        <v>-5.0299999999999997E-3</v>
      </c>
      <c r="O324" s="138">
        <v>-2.7000000000000001E-3</v>
      </c>
      <c r="P324" s="138">
        <v>-2.5400000000000002E-3</v>
      </c>
      <c r="Q324" s="138">
        <v>-2.5100000000000001E-3</v>
      </c>
      <c r="R324" s="138">
        <v>-1.7099999999999999E-3</v>
      </c>
      <c r="S324" s="138">
        <v>-1.06E-3</v>
      </c>
      <c r="T324" s="138">
        <v>-1.4400000000000001E-3</v>
      </c>
      <c r="U324" s="138">
        <v>-8.7000000000000001E-4</v>
      </c>
      <c r="V324" s="138">
        <v>-1.2999999999999999E-3</v>
      </c>
      <c r="W324" s="138">
        <v>-1.2999999999999999E-3</v>
      </c>
      <c r="X324" s="138">
        <v>-1.2999999999999999E-3</v>
      </c>
      <c r="Y324" s="138">
        <f t="shared" si="213"/>
        <v>-1.2999999999999999E-3</v>
      </c>
      <c r="Z324" s="138">
        <f t="shared" si="214"/>
        <v>-1.2999999999999999E-3</v>
      </c>
      <c r="AA324" s="138">
        <f t="shared" si="215"/>
        <v>-1.2999999999999999E-3</v>
      </c>
      <c r="AB324" s="138">
        <f t="shared" si="216"/>
        <v>-1.2999999999999999E-3</v>
      </c>
      <c r="AC324" s="138">
        <f t="shared" si="217"/>
        <v>-1.2999999999999999E-3</v>
      </c>
      <c r="AD324" s="138">
        <f t="shared" si="218"/>
        <v>-1.2999999999999999E-3</v>
      </c>
      <c r="AE324" s="138">
        <f t="shared" si="219"/>
        <v>-1.2999999999999999E-3</v>
      </c>
      <c r="AF324" s="138">
        <f t="shared" si="220"/>
        <v>-1.2999999999999999E-3</v>
      </c>
      <c r="AG324" s="138">
        <f t="shared" si="221"/>
        <v>-1.2999999999999999E-3</v>
      </c>
      <c r="AH324" s="138">
        <f t="shared" si="222"/>
        <v>-1.2999999999999999E-3</v>
      </c>
      <c r="AI324" s="138">
        <f t="shared" si="223"/>
        <v>-1.2999999999999999E-3</v>
      </c>
      <c r="AJ324" s="138">
        <f t="shared" si="224"/>
        <v>-1.2999999999999999E-3</v>
      </c>
      <c r="AK324" s="138">
        <f t="shared" si="225"/>
        <v>-1.2999999999999999E-3</v>
      </c>
      <c r="AL324" s="138">
        <f t="shared" si="226"/>
        <v>-1.2999999999999997E-3</v>
      </c>
      <c r="AM324" s="138">
        <f t="shared" si="227"/>
        <v>-1.6108333333333333E-3</v>
      </c>
      <c r="AO324" s="77" t="str">
        <f t="shared" si="184"/>
        <v>DS-5 (Lighting Service)</v>
      </c>
      <c r="AP324" s="78" t="s">
        <v>650</v>
      </c>
      <c r="AQ324" s="77" t="str">
        <f t="shared" si="185"/>
        <v>Purchased Electricity Adjustment</v>
      </c>
      <c r="AR324" s="78" t="str">
        <f t="shared" si="186"/>
        <v>Prorated</v>
      </c>
      <c r="AS324" s="79">
        <f t="shared" si="187"/>
        <v>6</v>
      </c>
      <c r="AT324" s="78">
        <f t="shared" si="188"/>
        <v>0</v>
      </c>
      <c r="AU324" s="78">
        <f t="shared" si="189"/>
        <v>-4.5799999999999999E-3</v>
      </c>
      <c r="AV324" s="78">
        <f t="shared" si="190"/>
        <v>-5.0299999999999997E-3</v>
      </c>
      <c r="AW324" s="78">
        <f t="shared" si="191"/>
        <v>-2.7000000000000001E-3</v>
      </c>
      <c r="AX324" s="78">
        <f t="shared" si="192"/>
        <v>-2.5400000000000002E-3</v>
      </c>
      <c r="AY324" s="78">
        <f t="shared" si="193"/>
        <v>-2.5100000000000001E-3</v>
      </c>
      <c r="AZ324" s="78">
        <f t="shared" si="194"/>
        <v>-1.7099999999999999E-3</v>
      </c>
      <c r="BA324" s="78">
        <f t="shared" si="195"/>
        <v>-1.06E-3</v>
      </c>
      <c r="BB324" s="78">
        <f t="shared" si="196"/>
        <v>-1.4400000000000001E-3</v>
      </c>
      <c r="BC324" s="78">
        <f t="shared" si="197"/>
        <v>-8.7000000000000001E-4</v>
      </c>
      <c r="BD324" s="78">
        <f t="shared" si="198"/>
        <v>-1.2999999999999999E-3</v>
      </c>
      <c r="BE324" s="78">
        <f t="shared" si="199"/>
        <v>-1.2999999999999999E-3</v>
      </c>
      <c r="BF324" s="78">
        <f t="shared" si="200"/>
        <v>-1.2999999999999999E-3</v>
      </c>
      <c r="BG324" s="78">
        <f t="shared" si="201"/>
        <v>-1.2999999999999999E-3</v>
      </c>
      <c r="BH324" s="78">
        <f t="shared" si="202"/>
        <v>-1.2999999999999999E-3</v>
      </c>
      <c r="BI324" s="78">
        <f t="shared" si="203"/>
        <v>-1.2999999999999999E-3</v>
      </c>
      <c r="BJ324" s="78">
        <f t="shared" si="204"/>
        <v>-1.2999999999999999E-3</v>
      </c>
      <c r="BK324" s="78">
        <f t="shared" si="205"/>
        <v>-1.2999999999999999E-3</v>
      </c>
      <c r="BL324" s="78">
        <f t="shared" si="206"/>
        <v>-1.2999999999999999E-3</v>
      </c>
      <c r="BM324" s="78">
        <f t="shared" si="207"/>
        <v>-1.2999999999999999E-3</v>
      </c>
      <c r="BN324" s="78">
        <f t="shared" si="208"/>
        <v>-1.2999999999999999E-3</v>
      </c>
      <c r="BO324" s="78">
        <f t="shared" si="209"/>
        <v>-1.2999999999999999E-3</v>
      </c>
      <c r="BP324" s="78">
        <f t="shared" si="210"/>
        <v>-1.2999999999999999E-3</v>
      </c>
      <c r="BQ324" s="78">
        <f t="shared" si="211"/>
        <v>-1.2999999999999999E-3</v>
      </c>
      <c r="BR324" s="78">
        <f t="shared" si="212"/>
        <v>-1.2999999999999999E-3</v>
      </c>
      <c r="BS324" s="77"/>
      <c r="BT324" s="77"/>
    </row>
    <row r="325" spans="1:72" ht="14.1" customHeight="1" x14ac:dyDescent="0.2">
      <c r="A325" s="55" t="str">
        <f t="shared" si="183"/>
        <v>DS-4 (Large General Service)_Reactive Demand Charge (per kVAR)</v>
      </c>
      <c r="B325" s="80" t="s">
        <v>639</v>
      </c>
      <c r="C325" s="83" t="s">
        <v>832</v>
      </c>
      <c r="D325" s="150"/>
      <c r="E325" s="81"/>
      <c r="F325" s="73" t="s">
        <v>649</v>
      </c>
      <c r="G325" s="73">
        <v>0</v>
      </c>
      <c r="H325" s="73">
        <v>6</v>
      </c>
      <c r="I325" s="74" t="s">
        <v>641</v>
      </c>
      <c r="J325" s="75" t="s">
        <v>634</v>
      </c>
      <c r="K325" s="74"/>
      <c r="L325" s="82">
        <v>0</v>
      </c>
      <c r="M325" s="138">
        <v>0</v>
      </c>
      <c r="N325" s="138">
        <v>0</v>
      </c>
      <c r="O325" s="138">
        <v>0</v>
      </c>
      <c r="P325" s="138">
        <v>0</v>
      </c>
      <c r="Q325" s="138">
        <v>0</v>
      </c>
      <c r="R325" s="138">
        <v>0</v>
      </c>
      <c r="S325" s="138">
        <v>0</v>
      </c>
      <c r="T325" s="138">
        <v>0</v>
      </c>
      <c r="U325" s="138">
        <v>0</v>
      </c>
      <c r="V325" s="138">
        <v>0</v>
      </c>
      <c r="W325" s="138">
        <v>0</v>
      </c>
      <c r="X325" s="138">
        <v>0</v>
      </c>
      <c r="Y325" s="138">
        <f t="shared" si="213"/>
        <v>0</v>
      </c>
      <c r="Z325" s="138">
        <f t="shared" si="214"/>
        <v>0</v>
      </c>
      <c r="AA325" s="138">
        <f t="shared" si="215"/>
        <v>0</v>
      </c>
      <c r="AB325" s="138">
        <f t="shared" si="216"/>
        <v>0</v>
      </c>
      <c r="AC325" s="138">
        <f t="shared" si="217"/>
        <v>0</v>
      </c>
      <c r="AD325" s="138">
        <f t="shared" si="218"/>
        <v>0</v>
      </c>
      <c r="AE325" s="138">
        <f t="shared" si="219"/>
        <v>0</v>
      </c>
      <c r="AF325" s="138">
        <f t="shared" si="220"/>
        <v>0</v>
      </c>
      <c r="AG325" s="138">
        <f t="shared" si="221"/>
        <v>0</v>
      </c>
      <c r="AH325" s="138">
        <f t="shared" si="222"/>
        <v>0</v>
      </c>
      <c r="AI325" s="138">
        <f t="shared" si="223"/>
        <v>0</v>
      </c>
      <c r="AJ325" s="138">
        <f t="shared" si="224"/>
        <v>0</v>
      </c>
      <c r="AK325" s="138">
        <f t="shared" si="225"/>
        <v>0</v>
      </c>
      <c r="AL325" s="138">
        <f t="shared" si="226"/>
        <v>0</v>
      </c>
      <c r="AM325" s="138">
        <f t="shared" si="227"/>
        <v>0</v>
      </c>
      <c r="AO325" s="77" t="str">
        <f t="shared" si="184"/>
        <v>DS-4 (Large General Service)</v>
      </c>
      <c r="AP325" s="78" t="s">
        <v>642</v>
      </c>
      <c r="AQ325" s="77" t="str">
        <f t="shared" si="185"/>
        <v>Reactive Demand Charge (per kVAR)</v>
      </c>
      <c r="AR325" s="78" t="str">
        <f t="shared" si="186"/>
        <v>Billing Cycle</v>
      </c>
      <c r="AS325" s="79">
        <f t="shared" si="187"/>
        <v>6</v>
      </c>
      <c r="AT325" s="78">
        <f t="shared" si="188"/>
        <v>0</v>
      </c>
      <c r="AU325" s="78">
        <f t="shared" si="189"/>
        <v>0</v>
      </c>
      <c r="AV325" s="78">
        <f t="shared" si="190"/>
        <v>0</v>
      </c>
      <c r="AW325" s="78">
        <f t="shared" si="191"/>
        <v>0</v>
      </c>
      <c r="AX325" s="78">
        <f t="shared" si="192"/>
        <v>0</v>
      </c>
      <c r="AY325" s="78">
        <f t="shared" si="193"/>
        <v>0</v>
      </c>
      <c r="AZ325" s="78">
        <f t="shared" si="194"/>
        <v>0</v>
      </c>
      <c r="BA325" s="78">
        <f t="shared" si="195"/>
        <v>0</v>
      </c>
      <c r="BB325" s="78">
        <f t="shared" si="196"/>
        <v>0</v>
      </c>
      <c r="BC325" s="78">
        <f t="shared" si="197"/>
        <v>0</v>
      </c>
      <c r="BD325" s="78">
        <f t="shared" si="198"/>
        <v>0</v>
      </c>
      <c r="BE325" s="78">
        <f t="shared" si="199"/>
        <v>0</v>
      </c>
      <c r="BF325" s="78">
        <f t="shared" si="200"/>
        <v>0</v>
      </c>
      <c r="BG325" s="78">
        <f t="shared" si="201"/>
        <v>0</v>
      </c>
      <c r="BH325" s="78">
        <f t="shared" si="202"/>
        <v>0</v>
      </c>
      <c r="BI325" s="78">
        <f t="shared" si="203"/>
        <v>0</v>
      </c>
      <c r="BJ325" s="78">
        <f t="shared" si="204"/>
        <v>0</v>
      </c>
      <c r="BK325" s="78">
        <f t="shared" si="205"/>
        <v>0</v>
      </c>
      <c r="BL325" s="78">
        <f t="shared" si="206"/>
        <v>0</v>
      </c>
      <c r="BM325" s="78">
        <f t="shared" si="207"/>
        <v>0</v>
      </c>
      <c r="BN325" s="78">
        <f t="shared" si="208"/>
        <v>0</v>
      </c>
      <c r="BO325" s="78">
        <f t="shared" si="209"/>
        <v>0</v>
      </c>
      <c r="BP325" s="78">
        <f t="shared" si="210"/>
        <v>0</v>
      </c>
      <c r="BQ325" s="78">
        <f t="shared" si="211"/>
        <v>0</v>
      </c>
      <c r="BR325" s="78">
        <f t="shared" si="212"/>
        <v>0</v>
      </c>
      <c r="BS325" s="77"/>
      <c r="BT325" s="77"/>
    </row>
    <row r="326" spans="1:72" ht="14.1" customHeight="1" x14ac:dyDescent="0.2">
      <c r="A326" s="55" t="str">
        <f t="shared" ref="A326:A389" si="228">B326&amp;"_"&amp;C326</f>
        <v>DS-1 (Residential)_Renewable Energy</v>
      </c>
      <c r="B326" s="80" t="s">
        <v>90</v>
      </c>
      <c r="C326" s="83" t="s">
        <v>833</v>
      </c>
      <c r="D326" s="150" t="s">
        <v>557</v>
      </c>
      <c r="E326" s="81"/>
      <c r="F326" s="73" t="s">
        <v>649</v>
      </c>
      <c r="G326" s="73">
        <v>0</v>
      </c>
      <c r="H326" s="73">
        <v>6</v>
      </c>
      <c r="I326" s="74" t="s">
        <v>641</v>
      </c>
      <c r="J326" s="75" t="s">
        <v>634</v>
      </c>
      <c r="K326" s="74"/>
      <c r="L326" s="82">
        <v>0</v>
      </c>
      <c r="M326" s="138">
        <v>0</v>
      </c>
      <c r="N326" s="138">
        <v>0</v>
      </c>
      <c r="O326" s="138">
        <v>0</v>
      </c>
      <c r="P326" s="138">
        <v>0</v>
      </c>
      <c r="Q326" s="138">
        <v>0</v>
      </c>
      <c r="R326" s="138">
        <v>0</v>
      </c>
      <c r="S326" s="138">
        <v>0</v>
      </c>
      <c r="T326" s="138">
        <v>0</v>
      </c>
      <c r="U326" s="138">
        <v>0</v>
      </c>
      <c r="V326" s="138">
        <v>0</v>
      </c>
      <c r="W326" s="138">
        <v>0</v>
      </c>
      <c r="X326" s="138">
        <v>0</v>
      </c>
      <c r="Y326" s="138">
        <f t="shared" si="213"/>
        <v>0</v>
      </c>
      <c r="Z326" s="138">
        <f t="shared" si="214"/>
        <v>0</v>
      </c>
      <c r="AA326" s="138">
        <f t="shared" si="215"/>
        <v>0</v>
      </c>
      <c r="AB326" s="138">
        <f t="shared" si="216"/>
        <v>0</v>
      </c>
      <c r="AC326" s="138">
        <f t="shared" si="217"/>
        <v>0</v>
      </c>
      <c r="AD326" s="138">
        <f t="shared" si="218"/>
        <v>0</v>
      </c>
      <c r="AE326" s="138">
        <f t="shared" si="219"/>
        <v>0</v>
      </c>
      <c r="AF326" s="138">
        <f t="shared" si="220"/>
        <v>0</v>
      </c>
      <c r="AG326" s="138">
        <f t="shared" si="221"/>
        <v>0</v>
      </c>
      <c r="AH326" s="138">
        <f t="shared" si="222"/>
        <v>0</v>
      </c>
      <c r="AI326" s="138">
        <f t="shared" si="223"/>
        <v>0</v>
      </c>
      <c r="AJ326" s="138">
        <f t="shared" si="224"/>
        <v>0</v>
      </c>
      <c r="AK326" s="138">
        <f t="shared" si="225"/>
        <v>0</v>
      </c>
      <c r="AL326" s="138">
        <f t="shared" si="226"/>
        <v>0</v>
      </c>
      <c r="AM326" s="138">
        <f t="shared" si="227"/>
        <v>0</v>
      </c>
      <c r="AO326" s="77" t="str">
        <f t="shared" ref="AO326:AO389" si="229">IF(B326="","",B326)</f>
        <v>DS-1 (Residential)</v>
      </c>
      <c r="AP326" s="78" t="s">
        <v>662</v>
      </c>
      <c r="AQ326" s="77" t="str">
        <f t="shared" ref="AQ326:AQ389" si="230">IF(B326="","",C326)</f>
        <v>Renewable Energy</v>
      </c>
      <c r="AR326" s="78" t="str">
        <f t="shared" ref="AR326:AR389" si="231">IF(B326="","",F326)</f>
        <v>Billing Cycle</v>
      </c>
      <c r="AS326" s="79">
        <f t="shared" ref="AS326:AS389" si="232">IF(B326="","",H326)</f>
        <v>6</v>
      </c>
      <c r="AT326" s="78">
        <f t="shared" ref="AT326:AT389" si="233">IF(B326="","",ROUND(L326,$H$6))</f>
        <v>0</v>
      </c>
      <c r="AU326" s="78">
        <f t="shared" ref="AU326:AU389" si="234">IF($B326="","",ROUND(IF(M326="",AT326,M326),$H326))</f>
        <v>0</v>
      </c>
      <c r="AV326" s="78">
        <f t="shared" ref="AV326:AV389" si="235">IF($B326="","",ROUND(IF(N326="",AU326,N326),$H326))</f>
        <v>0</v>
      </c>
      <c r="AW326" s="78">
        <f t="shared" ref="AW326:AW389" si="236">IF($B326="","",ROUND(IF(O326="",AV326,O326),$H326))</f>
        <v>0</v>
      </c>
      <c r="AX326" s="78">
        <f t="shared" ref="AX326:AX389" si="237">IF($B326="","",ROUND(IF(P326="",AW326,P326),$H326))</f>
        <v>0</v>
      </c>
      <c r="AY326" s="78">
        <f t="shared" ref="AY326:AY389" si="238">IF($B326="","",ROUND(IF(Q326="",AX326,Q326),$H326))</f>
        <v>0</v>
      </c>
      <c r="AZ326" s="78">
        <f t="shared" ref="AZ326:AZ389" si="239">IF($B326="","",ROUND(IF(R326="",AY326,R326),$H326))</f>
        <v>0</v>
      </c>
      <c r="BA326" s="78">
        <f t="shared" ref="BA326:BA389" si="240">IF($B326="","",ROUND(IF(S326="",AZ326,S326),$H326))</f>
        <v>0</v>
      </c>
      <c r="BB326" s="78">
        <f t="shared" ref="BB326:BB389" si="241">IF($B326="","",ROUND(IF(T326="",BA326,T326),$H326))</f>
        <v>0</v>
      </c>
      <c r="BC326" s="78">
        <f t="shared" ref="BC326:BC389" si="242">IF($B326="","",ROUND(IF(U326="",BB326,U326),$H326))</f>
        <v>0</v>
      </c>
      <c r="BD326" s="78">
        <f t="shared" ref="BD326:BD389" si="243">IF($B326="","",ROUND(IF(V326="",BC326,V326),$H326))</f>
        <v>0</v>
      </c>
      <c r="BE326" s="78">
        <f t="shared" ref="BE326:BE389" si="244">IF($B326="","",ROUND(IF(W326="",BD326,W326),$H326))</f>
        <v>0</v>
      </c>
      <c r="BF326" s="78">
        <f t="shared" ref="BF326:BF389" si="245">IF($B326="","",ROUND(IF(X326="",BE326,X326),$H326))</f>
        <v>0</v>
      </c>
      <c r="BG326" s="78">
        <f t="shared" ref="BG326:BG389" si="246">IF($B326="","",ROUND(IF(Y326="",BF326,Y326),$H326))</f>
        <v>0</v>
      </c>
      <c r="BH326" s="78">
        <f t="shared" ref="BH326:BH389" si="247">IF($B326="","",ROUND(IF(Z326="",BG326,Z326),$H326))</f>
        <v>0</v>
      </c>
      <c r="BI326" s="78">
        <f t="shared" ref="BI326:BI389" si="248">IF($B326="","",ROUND(IF(AA326="",BH326,AA326),$H326))</f>
        <v>0</v>
      </c>
      <c r="BJ326" s="78">
        <f t="shared" ref="BJ326:BJ389" si="249">IF($B326="","",ROUND(IF(AB326="",BI326,AB326),$H326))</f>
        <v>0</v>
      </c>
      <c r="BK326" s="78">
        <f t="shared" ref="BK326:BK389" si="250">IF($B326="","",ROUND(IF(AC326="",BJ326,AC326),$H326))</f>
        <v>0</v>
      </c>
      <c r="BL326" s="78">
        <f t="shared" ref="BL326:BL389" si="251">IF($B326="","",ROUND(IF(AD326="",BK326,AD326),$H326))</f>
        <v>0</v>
      </c>
      <c r="BM326" s="78">
        <f t="shared" ref="BM326:BM389" si="252">IF($B326="","",ROUND(IF(AE326="",BL326,AE326),$H326))</f>
        <v>0</v>
      </c>
      <c r="BN326" s="78">
        <f t="shared" ref="BN326:BN389" si="253">IF($B326="","",ROUND(IF(AF326="",BM326,AF326),$H326))</f>
        <v>0</v>
      </c>
      <c r="BO326" s="78">
        <f t="shared" ref="BO326:BO389" si="254">IF($B326="","",ROUND(IF(AG326="",BN326,AG326),$H326))</f>
        <v>0</v>
      </c>
      <c r="BP326" s="78">
        <f t="shared" ref="BP326:BP389" si="255">IF($B326="","",ROUND(IF(AH326="",BO326,AH326),$H326))</f>
        <v>0</v>
      </c>
      <c r="BQ326" s="78">
        <f t="shared" ref="BQ326:BQ389" si="256">IF($B326="","",ROUND(IF(AI326="",BP326,AI326),$H326))</f>
        <v>0</v>
      </c>
      <c r="BR326" s="78">
        <f t="shared" ref="BR326:BR389" si="257">IF($B326="","",ROUND(IF(AJ326="",BQ326,AJ326),$H326))</f>
        <v>0</v>
      </c>
      <c r="BS326" s="77"/>
      <c r="BT326" s="77"/>
    </row>
    <row r="327" spans="1:72" ht="14.1" customHeight="1" x14ac:dyDescent="0.2">
      <c r="A327" s="55" t="str">
        <f t="shared" si="228"/>
        <v>DS-2 (Small General Service)_Renewable Energy</v>
      </c>
      <c r="B327" s="80" t="s">
        <v>665</v>
      </c>
      <c r="C327" s="83" t="s">
        <v>833</v>
      </c>
      <c r="D327" s="150"/>
      <c r="E327" s="81"/>
      <c r="F327" s="73" t="s">
        <v>649</v>
      </c>
      <c r="G327" s="73">
        <v>0</v>
      </c>
      <c r="H327" s="73">
        <v>6</v>
      </c>
      <c r="I327" s="74" t="s">
        <v>641</v>
      </c>
      <c r="J327" s="75" t="s">
        <v>634</v>
      </c>
      <c r="K327" s="74"/>
      <c r="L327" s="82">
        <v>1</v>
      </c>
      <c r="M327" s="138">
        <v>1</v>
      </c>
      <c r="N327" s="138">
        <v>1</v>
      </c>
      <c r="O327" s="138">
        <v>1</v>
      </c>
      <c r="P327" s="138">
        <v>1</v>
      </c>
      <c r="Q327" s="138">
        <v>1</v>
      </c>
      <c r="R327" s="138">
        <v>1</v>
      </c>
      <c r="S327" s="138">
        <v>1</v>
      </c>
      <c r="T327" s="138">
        <v>1</v>
      </c>
      <c r="U327" s="138">
        <v>1</v>
      </c>
      <c r="V327" s="138">
        <v>1</v>
      </c>
      <c r="W327" s="138">
        <v>1</v>
      </c>
      <c r="X327" s="138">
        <v>1</v>
      </c>
      <c r="Y327" s="138">
        <f t="shared" ref="Y327:Y390" si="258">X327</f>
        <v>1</v>
      </c>
      <c r="Z327" s="138">
        <f t="shared" ref="Z327:Z390" si="259">Y327</f>
        <v>1</v>
      </c>
      <c r="AA327" s="138">
        <f t="shared" ref="AA327:AA390" si="260">Z327</f>
        <v>1</v>
      </c>
      <c r="AB327" s="138">
        <f t="shared" ref="AB327:AB390" si="261">AA327</f>
        <v>1</v>
      </c>
      <c r="AC327" s="138">
        <f t="shared" ref="AC327:AC390" si="262">AB327</f>
        <v>1</v>
      </c>
      <c r="AD327" s="138">
        <f t="shared" ref="AD327:AD390" si="263">AC327</f>
        <v>1</v>
      </c>
      <c r="AE327" s="138">
        <f t="shared" ref="AE327:AE390" si="264">AD327</f>
        <v>1</v>
      </c>
      <c r="AF327" s="138">
        <f t="shared" ref="AF327:AF390" si="265">AE327</f>
        <v>1</v>
      </c>
      <c r="AG327" s="138">
        <f t="shared" ref="AG327:AG390" si="266">AF327</f>
        <v>1</v>
      </c>
      <c r="AH327" s="138">
        <f t="shared" ref="AH327:AH390" si="267">AG327</f>
        <v>1</v>
      </c>
      <c r="AI327" s="138">
        <f t="shared" ref="AI327:AI390" si="268">AH327</f>
        <v>1</v>
      </c>
      <c r="AJ327" s="138">
        <f t="shared" ref="AJ327:AJ390" si="269">AI327</f>
        <v>1</v>
      </c>
      <c r="AK327" s="138">
        <f t="shared" ref="AK327:AK390" si="270">AJ327</f>
        <v>1</v>
      </c>
      <c r="AL327" s="138">
        <f t="shared" ref="AL327:AL390" si="271">AVERAGE(Z327:AK327)</f>
        <v>1</v>
      </c>
      <c r="AM327" s="138">
        <f t="shared" ref="AM327:AM390" si="272">AVERAGE(N327:AK327)</f>
        <v>1</v>
      </c>
      <c r="AO327" s="77" t="str">
        <f t="shared" si="229"/>
        <v>DS-2 (Small General Service)</v>
      </c>
      <c r="AP327" s="78" t="s">
        <v>664</v>
      </c>
      <c r="AQ327" s="77" t="str">
        <f t="shared" si="230"/>
        <v>Renewable Energy</v>
      </c>
      <c r="AR327" s="78" t="str">
        <f t="shared" si="231"/>
        <v>Billing Cycle</v>
      </c>
      <c r="AS327" s="79">
        <f t="shared" si="232"/>
        <v>6</v>
      </c>
      <c r="AT327" s="78">
        <f t="shared" si="233"/>
        <v>1</v>
      </c>
      <c r="AU327" s="78">
        <f t="shared" si="234"/>
        <v>1</v>
      </c>
      <c r="AV327" s="78">
        <f t="shared" si="235"/>
        <v>1</v>
      </c>
      <c r="AW327" s="78">
        <f t="shared" si="236"/>
        <v>1</v>
      </c>
      <c r="AX327" s="78">
        <f t="shared" si="237"/>
        <v>1</v>
      </c>
      <c r="AY327" s="78">
        <f t="shared" si="238"/>
        <v>1</v>
      </c>
      <c r="AZ327" s="78">
        <f t="shared" si="239"/>
        <v>1</v>
      </c>
      <c r="BA327" s="78">
        <f t="shared" si="240"/>
        <v>1</v>
      </c>
      <c r="BB327" s="78">
        <f t="shared" si="241"/>
        <v>1</v>
      </c>
      <c r="BC327" s="78">
        <f t="shared" si="242"/>
        <v>1</v>
      </c>
      <c r="BD327" s="78">
        <f t="shared" si="243"/>
        <v>1</v>
      </c>
      <c r="BE327" s="78">
        <f t="shared" si="244"/>
        <v>1</v>
      </c>
      <c r="BF327" s="78">
        <f t="shared" si="245"/>
        <v>1</v>
      </c>
      <c r="BG327" s="78">
        <f t="shared" si="246"/>
        <v>1</v>
      </c>
      <c r="BH327" s="78">
        <f t="shared" si="247"/>
        <v>1</v>
      </c>
      <c r="BI327" s="78">
        <f t="shared" si="248"/>
        <v>1</v>
      </c>
      <c r="BJ327" s="78">
        <f t="shared" si="249"/>
        <v>1</v>
      </c>
      <c r="BK327" s="78">
        <f t="shared" si="250"/>
        <v>1</v>
      </c>
      <c r="BL327" s="78">
        <f t="shared" si="251"/>
        <v>1</v>
      </c>
      <c r="BM327" s="78">
        <f t="shared" si="252"/>
        <v>1</v>
      </c>
      <c r="BN327" s="78">
        <f t="shared" si="253"/>
        <v>1</v>
      </c>
      <c r="BO327" s="78">
        <f t="shared" si="254"/>
        <v>1</v>
      </c>
      <c r="BP327" s="78">
        <f t="shared" si="255"/>
        <v>1</v>
      </c>
      <c r="BQ327" s="78">
        <f t="shared" si="256"/>
        <v>1</v>
      </c>
      <c r="BR327" s="78">
        <f t="shared" si="257"/>
        <v>1</v>
      </c>
      <c r="BS327" s="77"/>
      <c r="BT327" s="77"/>
    </row>
    <row r="328" spans="1:72" ht="14.1" customHeight="1" x14ac:dyDescent="0.2">
      <c r="A328" s="55" t="str">
        <f t="shared" si="228"/>
        <v>DS-3 (General Delivery Service)_Renewable Energy</v>
      </c>
      <c r="B328" s="80" t="s">
        <v>666</v>
      </c>
      <c r="C328" s="83" t="s">
        <v>833</v>
      </c>
      <c r="D328" s="150"/>
      <c r="E328" s="81"/>
      <c r="F328" s="73" t="s">
        <v>649</v>
      </c>
      <c r="G328" s="73">
        <v>0</v>
      </c>
      <c r="H328" s="73">
        <v>6</v>
      </c>
      <c r="I328" s="74" t="s">
        <v>641</v>
      </c>
      <c r="J328" s="75" t="s">
        <v>634</v>
      </c>
      <c r="K328" s="74"/>
      <c r="L328" s="82">
        <v>1</v>
      </c>
      <c r="M328" s="138">
        <v>1</v>
      </c>
      <c r="N328" s="138">
        <v>1</v>
      </c>
      <c r="O328" s="138">
        <v>1</v>
      </c>
      <c r="P328" s="138">
        <v>1</v>
      </c>
      <c r="Q328" s="138">
        <v>1</v>
      </c>
      <c r="R328" s="138">
        <v>1</v>
      </c>
      <c r="S328" s="138">
        <v>1</v>
      </c>
      <c r="T328" s="138">
        <v>1</v>
      </c>
      <c r="U328" s="138">
        <v>1</v>
      </c>
      <c r="V328" s="138">
        <v>1</v>
      </c>
      <c r="W328" s="138">
        <v>1</v>
      </c>
      <c r="X328" s="138">
        <v>1</v>
      </c>
      <c r="Y328" s="138">
        <f t="shared" si="258"/>
        <v>1</v>
      </c>
      <c r="Z328" s="138">
        <f t="shared" si="259"/>
        <v>1</v>
      </c>
      <c r="AA328" s="138">
        <f t="shared" si="260"/>
        <v>1</v>
      </c>
      <c r="AB328" s="138">
        <f t="shared" si="261"/>
        <v>1</v>
      </c>
      <c r="AC328" s="138">
        <f t="shared" si="262"/>
        <v>1</v>
      </c>
      <c r="AD328" s="138">
        <f t="shared" si="263"/>
        <v>1</v>
      </c>
      <c r="AE328" s="138">
        <f t="shared" si="264"/>
        <v>1</v>
      </c>
      <c r="AF328" s="138">
        <f t="shared" si="265"/>
        <v>1</v>
      </c>
      <c r="AG328" s="138">
        <f t="shared" si="266"/>
        <v>1</v>
      </c>
      <c r="AH328" s="138">
        <f t="shared" si="267"/>
        <v>1</v>
      </c>
      <c r="AI328" s="138">
        <f t="shared" si="268"/>
        <v>1</v>
      </c>
      <c r="AJ328" s="138">
        <f t="shared" si="269"/>
        <v>1</v>
      </c>
      <c r="AK328" s="138">
        <f t="shared" si="270"/>
        <v>1</v>
      </c>
      <c r="AL328" s="138">
        <f t="shared" si="271"/>
        <v>1</v>
      </c>
      <c r="AM328" s="138">
        <f t="shared" si="272"/>
        <v>1</v>
      </c>
      <c r="AO328" s="77" t="str">
        <f t="shared" si="229"/>
        <v>DS-3 (General Delivery Service)</v>
      </c>
      <c r="AP328" s="78" t="s">
        <v>667</v>
      </c>
      <c r="AQ328" s="77" t="str">
        <f t="shared" si="230"/>
        <v>Renewable Energy</v>
      </c>
      <c r="AR328" s="78" t="str">
        <f t="shared" si="231"/>
        <v>Billing Cycle</v>
      </c>
      <c r="AS328" s="79">
        <f t="shared" si="232"/>
        <v>6</v>
      </c>
      <c r="AT328" s="78">
        <f t="shared" si="233"/>
        <v>1</v>
      </c>
      <c r="AU328" s="78">
        <f t="shared" si="234"/>
        <v>1</v>
      </c>
      <c r="AV328" s="78">
        <f t="shared" si="235"/>
        <v>1</v>
      </c>
      <c r="AW328" s="78">
        <f t="shared" si="236"/>
        <v>1</v>
      </c>
      <c r="AX328" s="78">
        <f t="shared" si="237"/>
        <v>1</v>
      </c>
      <c r="AY328" s="78">
        <f t="shared" si="238"/>
        <v>1</v>
      </c>
      <c r="AZ328" s="78">
        <f t="shared" si="239"/>
        <v>1</v>
      </c>
      <c r="BA328" s="78">
        <f t="shared" si="240"/>
        <v>1</v>
      </c>
      <c r="BB328" s="78">
        <f t="shared" si="241"/>
        <v>1</v>
      </c>
      <c r="BC328" s="78">
        <f t="shared" si="242"/>
        <v>1</v>
      </c>
      <c r="BD328" s="78">
        <f t="shared" si="243"/>
        <v>1</v>
      </c>
      <c r="BE328" s="78">
        <f t="shared" si="244"/>
        <v>1</v>
      </c>
      <c r="BF328" s="78">
        <f t="shared" si="245"/>
        <v>1</v>
      </c>
      <c r="BG328" s="78">
        <f t="shared" si="246"/>
        <v>1</v>
      </c>
      <c r="BH328" s="78">
        <f t="shared" si="247"/>
        <v>1</v>
      </c>
      <c r="BI328" s="78">
        <f t="shared" si="248"/>
        <v>1</v>
      </c>
      <c r="BJ328" s="78">
        <f t="shared" si="249"/>
        <v>1</v>
      </c>
      <c r="BK328" s="78">
        <f t="shared" si="250"/>
        <v>1</v>
      </c>
      <c r="BL328" s="78">
        <f t="shared" si="251"/>
        <v>1</v>
      </c>
      <c r="BM328" s="78">
        <f t="shared" si="252"/>
        <v>1</v>
      </c>
      <c r="BN328" s="78">
        <f t="shared" si="253"/>
        <v>1</v>
      </c>
      <c r="BO328" s="78">
        <f t="shared" si="254"/>
        <v>1</v>
      </c>
      <c r="BP328" s="78">
        <f t="shared" si="255"/>
        <v>1</v>
      </c>
      <c r="BQ328" s="78">
        <f t="shared" si="256"/>
        <v>1</v>
      </c>
      <c r="BR328" s="78">
        <f t="shared" si="257"/>
        <v>1</v>
      </c>
      <c r="BS328" s="77"/>
      <c r="BT328" s="77"/>
    </row>
    <row r="329" spans="1:72" ht="14.1" customHeight="1" x14ac:dyDescent="0.2">
      <c r="A329" s="55" t="str">
        <f t="shared" si="228"/>
        <v>DS-4 (Large General Service)_Renewable Energy</v>
      </c>
      <c r="B329" s="85" t="s">
        <v>639</v>
      </c>
      <c r="C329" s="83" t="s">
        <v>833</v>
      </c>
      <c r="D329" s="150"/>
      <c r="E329" s="81"/>
      <c r="F329" s="73" t="s">
        <v>649</v>
      </c>
      <c r="G329" s="73">
        <v>0</v>
      </c>
      <c r="H329" s="73">
        <v>6</v>
      </c>
      <c r="I329" s="74" t="s">
        <v>641</v>
      </c>
      <c r="J329" s="75" t="s">
        <v>634</v>
      </c>
      <c r="K329" s="74"/>
      <c r="L329" s="82">
        <v>1</v>
      </c>
      <c r="M329" s="138">
        <v>1</v>
      </c>
      <c r="N329" s="138">
        <v>1</v>
      </c>
      <c r="O329" s="138">
        <v>1</v>
      </c>
      <c r="P329" s="138">
        <v>1</v>
      </c>
      <c r="Q329" s="138">
        <v>1</v>
      </c>
      <c r="R329" s="138">
        <v>1</v>
      </c>
      <c r="S329" s="138">
        <v>1</v>
      </c>
      <c r="T329" s="138">
        <v>1</v>
      </c>
      <c r="U329" s="138">
        <v>1</v>
      </c>
      <c r="V329" s="138">
        <v>1</v>
      </c>
      <c r="W329" s="138">
        <v>1</v>
      </c>
      <c r="X329" s="138">
        <v>1</v>
      </c>
      <c r="Y329" s="138">
        <f t="shared" si="258"/>
        <v>1</v>
      </c>
      <c r="Z329" s="138">
        <f t="shared" si="259"/>
        <v>1</v>
      </c>
      <c r="AA329" s="138">
        <f t="shared" si="260"/>
        <v>1</v>
      </c>
      <c r="AB329" s="138">
        <f t="shared" si="261"/>
        <v>1</v>
      </c>
      <c r="AC329" s="138">
        <f t="shared" si="262"/>
        <v>1</v>
      </c>
      <c r="AD329" s="138">
        <f t="shared" si="263"/>
        <v>1</v>
      </c>
      <c r="AE329" s="138">
        <f t="shared" si="264"/>
        <v>1</v>
      </c>
      <c r="AF329" s="138">
        <f t="shared" si="265"/>
        <v>1</v>
      </c>
      <c r="AG329" s="138">
        <f t="shared" si="266"/>
        <v>1</v>
      </c>
      <c r="AH329" s="138">
        <f t="shared" si="267"/>
        <v>1</v>
      </c>
      <c r="AI329" s="138">
        <f t="shared" si="268"/>
        <v>1</v>
      </c>
      <c r="AJ329" s="138">
        <f t="shared" si="269"/>
        <v>1</v>
      </c>
      <c r="AK329" s="138">
        <f t="shared" si="270"/>
        <v>1</v>
      </c>
      <c r="AL329" s="138">
        <f t="shared" si="271"/>
        <v>1</v>
      </c>
      <c r="AM329" s="138">
        <f t="shared" si="272"/>
        <v>1</v>
      </c>
      <c r="AO329" s="77" t="str">
        <f t="shared" si="229"/>
        <v>DS-4 (Large General Service)</v>
      </c>
      <c r="AP329" s="78" t="s">
        <v>642</v>
      </c>
      <c r="AQ329" s="77" t="str">
        <f t="shared" si="230"/>
        <v>Renewable Energy</v>
      </c>
      <c r="AR329" s="78" t="str">
        <f t="shared" si="231"/>
        <v>Billing Cycle</v>
      </c>
      <c r="AS329" s="79">
        <f t="shared" si="232"/>
        <v>6</v>
      </c>
      <c r="AT329" s="78">
        <f t="shared" si="233"/>
        <v>1</v>
      </c>
      <c r="AU329" s="78">
        <f t="shared" si="234"/>
        <v>1</v>
      </c>
      <c r="AV329" s="78">
        <f t="shared" si="235"/>
        <v>1</v>
      </c>
      <c r="AW329" s="78">
        <f t="shared" si="236"/>
        <v>1</v>
      </c>
      <c r="AX329" s="78">
        <f t="shared" si="237"/>
        <v>1</v>
      </c>
      <c r="AY329" s="78">
        <f t="shared" si="238"/>
        <v>1</v>
      </c>
      <c r="AZ329" s="78">
        <f t="shared" si="239"/>
        <v>1</v>
      </c>
      <c r="BA329" s="78">
        <f t="shared" si="240"/>
        <v>1</v>
      </c>
      <c r="BB329" s="78">
        <f t="shared" si="241"/>
        <v>1</v>
      </c>
      <c r="BC329" s="78">
        <f t="shared" si="242"/>
        <v>1</v>
      </c>
      <c r="BD329" s="78">
        <f t="shared" si="243"/>
        <v>1</v>
      </c>
      <c r="BE329" s="78">
        <f t="shared" si="244"/>
        <v>1</v>
      </c>
      <c r="BF329" s="78">
        <f t="shared" si="245"/>
        <v>1</v>
      </c>
      <c r="BG329" s="78">
        <f t="shared" si="246"/>
        <v>1</v>
      </c>
      <c r="BH329" s="78">
        <f t="shared" si="247"/>
        <v>1</v>
      </c>
      <c r="BI329" s="78">
        <f t="shared" si="248"/>
        <v>1</v>
      </c>
      <c r="BJ329" s="78">
        <f t="shared" si="249"/>
        <v>1</v>
      </c>
      <c r="BK329" s="78">
        <f t="shared" si="250"/>
        <v>1</v>
      </c>
      <c r="BL329" s="78">
        <f t="shared" si="251"/>
        <v>1</v>
      </c>
      <c r="BM329" s="78">
        <f t="shared" si="252"/>
        <v>1</v>
      </c>
      <c r="BN329" s="78">
        <f t="shared" si="253"/>
        <v>1</v>
      </c>
      <c r="BO329" s="78">
        <f t="shared" si="254"/>
        <v>1</v>
      </c>
      <c r="BP329" s="78">
        <f t="shared" si="255"/>
        <v>1</v>
      </c>
      <c r="BQ329" s="78">
        <f t="shared" si="256"/>
        <v>1</v>
      </c>
      <c r="BR329" s="78">
        <f t="shared" si="257"/>
        <v>1</v>
      </c>
      <c r="BS329" s="77"/>
      <c r="BT329" s="77"/>
    </row>
    <row r="330" spans="1:72" ht="14.1" customHeight="1" x14ac:dyDescent="0.2">
      <c r="A330" s="55" t="str">
        <f t="shared" si="228"/>
        <v>DS-5 (Lighting Service)_Renewable Energy</v>
      </c>
      <c r="B330" s="85" t="s">
        <v>647</v>
      </c>
      <c r="C330" s="83" t="s">
        <v>833</v>
      </c>
      <c r="D330" s="150"/>
      <c r="E330" s="81"/>
      <c r="F330" s="73" t="s">
        <v>649</v>
      </c>
      <c r="G330" s="73">
        <v>0</v>
      </c>
      <c r="H330" s="73">
        <v>6</v>
      </c>
      <c r="I330" s="74" t="s">
        <v>641</v>
      </c>
      <c r="J330" s="75" t="s">
        <v>634</v>
      </c>
      <c r="K330" s="74"/>
      <c r="L330" s="82">
        <v>1</v>
      </c>
      <c r="M330" s="138">
        <v>1</v>
      </c>
      <c r="N330" s="138">
        <v>1</v>
      </c>
      <c r="O330" s="138">
        <v>1</v>
      </c>
      <c r="P330" s="138">
        <v>1</v>
      </c>
      <c r="Q330" s="138">
        <v>1</v>
      </c>
      <c r="R330" s="138">
        <v>1</v>
      </c>
      <c r="S330" s="138">
        <v>1</v>
      </c>
      <c r="T330" s="138">
        <v>1</v>
      </c>
      <c r="U330" s="138">
        <v>1</v>
      </c>
      <c r="V330" s="138">
        <v>1</v>
      </c>
      <c r="W330" s="138">
        <v>1</v>
      </c>
      <c r="X330" s="138">
        <v>1</v>
      </c>
      <c r="Y330" s="138">
        <f t="shared" si="258"/>
        <v>1</v>
      </c>
      <c r="Z330" s="138">
        <f t="shared" si="259"/>
        <v>1</v>
      </c>
      <c r="AA330" s="138">
        <f t="shared" si="260"/>
        <v>1</v>
      </c>
      <c r="AB330" s="138">
        <f t="shared" si="261"/>
        <v>1</v>
      </c>
      <c r="AC330" s="138">
        <f t="shared" si="262"/>
        <v>1</v>
      </c>
      <c r="AD330" s="138">
        <f t="shared" si="263"/>
        <v>1</v>
      </c>
      <c r="AE330" s="138">
        <f t="shared" si="264"/>
        <v>1</v>
      </c>
      <c r="AF330" s="138">
        <f t="shared" si="265"/>
        <v>1</v>
      </c>
      <c r="AG330" s="138">
        <f t="shared" si="266"/>
        <v>1</v>
      </c>
      <c r="AH330" s="138">
        <f t="shared" si="267"/>
        <v>1</v>
      </c>
      <c r="AI330" s="138">
        <f t="shared" si="268"/>
        <v>1</v>
      </c>
      <c r="AJ330" s="138">
        <f t="shared" si="269"/>
        <v>1</v>
      </c>
      <c r="AK330" s="138">
        <f t="shared" si="270"/>
        <v>1</v>
      </c>
      <c r="AL330" s="138">
        <f t="shared" si="271"/>
        <v>1</v>
      </c>
      <c r="AM330" s="138">
        <f t="shared" si="272"/>
        <v>1</v>
      </c>
      <c r="AO330" s="77" t="str">
        <f t="shared" si="229"/>
        <v>DS-5 (Lighting Service)</v>
      </c>
      <c r="AP330" s="78" t="s">
        <v>650</v>
      </c>
      <c r="AQ330" s="77" t="str">
        <f t="shared" si="230"/>
        <v>Renewable Energy</v>
      </c>
      <c r="AR330" s="78" t="str">
        <f t="shared" si="231"/>
        <v>Billing Cycle</v>
      </c>
      <c r="AS330" s="79">
        <f t="shared" si="232"/>
        <v>6</v>
      </c>
      <c r="AT330" s="78">
        <f t="shared" si="233"/>
        <v>1</v>
      </c>
      <c r="AU330" s="78">
        <f t="shared" si="234"/>
        <v>1</v>
      </c>
      <c r="AV330" s="78">
        <f t="shared" si="235"/>
        <v>1</v>
      </c>
      <c r="AW330" s="78">
        <f t="shared" si="236"/>
        <v>1</v>
      </c>
      <c r="AX330" s="78">
        <f t="shared" si="237"/>
        <v>1</v>
      </c>
      <c r="AY330" s="78">
        <f t="shared" si="238"/>
        <v>1</v>
      </c>
      <c r="AZ330" s="78">
        <f t="shared" si="239"/>
        <v>1</v>
      </c>
      <c r="BA330" s="78">
        <f t="shared" si="240"/>
        <v>1</v>
      </c>
      <c r="BB330" s="78">
        <f t="shared" si="241"/>
        <v>1</v>
      </c>
      <c r="BC330" s="78">
        <f t="shared" si="242"/>
        <v>1</v>
      </c>
      <c r="BD330" s="78">
        <f t="shared" si="243"/>
        <v>1</v>
      </c>
      <c r="BE330" s="78">
        <f t="shared" si="244"/>
        <v>1</v>
      </c>
      <c r="BF330" s="78">
        <f t="shared" si="245"/>
        <v>1</v>
      </c>
      <c r="BG330" s="78">
        <f t="shared" si="246"/>
        <v>1</v>
      </c>
      <c r="BH330" s="78">
        <f t="shared" si="247"/>
        <v>1</v>
      </c>
      <c r="BI330" s="78">
        <f t="shared" si="248"/>
        <v>1</v>
      </c>
      <c r="BJ330" s="78">
        <f t="shared" si="249"/>
        <v>1</v>
      </c>
      <c r="BK330" s="78">
        <f t="shared" si="250"/>
        <v>1</v>
      </c>
      <c r="BL330" s="78">
        <f t="shared" si="251"/>
        <v>1</v>
      </c>
      <c r="BM330" s="78">
        <f t="shared" si="252"/>
        <v>1</v>
      </c>
      <c r="BN330" s="78">
        <f t="shared" si="253"/>
        <v>1</v>
      </c>
      <c r="BO330" s="78">
        <f t="shared" si="254"/>
        <v>1</v>
      </c>
      <c r="BP330" s="78">
        <f t="shared" si="255"/>
        <v>1</v>
      </c>
      <c r="BQ330" s="78">
        <f t="shared" si="256"/>
        <v>1</v>
      </c>
      <c r="BR330" s="78">
        <f t="shared" si="257"/>
        <v>1</v>
      </c>
      <c r="BS330" s="77"/>
      <c r="BT330" s="77"/>
    </row>
    <row r="331" spans="1:72" ht="14.1" customHeight="1" x14ac:dyDescent="0.2">
      <c r="A331" s="55" t="str">
        <f t="shared" si="228"/>
        <v>DS-6 (DS-3) Temp. Sensitive DS_Renewable Energy</v>
      </c>
      <c r="B331" s="80" t="s">
        <v>643</v>
      </c>
      <c r="C331" s="83" t="s">
        <v>833</v>
      </c>
      <c r="D331" s="150"/>
      <c r="E331" s="81"/>
      <c r="F331" s="73" t="s">
        <v>649</v>
      </c>
      <c r="G331" s="73">
        <v>0</v>
      </c>
      <c r="H331" s="73">
        <v>6</v>
      </c>
      <c r="I331" s="74" t="s">
        <v>641</v>
      </c>
      <c r="J331" s="75" t="s">
        <v>634</v>
      </c>
      <c r="K331" s="74"/>
      <c r="L331" s="82">
        <v>1</v>
      </c>
      <c r="M331" s="138">
        <v>1</v>
      </c>
      <c r="N331" s="138">
        <v>1</v>
      </c>
      <c r="O331" s="138">
        <v>1</v>
      </c>
      <c r="P331" s="138">
        <v>1</v>
      </c>
      <c r="Q331" s="138">
        <v>1</v>
      </c>
      <c r="R331" s="138">
        <v>1</v>
      </c>
      <c r="S331" s="138">
        <v>1</v>
      </c>
      <c r="T331" s="138">
        <v>1</v>
      </c>
      <c r="U331" s="138">
        <v>1</v>
      </c>
      <c r="V331" s="138">
        <v>1</v>
      </c>
      <c r="W331" s="138">
        <v>1</v>
      </c>
      <c r="X331" s="138">
        <v>1</v>
      </c>
      <c r="Y331" s="138">
        <f t="shared" si="258"/>
        <v>1</v>
      </c>
      <c r="Z331" s="138">
        <f t="shared" si="259"/>
        <v>1</v>
      </c>
      <c r="AA331" s="138">
        <f t="shared" si="260"/>
        <v>1</v>
      </c>
      <c r="AB331" s="138">
        <f t="shared" si="261"/>
        <v>1</v>
      </c>
      <c r="AC331" s="138">
        <f t="shared" si="262"/>
        <v>1</v>
      </c>
      <c r="AD331" s="138">
        <f t="shared" si="263"/>
        <v>1</v>
      </c>
      <c r="AE331" s="138">
        <f t="shared" si="264"/>
        <v>1</v>
      </c>
      <c r="AF331" s="138">
        <f t="shared" si="265"/>
        <v>1</v>
      </c>
      <c r="AG331" s="138">
        <f t="shared" si="266"/>
        <v>1</v>
      </c>
      <c r="AH331" s="138">
        <f t="shared" si="267"/>
        <v>1</v>
      </c>
      <c r="AI331" s="138">
        <f t="shared" si="268"/>
        <v>1</v>
      </c>
      <c r="AJ331" s="138">
        <f t="shared" si="269"/>
        <v>1</v>
      </c>
      <c r="AK331" s="138">
        <f t="shared" si="270"/>
        <v>1</v>
      </c>
      <c r="AL331" s="138">
        <f t="shared" si="271"/>
        <v>1</v>
      </c>
      <c r="AM331" s="138">
        <f t="shared" si="272"/>
        <v>1</v>
      </c>
      <c r="AO331" s="77" t="str">
        <f t="shared" si="229"/>
        <v>DS-6 (DS-3) Temp. Sensitive DS</v>
      </c>
      <c r="AP331" s="78" t="s">
        <v>644</v>
      </c>
      <c r="AQ331" s="77" t="str">
        <f t="shared" si="230"/>
        <v>Renewable Energy</v>
      </c>
      <c r="AR331" s="78" t="str">
        <f t="shared" si="231"/>
        <v>Billing Cycle</v>
      </c>
      <c r="AS331" s="79">
        <f t="shared" si="232"/>
        <v>6</v>
      </c>
      <c r="AT331" s="78">
        <f t="shared" si="233"/>
        <v>1</v>
      </c>
      <c r="AU331" s="78">
        <f t="shared" si="234"/>
        <v>1</v>
      </c>
      <c r="AV331" s="78">
        <f t="shared" si="235"/>
        <v>1</v>
      </c>
      <c r="AW331" s="78">
        <f t="shared" si="236"/>
        <v>1</v>
      </c>
      <c r="AX331" s="78">
        <f t="shared" si="237"/>
        <v>1</v>
      </c>
      <c r="AY331" s="78">
        <f t="shared" si="238"/>
        <v>1</v>
      </c>
      <c r="AZ331" s="78">
        <f t="shared" si="239"/>
        <v>1</v>
      </c>
      <c r="BA331" s="78">
        <f t="shared" si="240"/>
        <v>1</v>
      </c>
      <c r="BB331" s="78">
        <f t="shared" si="241"/>
        <v>1</v>
      </c>
      <c r="BC331" s="78">
        <f t="shared" si="242"/>
        <v>1</v>
      </c>
      <c r="BD331" s="78">
        <f t="shared" si="243"/>
        <v>1</v>
      </c>
      <c r="BE331" s="78">
        <f t="shared" si="244"/>
        <v>1</v>
      </c>
      <c r="BF331" s="78">
        <f t="shared" si="245"/>
        <v>1</v>
      </c>
      <c r="BG331" s="78">
        <f t="shared" si="246"/>
        <v>1</v>
      </c>
      <c r="BH331" s="78">
        <f t="shared" si="247"/>
        <v>1</v>
      </c>
      <c r="BI331" s="78">
        <f t="shared" si="248"/>
        <v>1</v>
      </c>
      <c r="BJ331" s="78">
        <f t="shared" si="249"/>
        <v>1</v>
      </c>
      <c r="BK331" s="78">
        <f t="shared" si="250"/>
        <v>1</v>
      </c>
      <c r="BL331" s="78">
        <f t="shared" si="251"/>
        <v>1</v>
      </c>
      <c r="BM331" s="78">
        <f t="shared" si="252"/>
        <v>1</v>
      </c>
      <c r="BN331" s="78">
        <f t="shared" si="253"/>
        <v>1</v>
      </c>
      <c r="BO331" s="78">
        <f t="shared" si="254"/>
        <v>1</v>
      </c>
      <c r="BP331" s="78">
        <f t="shared" si="255"/>
        <v>1</v>
      </c>
      <c r="BQ331" s="78">
        <f t="shared" si="256"/>
        <v>1</v>
      </c>
      <c r="BR331" s="78">
        <f t="shared" si="257"/>
        <v>1</v>
      </c>
      <c r="BS331" s="77"/>
      <c r="BT331" s="77"/>
    </row>
    <row r="332" spans="1:72" ht="14.1" customHeight="1" x14ac:dyDescent="0.2">
      <c r="A332" s="55" t="str">
        <f t="shared" si="228"/>
        <v>DS-6 (DS-4) Temp. Sensitive DS_Renewable Energy</v>
      </c>
      <c r="B332" s="80" t="s">
        <v>645</v>
      </c>
      <c r="C332" s="83" t="s">
        <v>833</v>
      </c>
      <c r="D332" s="150"/>
      <c r="E332" s="81"/>
      <c r="F332" s="73" t="s">
        <v>649</v>
      </c>
      <c r="G332" s="73">
        <v>0</v>
      </c>
      <c r="H332" s="73">
        <v>6</v>
      </c>
      <c r="I332" s="74" t="s">
        <v>641</v>
      </c>
      <c r="J332" s="75" t="s">
        <v>634</v>
      </c>
      <c r="K332" s="74"/>
      <c r="L332" s="82">
        <v>1</v>
      </c>
      <c r="M332" s="138">
        <v>1</v>
      </c>
      <c r="N332" s="138">
        <v>1</v>
      </c>
      <c r="O332" s="138">
        <v>1</v>
      </c>
      <c r="P332" s="138">
        <v>1</v>
      </c>
      <c r="Q332" s="138">
        <v>1</v>
      </c>
      <c r="R332" s="138">
        <v>1</v>
      </c>
      <c r="S332" s="138">
        <v>1</v>
      </c>
      <c r="T332" s="138">
        <v>1</v>
      </c>
      <c r="U332" s="138">
        <v>1</v>
      </c>
      <c r="V332" s="138">
        <v>1</v>
      </c>
      <c r="W332" s="138">
        <v>1</v>
      </c>
      <c r="X332" s="138">
        <v>1</v>
      </c>
      <c r="Y332" s="138">
        <f t="shared" si="258"/>
        <v>1</v>
      </c>
      <c r="Z332" s="138">
        <f t="shared" si="259"/>
        <v>1</v>
      </c>
      <c r="AA332" s="138">
        <f t="shared" si="260"/>
        <v>1</v>
      </c>
      <c r="AB332" s="138">
        <f t="shared" si="261"/>
        <v>1</v>
      </c>
      <c r="AC332" s="138">
        <f t="shared" si="262"/>
        <v>1</v>
      </c>
      <c r="AD332" s="138">
        <f t="shared" si="263"/>
        <v>1</v>
      </c>
      <c r="AE332" s="138">
        <f t="shared" si="264"/>
        <v>1</v>
      </c>
      <c r="AF332" s="138">
        <f t="shared" si="265"/>
        <v>1</v>
      </c>
      <c r="AG332" s="138">
        <f t="shared" si="266"/>
        <v>1</v>
      </c>
      <c r="AH332" s="138">
        <f t="shared" si="267"/>
        <v>1</v>
      </c>
      <c r="AI332" s="138">
        <f t="shared" si="268"/>
        <v>1</v>
      </c>
      <c r="AJ332" s="138">
        <f t="shared" si="269"/>
        <v>1</v>
      </c>
      <c r="AK332" s="138">
        <f t="shared" si="270"/>
        <v>1</v>
      </c>
      <c r="AL332" s="138">
        <f t="shared" si="271"/>
        <v>1</v>
      </c>
      <c r="AM332" s="138">
        <f t="shared" si="272"/>
        <v>1</v>
      </c>
      <c r="AO332" s="77" t="str">
        <f t="shared" si="229"/>
        <v>DS-6 (DS-4) Temp. Sensitive DS</v>
      </c>
      <c r="AP332" s="78" t="s">
        <v>646</v>
      </c>
      <c r="AQ332" s="77" t="str">
        <f t="shared" si="230"/>
        <v>Renewable Energy</v>
      </c>
      <c r="AR332" s="78" t="str">
        <f t="shared" si="231"/>
        <v>Billing Cycle</v>
      </c>
      <c r="AS332" s="79">
        <f t="shared" si="232"/>
        <v>6</v>
      </c>
      <c r="AT332" s="78">
        <f t="shared" si="233"/>
        <v>1</v>
      </c>
      <c r="AU332" s="78">
        <f t="shared" si="234"/>
        <v>1</v>
      </c>
      <c r="AV332" s="78">
        <f t="shared" si="235"/>
        <v>1</v>
      </c>
      <c r="AW332" s="78">
        <f t="shared" si="236"/>
        <v>1</v>
      </c>
      <c r="AX332" s="78">
        <f t="shared" si="237"/>
        <v>1</v>
      </c>
      <c r="AY332" s="78">
        <f t="shared" si="238"/>
        <v>1</v>
      </c>
      <c r="AZ332" s="78">
        <f t="shared" si="239"/>
        <v>1</v>
      </c>
      <c r="BA332" s="78">
        <f t="shared" si="240"/>
        <v>1</v>
      </c>
      <c r="BB332" s="78">
        <f t="shared" si="241"/>
        <v>1</v>
      </c>
      <c r="BC332" s="78">
        <f t="shared" si="242"/>
        <v>1</v>
      </c>
      <c r="BD332" s="78">
        <f t="shared" si="243"/>
        <v>1</v>
      </c>
      <c r="BE332" s="78">
        <f t="shared" si="244"/>
        <v>1</v>
      </c>
      <c r="BF332" s="78">
        <f t="shared" si="245"/>
        <v>1</v>
      </c>
      <c r="BG332" s="78">
        <f t="shared" si="246"/>
        <v>1</v>
      </c>
      <c r="BH332" s="78">
        <f t="shared" si="247"/>
        <v>1</v>
      </c>
      <c r="BI332" s="78">
        <f t="shared" si="248"/>
        <v>1</v>
      </c>
      <c r="BJ332" s="78">
        <f t="shared" si="249"/>
        <v>1</v>
      </c>
      <c r="BK332" s="78">
        <f t="shared" si="250"/>
        <v>1</v>
      </c>
      <c r="BL332" s="78">
        <f t="shared" si="251"/>
        <v>1</v>
      </c>
      <c r="BM332" s="78">
        <f t="shared" si="252"/>
        <v>1</v>
      </c>
      <c r="BN332" s="78">
        <f t="shared" si="253"/>
        <v>1</v>
      </c>
      <c r="BO332" s="78">
        <f t="shared" si="254"/>
        <v>1</v>
      </c>
      <c r="BP332" s="78">
        <f t="shared" si="255"/>
        <v>1</v>
      </c>
      <c r="BQ332" s="78">
        <f t="shared" si="256"/>
        <v>1</v>
      </c>
      <c r="BR332" s="78">
        <f t="shared" si="257"/>
        <v>1</v>
      </c>
      <c r="BS332" s="77"/>
      <c r="BT332" s="77"/>
    </row>
    <row r="333" spans="1:72" ht="14.1" customHeight="1" x14ac:dyDescent="0.2">
      <c r="A333" s="55" t="str">
        <f t="shared" si="228"/>
        <v>GDS-1 (Residential)_Renewable Energy</v>
      </c>
      <c r="B333" s="80" t="s">
        <v>95</v>
      </c>
      <c r="C333" s="83" t="s">
        <v>833</v>
      </c>
      <c r="D333" s="150" t="s">
        <v>557</v>
      </c>
      <c r="E333" s="81"/>
      <c r="F333" s="73" t="s">
        <v>649</v>
      </c>
      <c r="G333" s="73">
        <v>0</v>
      </c>
      <c r="H333" s="73">
        <v>6</v>
      </c>
      <c r="I333" s="74" t="s">
        <v>641</v>
      </c>
      <c r="J333" s="75" t="s">
        <v>634</v>
      </c>
      <c r="K333" s="74"/>
      <c r="L333" s="82">
        <v>0</v>
      </c>
      <c r="M333" s="138">
        <v>0</v>
      </c>
      <c r="N333" s="138">
        <v>0</v>
      </c>
      <c r="O333" s="138">
        <v>0</v>
      </c>
      <c r="P333" s="138">
        <v>0</v>
      </c>
      <c r="Q333" s="138">
        <v>0</v>
      </c>
      <c r="R333" s="138">
        <v>0</v>
      </c>
      <c r="S333" s="138">
        <v>0</v>
      </c>
      <c r="T333" s="138">
        <v>0</v>
      </c>
      <c r="U333" s="138">
        <v>0</v>
      </c>
      <c r="V333" s="138">
        <v>0</v>
      </c>
      <c r="W333" s="138">
        <v>0</v>
      </c>
      <c r="X333" s="138">
        <v>0</v>
      </c>
      <c r="Y333" s="138">
        <f t="shared" si="258"/>
        <v>0</v>
      </c>
      <c r="Z333" s="138">
        <f t="shared" si="259"/>
        <v>0</v>
      </c>
      <c r="AA333" s="138">
        <f t="shared" si="260"/>
        <v>0</v>
      </c>
      <c r="AB333" s="138">
        <f t="shared" si="261"/>
        <v>0</v>
      </c>
      <c r="AC333" s="138">
        <f t="shared" si="262"/>
        <v>0</v>
      </c>
      <c r="AD333" s="138">
        <f t="shared" si="263"/>
        <v>0</v>
      </c>
      <c r="AE333" s="138">
        <f t="shared" si="264"/>
        <v>0</v>
      </c>
      <c r="AF333" s="138">
        <f t="shared" si="265"/>
        <v>0</v>
      </c>
      <c r="AG333" s="138">
        <f t="shared" si="266"/>
        <v>0</v>
      </c>
      <c r="AH333" s="138">
        <f t="shared" si="267"/>
        <v>0</v>
      </c>
      <c r="AI333" s="138">
        <f t="shared" si="268"/>
        <v>0</v>
      </c>
      <c r="AJ333" s="138">
        <f t="shared" si="269"/>
        <v>0</v>
      </c>
      <c r="AK333" s="138">
        <f t="shared" si="270"/>
        <v>0</v>
      </c>
      <c r="AL333" s="138">
        <f t="shared" si="271"/>
        <v>0</v>
      </c>
      <c r="AM333" s="138">
        <f t="shared" si="272"/>
        <v>0</v>
      </c>
      <c r="AO333" s="77" t="str">
        <f t="shared" si="229"/>
        <v>GDS-1 (Residential)</v>
      </c>
      <c r="AP333" s="78" t="s">
        <v>668</v>
      </c>
      <c r="AQ333" s="77" t="str">
        <f t="shared" si="230"/>
        <v>Renewable Energy</v>
      </c>
      <c r="AR333" s="78" t="str">
        <f t="shared" si="231"/>
        <v>Billing Cycle</v>
      </c>
      <c r="AS333" s="79">
        <f t="shared" si="232"/>
        <v>6</v>
      </c>
      <c r="AT333" s="78">
        <f t="shared" si="233"/>
        <v>0</v>
      </c>
      <c r="AU333" s="78">
        <f t="shared" si="234"/>
        <v>0</v>
      </c>
      <c r="AV333" s="78">
        <f t="shared" si="235"/>
        <v>0</v>
      </c>
      <c r="AW333" s="78">
        <f t="shared" si="236"/>
        <v>0</v>
      </c>
      <c r="AX333" s="78">
        <f t="shared" si="237"/>
        <v>0</v>
      </c>
      <c r="AY333" s="78">
        <f t="shared" si="238"/>
        <v>0</v>
      </c>
      <c r="AZ333" s="78">
        <f t="shared" si="239"/>
        <v>0</v>
      </c>
      <c r="BA333" s="78">
        <f t="shared" si="240"/>
        <v>0</v>
      </c>
      <c r="BB333" s="78">
        <f t="shared" si="241"/>
        <v>0</v>
      </c>
      <c r="BC333" s="78">
        <f t="shared" si="242"/>
        <v>0</v>
      </c>
      <c r="BD333" s="78">
        <f t="shared" si="243"/>
        <v>0</v>
      </c>
      <c r="BE333" s="78">
        <f t="shared" si="244"/>
        <v>0</v>
      </c>
      <c r="BF333" s="78">
        <f t="shared" si="245"/>
        <v>0</v>
      </c>
      <c r="BG333" s="78">
        <f t="shared" si="246"/>
        <v>0</v>
      </c>
      <c r="BH333" s="78">
        <f t="shared" si="247"/>
        <v>0</v>
      </c>
      <c r="BI333" s="78">
        <f t="shared" si="248"/>
        <v>0</v>
      </c>
      <c r="BJ333" s="78">
        <f t="shared" si="249"/>
        <v>0</v>
      </c>
      <c r="BK333" s="78">
        <f t="shared" si="250"/>
        <v>0</v>
      </c>
      <c r="BL333" s="78">
        <f t="shared" si="251"/>
        <v>0</v>
      </c>
      <c r="BM333" s="78">
        <f t="shared" si="252"/>
        <v>0</v>
      </c>
      <c r="BN333" s="78">
        <f t="shared" si="253"/>
        <v>0</v>
      </c>
      <c r="BO333" s="78">
        <f t="shared" si="254"/>
        <v>0</v>
      </c>
      <c r="BP333" s="78">
        <f t="shared" si="255"/>
        <v>0</v>
      </c>
      <c r="BQ333" s="78">
        <f t="shared" si="256"/>
        <v>0</v>
      </c>
      <c r="BR333" s="78">
        <f t="shared" si="257"/>
        <v>0</v>
      </c>
      <c r="BS333" s="77"/>
      <c r="BT333" s="77"/>
    </row>
    <row r="334" spans="1:72" ht="14.1" customHeight="1" x14ac:dyDescent="0.2">
      <c r="A334" s="55" t="str">
        <f t="shared" si="228"/>
        <v>GDS-2 (Small General Delivery)_Renewable Energy</v>
      </c>
      <c r="B334" s="80" t="s">
        <v>669</v>
      </c>
      <c r="C334" s="83" t="s">
        <v>833</v>
      </c>
      <c r="D334" s="150"/>
      <c r="E334" s="81"/>
      <c r="F334" s="73" t="s">
        <v>649</v>
      </c>
      <c r="G334" s="73">
        <v>0</v>
      </c>
      <c r="H334" s="73">
        <v>6</v>
      </c>
      <c r="I334" s="74" t="s">
        <v>641</v>
      </c>
      <c r="J334" s="75" t="s">
        <v>634</v>
      </c>
      <c r="K334" s="74"/>
      <c r="L334" s="82">
        <v>1</v>
      </c>
      <c r="M334" s="138">
        <v>1</v>
      </c>
      <c r="N334" s="138">
        <v>1</v>
      </c>
      <c r="O334" s="138">
        <v>1</v>
      </c>
      <c r="P334" s="138">
        <v>1</v>
      </c>
      <c r="Q334" s="138">
        <v>1</v>
      </c>
      <c r="R334" s="138">
        <v>1</v>
      </c>
      <c r="S334" s="138">
        <v>1</v>
      </c>
      <c r="T334" s="138">
        <v>1</v>
      </c>
      <c r="U334" s="138">
        <v>1</v>
      </c>
      <c r="V334" s="138">
        <v>1</v>
      </c>
      <c r="W334" s="138">
        <v>1</v>
      </c>
      <c r="X334" s="138">
        <v>1</v>
      </c>
      <c r="Y334" s="138">
        <f t="shared" si="258"/>
        <v>1</v>
      </c>
      <c r="Z334" s="138">
        <f t="shared" si="259"/>
        <v>1</v>
      </c>
      <c r="AA334" s="138">
        <f t="shared" si="260"/>
        <v>1</v>
      </c>
      <c r="AB334" s="138">
        <f t="shared" si="261"/>
        <v>1</v>
      </c>
      <c r="AC334" s="138">
        <f t="shared" si="262"/>
        <v>1</v>
      </c>
      <c r="AD334" s="138">
        <f t="shared" si="263"/>
        <v>1</v>
      </c>
      <c r="AE334" s="138">
        <f t="shared" si="264"/>
        <v>1</v>
      </c>
      <c r="AF334" s="138">
        <f t="shared" si="265"/>
        <v>1</v>
      </c>
      <c r="AG334" s="138">
        <f t="shared" si="266"/>
        <v>1</v>
      </c>
      <c r="AH334" s="138">
        <f t="shared" si="267"/>
        <v>1</v>
      </c>
      <c r="AI334" s="138">
        <f t="shared" si="268"/>
        <v>1</v>
      </c>
      <c r="AJ334" s="138">
        <f t="shared" si="269"/>
        <v>1</v>
      </c>
      <c r="AK334" s="138">
        <f t="shared" si="270"/>
        <v>1</v>
      </c>
      <c r="AL334" s="138">
        <f t="shared" si="271"/>
        <v>1</v>
      </c>
      <c r="AM334" s="138">
        <f t="shared" si="272"/>
        <v>1</v>
      </c>
      <c r="AO334" s="77" t="str">
        <f t="shared" si="229"/>
        <v>GDS-2 (Small General Delivery)</v>
      </c>
      <c r="AP334" s="78" t="s">
        <v>670</v>
      </c>
      <c r="AQ334" s="77" t="str">
        <f t="shared" si="230"/>
        <v>Renewable Energy</v>
      </c>
      <c r="AR334" s="78" t="str">
        <f t="shared" si="231"/>
        <v>Billing Cycle</v>
      </c>
      <c r="AS334" s="79">
        <f t="shared" si="232"/>
        <v>6</v>
      </c>
      <c r="AT334" s="78">
        <f t="shared" si="233"/>
        <v>1</v>
      </c>
      <c r="AU334" s="78">
        <f t="shared" si="234"/>
        <v>1</v>
      </c>
      <c r="AV334" s="78">
        <f t="shared" si="235"/>
        <v>1</v>
      </c>
      <c r="AW334" s="78">
        <f t="shared" si="236"/>
        <v>1</v>
      </c>
      <c r="AX334" s="78">
        <f t="shared" si="237"/>
        <v>1</v>
      </c>
      <c r="AY334" s="78">
        <f t="shared" si="238"/>
        <v>1</v>
      </c>
      <c r="AZ334" s="78">
        <f t="shared" si="239"/>
        <v>1</v>
      </c>
      <c r="BA334" s="78">
        <f t="shared" si="240"/>
        <v>1</v>
      </c>
      <c r="BB334" s="78">
        <f t="shared" si="241"/>
        <v>1</v>
      </c>
      <c r="BC334" s="78">
        <f t="shared" si="242"/>
        <v>1</v>
      </c>
      <c r="BD334" s="78">
        <f t="shared" si="243"/>
        <v>1</v>
      </c>
      <c r="BE334" s="78">
        <f t="shared" si="244"/>
        <v>1</v>
      </c>
      <c r="BF334" s="78">
        <f t="shared" si="245"/>
        <v>1</v>
      </c>
      <c r="BG334" s="78">
        <f t="shared" si="246"/>
        <v>1</v>
      </c>
      <c r="BH334" s="78">
        <f t="shared" si="247"/>
        <v>1</v>
      </c>
      <c r="BI334" s="78">
        <f t="shared" si="248"/>
        <v>1</v>
      </c>
      <c r="BJ334" s="78">
        <f t="shared" si="249"/>
        <v>1</v>
      </c>
      <c r="BK334" s="78">
        <f t="shared" si="250"/>
        <v>1</v>
      </c>
      <c r="BL334" s="78">
        <f t="shared" si="251"/>
        <v>1</v>
      </c>
      <c r="BM334" s="78">
        <f t="shared" si="252"/>
        <v>1</v>
      </c>
      <c r="BN334" s="78">
        <f t="shared" si="253"/>
        <v>1</v>
      </c>
      <c r="BO334" s="78">
        <f t="shared" si="254"/>
        <v>1</v>
      </c>
      <c r="BP334" s="78">
        <f t="shared" si="255"/>
        <v>1</v>
      </c>
      <c r="BQ334" s="78">
        <f t="shared" si="256"/>
        <v>1</v>
      </c>
      <c r="BR334" s="78">
        <f t="shared" si="257"/>
        <v>1</v>
      </c>
      <c r="BS334" s="77"/>
      <c r="BT334" s="77"/>
    </row>
    <row r="335" spans="1:72" ht="14.1" customHeight="1" x14ac:dyDescent="0.2">
      <c r="A335" s="55" t="str">
        <f t="shared" si="228"/>
        <v>GDS-3 (Intermediate General Delivery)_Renewable Energy</v>
      </c>
      <c r="B335" s="80" t="s">
        <v>671</v>
      </c>
      <c r="C335" s="83" t="s">
        <v>833</v>
      </c>
      <c r="D335" s="150"/>
      <c r="E335" s="81"/>
      <c r="F335" s="73" t="s">
        <v>649</v>
      </c>
      <c r="G335" s="73">
        <v>0</v>
      </c>
      <c r="H335" s="73">
        <v>6</v>
      </c>
      <c r="I335" s="74" t="s">
        <v>641</v>
      </c>
      <c r="J335" s="75" t="s">
        <v>634</v>
      </c>
      <c r="K335" s="74"/>
      <c r="L335" s="82">
        <v>1</v>
      </c>
      <c r="M335" s="138">
        <v>1</v>
      </c>
      <c r="N335" s="138">
        <v>1</v>
      </c>
      <c r="O335" s="138">
        <v>1</v>
      </c>
      <c r="P335" s="138">
        <v>1</v>
      </c>
      <c r="Q335" s="138">
        <v>1</v>
      </c>
      <c r="R335" s="138">
        <v>1</v>
      </c>
      <c r="S335" s="138">
        <v>1</v>
      </c>
      <c r="T335" s="138">
        <v>1</v>
      </c>
      <c r="U335" s="138">
        <v>1</v>
      </c>
      <c r="V335" s="138">
        <v>1</v>
      </c>
      <c r="W335" s="138">
        <v>1</v>
      </c>
      <c r="X335" s="138">
        <v>1</v>
      </c>
      <c r="Y335" s="138">
        <f t="shared" si="258"/>
        <v>1</v>
      </c>
      <c r="Z335" s="138">
        <f t="shared" si="259"/>
        <v>1</v>
      </c>
      <c r="AA335" s="138">
        <f t="shared" si="260"/>
        <v>1</v>
      </c>
      <c r="AB335" s="138">
        <f t="shared" si="261"/>
        <v>1</v>
      </c>
      <c r="AC335" s="138">
        <f t="shared" si="262"/>
        <v>1</v>
      </c>
      <c r="AD335" s="138">
        <f t="shared" si="263"/>
        <v>1</v>
      </c>
      <c r="AE335" s="138">
        <f t="shared" si="264"/>
        <v>1</v>
      </c>
      <c r="AF335" s="138">
        <f t="shared" si="265"/>
        <v>1</v>
      </c>
      <c r="AG335" s="138">
        <f t="shared" si="266"/>
        <v>1</v>
      </c>
      <c r="AH335" s="138">
        <f t="shared" si="267"/>
        <v>1</v>
      </c>
      <c r="AI335" s="138">
        <f t="shared" si="268"/>
        <v>1</v>
      </c>
      <c r="AJ335" s="138">
        <f t="shared" si="269"/>
        <v>1</v>
      </c>
      <c r="AK335" s="138">
        <f t="shared" si="270"/>
        <v>1</v>
      </c>
      <c r="AL335" s="138">
        <f t="shared" si="271"/>
        <v>1</v>
      </c>
      <c r="AM335" s="138">
        <f t="shared" si="272"/>
        <v>1</v>
      </c>
      <c r="AO335" s="77" t="str">
        <f t="shared" si="229"/>
        <v>GDS-3 (Intermediate General Delivery)</v>
      </c>
      <c r="AP335" s="78" t="s">
        <v>672</v>
      </c>
      <c r="AQ335" s="77" t="str">
        <f t="shared" si="230"/>
        <v>Renewable Energy</v>
      </c>
      <c r="AR335" s="78" t="str">
        <f t="shared" si="231"/>
        <v>Billing Cycle</v>
      </c>
      <c r="AS335" s="79">
        <f t="shared" si="232"/>
        <v>6</v>
      </c>
      <c r="AT335" s="78">
        <f t="shared" si="233"/>
        <v>1</v>
      </c>
      <c r="AU335" s="78">
        <f t="shared" si="234"/>
        <v>1</v>
      </c>
      <c r="AV335" s="78">
        <f t="shared" si="235"/>
        <v>1</v>
      </c>
      <c r="AW335" s="78">
        <f t="shared" si="236"/>
        <v>1</v>
      </c>
      <c r="AX335" s="78">
        <f t="shared" si="237"/>
        <v>1</v>
      </c>
      <c r="AY335" s="78">
        <f t="shared" si="238"/>
        <v>1</v>
      </c>
      <c r="AZ335" s="78">
        <f t="shared" si="239"/>
        <v>1</v>
      </c>
      <c r="BA335" s="78">
        <f t="shared" si="240"/>
        <v>1</v>
      </c>
      <c r="BB335" s="78">
        <f t="shared" si="241"/>
        <v>1</v>
      </c>
      <c r="BC335" s="78">
        <f t="shared" si="242"/>
        <v>1</v>
      </c>
      <c r="BD335" s="78">
        <f t="shared" si="243"/>
        <v>1</v>
      </c>
      <c r="BE335" s="78">
        <f t="shared" si="244"/>
        <v>1</v>
      </c>
      <c r="BF335" s="78">
        <f t="shared" si="245"/>
        <v>1</v>
      </c>
      <c r="BG335" s="78">
        <f t="shared" si="246"/>
        <v>1</v>
      </c>
      <c r="BH335" s="78">
        <f t="shared" si="247"/>
        <v>1</v>
      </c>
      <c r="BI335" s="78">
        <f t="shared" si="248"/>
        <v>1</v>
      </c>
      <c r="BJ335" s="78">
        <f t="shared" si="249"/>
        <v>1</v>
      </c>
      <c r="BK335" s="78">
        <f t="shared" si="250"/>
        <v>1</v>
      </c>
      <c r="BL335" s="78">
        <f t="shared" si="251"/>
        <v>1</v>
      </c>
      <c r="BM335" s="78">
        <f t="shared" si="252"/>
        <v>1</v>
      </c>
      <c r="BN335" s="78">
        <f t="shared" si="253"/>
        <v>1</v>
      </c>
      <c r="BO335" s="78">
        <f t="shared" si="254"/>
        <v>1</v>
      </c>
      <c r="BP335" s="78">
        <f t="shared" si="255"/>
        <v>1</v>
      </c>
      <c r="BQ335" s="78">
        <f t="shared" si="256"/>
        <v>1</v>
      </c>
      <c r="BR335" s="78">
        <f t="shared" si="257"/>
        <v>1</v>
      </c>
      <c r="BS335" s="77"/>
      <c r="BT335" s="77"/>
    </row>
    <row r="336" spans="1:72" ht="15" x14ac:dyDescent="0.2">
      <c r="A336" s="55" t="str">
        <f t="shared" si="228"/>
        <v>GDS-4 (Large General Delivery)_Renewable Energy</v>
      </c>
      <c r="B336" s="80" t="s">
        <v>673</v>
      </c>
      <c r="C336" s="83" t="s">
        <v>833</v>
      </c>
      <c r="D336" s="150"/>
      <c r="E336" s="81"/>
      <c r="F336" s="73" t="s">
        <v>649</v>
      </c>
      <c r="G336" s="73">
        <v>0</v>
      </c>
      <c r="H336" s="73">
        <v>6</v>
      </c>
      <c r="I336" s="74" t="s">
        <v>641</v>
      </c>
      <c r="J336" s="75" t="s">
        <v>634</v>
      </c>
      <c r="K336" s="74"/>
      <c r="L336" s="82">
        <v>1</v>
      </c>
      <c r="M336" s="138">
        <v>1</v>
      </c>
      <c r="N336" s="138">
        <v>1</v>
      </c>
      <c r="O336" s="138">
        <v>1</v>
      </c>
      <c r="P336" s="138">
        <v>1</v>
      </c>
      <c r="Q336" s="138">
        <v>1</v>
      </c>
      <c r="R336" s="138">
        <v>1</v>
      </c>
      <c r="S336" s="138">
        <v>1</v>
      </c>
      <c r="T336" s="138">
        <v>1</v>
      </c>
      <c r="U336" s="138">
        <v>1</v>
      </c>
      <c r="V336" s="138">
        <v>1</v>
      </c>
      <c r="W336" s="138">
        <v>1</v>
      </c>
      <c r="X336" s="138">
        <v>1</v>
      </c>
      <c r="Y336" s="138">
        <f t="shared" si="258"/>
        <v>1</v>
      </c>
      <c r="Z336" s="138">
        <f t="shared" si="259"/>
        <v>1</v>
      </c>
      <c r="AA336" s="138">
        <f t="shared" si="260"/>
        <v>1</v>
      </c>
      <c r="AB336" s="138">
        <f t="shared" si="261"/>
        <v>1</v>
      </c>
      <c r="AC336" s="138">
        <f t="shared" si="262"/>
        <v>1</v>
      </c>
      <c r="AD336" s="138">
        <f t="shared" si="263"/>
        <v>1</v>
      </c>
      <c r="AE336" s="138">
        <f t="shared" si="264"/>
        <v>1</v>
      </c>
      <c r="AF336" s="138">
        <f t="shared" si="265"/>
        <v>1</v>
      </c>
      <c r="AG336" s="138">
        <f t="shared" si="266"/>
        <v>1</v>
      </c>
      <c r="AH336" s="138">
        <f t="shared" si="267"/>
        <v>1</v>
      </c>
      <c r="AI336" s="138">
        <f t="shared" si="268"/>
        <v>1</v>
      </c>
      <c r="AJ336" s="138">
        <f t="shared" si="269"/>
        <v>1</v>
      </c>
      <c r="AK336" s="138">
        <f t="shared" si="270"/>
        <v>1</v>
      </c>
      <c r="AL336" s="138">
        <f t="shared" si="271"/>
        <v>1</v>
      </c>
      <c r="AM336" s="138">
        <f t="shared" si="272"/>
        <v>1</v>
      </c>
      <c r="AO336" s="77" t="str">
        <f t="shared" si="229"/>
        <v>GDS-4 (Large General Delivery)</v>
      </c>
      <c r="AP336" s="78" t="s">
        <v>674</v>
      </c>
      <c r="AQ336" s="77" t="str">
        <f t="shared" si="230"/>
        <v>Renewable Energy</v>
      </c>
      <c r="AR336" s="78" t="str">
        <f t="shared" si="231"/>
        <v>Billing Cycle</v>
      </c>
      <c r="AS336" s="79">
        <f t="shared" si="232"/>
        <v>6</v>
      </c>
      <c r="AT336" s="78">
        <f t="shared" si="233"/>
        <v>1</v>
      </c>
      <c r="AU336" s="78">
        <f t="shared" si="234"/>
        <v>1</v>
      </c>
      <c r="AV336" s="78">
        <f t="shared" si="235"/>
        <v>1</v>
      </c>
      <c r="AW336" s="78">
        <f t="shared" si="236"/>
        <v>1</v>
      </c>
      <c r="AX336" s="78">
        <f t="shared" si="237"/>
        <v>1</v>
      </c>
      <c r="AY336" s="78">
        <f t="shared" si="238"/>
        <v>1</v>
      </c>
      <c r="AZ336" s="78">
        <f t="shared" si="239"/>
        <v>1</v>
      </c>
      <c r="BA336" s="78">
        <f t="shared" si="240"/>
        <v>1</v>
      </c>
      <c r="BB336" s="78">
        <f t="shared" si="241"/>
        <v>1</v>
      </c>
      <c r="BC336" s="78">
        <f t="shared" si="242"/>
        <v>1</v>
      </c>
      <c r="BD336" s="78">
        <f t="shared" si="243"/>
        <v>1</v>
      </c>
      <c r="BE336" s="78">
        <f t="shared" si="244"/>
        <v>1</v>
      </c>
      <c r="BF336" s="78">
        <f t="shared" si="245"/>
        <v>1</v>
      </c>
      <c r="BG336" s="78">
        <f t="shared" si="246"/>
        <v>1</v>
      </c>
      <c r="BH336" s="78">
        <f t="shared" si="247"/>
        <v>1</v>
      </c>
      <c r="BI336" s="78">
        <f t="shared" si="248"/>
        <v>1</v>
      </c>
      <c r="BJ336" s="78">
        <f t="shared" si="249"/>
        <v>1</v>
      </c>
      <c r="BK336" s="78">
        <f t="shared" si="250"/>
        <v>1</v>
      </c>
      <c r="BL336" s="78">
        <f t="shared" si="251"/>
        <v>1</v>
      </c>
      <c r="BM336" s="78">
        <f t="shared" si="252"/>
        <v>1</v>
      </c>
      <c r="BN336" s="78">
        <f t="shared" si="253"/>
        <v>1</v>
      </c>
      <c r="BO336" s="78">
        <f t="shared" si="254"/>
        <v>1</v>
      </c>
      <c r="BP336" s="78">
        <f t="shared" si="255"/>
        <v>1</v>
      </c>
      <c r="BQ336" s="78">
        <f t="shared" si="256"/>
        <v>1</v>
      </c>
      <c r="BR336" s="78">
        <f t="shared" si="257"/>
        <v>1</v>
      </c>
      <c r="BS336" s="77"/>
      <c r="BT336" s="77"/>
    </row>
    <row r="337" spans="1:72" ht="14.1" customHeight="1" x14ac:dyDescent="0.2">
      <c r="A337" s="55" t="str">
        <f t="shared" si="228"/>
        <v>GDS-5 (Seasonal)_Renewable Energy</v>
      </c>
      <c r="B337" s="80" t="s">
        <v>675</v>
      </c>
      <c r="C337" s="83" t="s">
        <v>833</v>
      </c>
      <c r="D337" s="150"/>
      <c r="E337" s="81"/>
      <c r="F337" s="73" t="s">
        <v>649</v>
      </c>
      <c r="G337" s="73">
        <v>0</v>
      </c>
      <c r="H337" s="73">
        <v>6</v>
      </c>
      <c r="I337" s="74" t="s">
        <v>641</v>
      </c>
      <c r="J337" s="75" t="s">
        <v>634</v>
      </c>
      <c r="K337" s="74"/>
      <c r="L337" s="82">
        <v>1</v>
      </c>
      <c r="M337" s="138">
        <v>1</v>
      </c>
      <c r="N337" s="138">
        <v>1</v>
      </c>
      <c r="O337" s="138">
        <v>1</v>
      </c>
      <c r="P337" s="138">
        <v>1</v>
      </c>
      <c r="Q337" s="138">
        <v>1</v>
      </c>
      <c r="R337" s="138">
        <v>1</v>
      </c>
      <c r="S337" s="138">
        <v>1</v>
      </c>
      <c r="T337" s="138">
        <v>1</v>
      </c>
      <c r="U337" s="138">
        <v>1</v>
      </c>
      <c r="V337" s="138">
        <v>1</v>
      </c>
      <c r="W337" s="138">
        <v>1</v>
      </c>
      <c r="X337" s="138">
        <v>1</v>
      </c>
      <c r="Y337" s="138">
        <f t="shared" si="258"/>
        <v>1</v>
      </c>
      <c r="Z337" s="138">
        <f t="shared" si="259"/>
        <v>1</v>
      </c>
      <c r="AA337" s="138">
        <f t="shared" si="260"/>
        <v>1</v>
      </c>
      <c r="AB337" s="138">
        <f t="shared" si="261"/>
        <v>1</v>
      </c>
      <c r="AC337" s="138">
        <f t="shared" si="262"/>
        <v>1</v>
      </c>
      <c r="AD337" s="138">
        <f t="shared" si="263"/>
        <v>1</v>
      </c>
      <c r="AE337" s="138">
        <f t="shared" si="264"/>
        <v>1</v>
      </c>
      <c r="AF337" s="138">
        <f t="shared" si="265"/>
        <v>1</v>
      </c>
      <c r="AG337" s="138">
        <f t="shared" si="266"/>
        <v>1</v>
      </c>
      <c r="AH337" s="138">
        <f t="shared" si="267"/>
        <v>1</v>
      </c>
      <c r="AI337" s="138">
        <f t="shared" si="268"/>
        <v>1</v>
      </c>
      <c r="AJ337" s="138">
        <f t="shared" si="269"/>
        <v>1</v>
      </c>
      <c r="AK337" s="138">
        <f t="shared" si="270"/>
        <v>1</v>
      </c>
      <c r="AL337" s="138">
        <f t="shared" si="271"/>
        <v>1</v>
      </c>
      <c r="AM337" s="138">
        <f t="shared" si="272"/>
        <v>1</v>
      </c>
      <c r="AO337" s="77" t="str">
        <f t="shared" si="229"/>
        <v>GDS-5 (Seasonal)</v>
      </c>
      <c r="AP337" s="78" t="s">
        <v>676</v>
      </c>
      <c r="AQ337" s="77" t="str">
        <f t="shared" si="230"/>
        <v>Renewable Energy</v>
      </c>
      <c r="AR337" s="78" t="str">
        <f t="shared" si="231"/>
        <v>Billing Cycle</v>
      </c>
      <c r="AS337" s="79">
        <f t="shared" si="232"/>
        <v>6</v>
      </c>
      <c r="AT337" s="78">
        <f t="shared" si="233"/>
        <v>1</v>
      </c>
      <c r="AU337" s="78">
        <f t="shared" si="234"/>
        <v>1</v>
      </c>
      <c r="AV337" s="78">
        <f t="shared" si="235"/>
        <v>1</v>
      </c>
      <c r="AW337" s="78">
        <f t="shared" si="236"/>
        <v>1</v>
      </c>
      <c r="AX337" s="78">
        <f t="shared" si="237"/>
        <v>1</v>
      </c>
      <c r="AY337" s="78">
        <f t="shared" si="238"/>
        <v>1</v>
      </c>
      <c r="AZ337" s="78">
        <f t="shared" si="239"/>
        <v>1</v>
      </c>
      <c r="BA337" s="78">
        <f t="shared" si="240"/>
        <v>1</v>
      </c>
      <c r="BB337" s="78">
        <f t="shared" si="241"/>
        <v>1</v>
      </c>
      <c r="BC337" s="78">
        <f t="shared" si="242"/>
        <v>1</v>
      </c>
      <c r="BD337" s="78">
        <f t="shared" si="243"/>
        <v>1</v>
      </c>
      <c r="BE337" s="78">
        <f t="shared" si="244"/>
        <v>1</v>
      </c>
      <c r="BF337" s="78">
        <f t="shared" si="245"/>
        <v>1</v>
      </c>
      <c r="BG337" s="78">
        <f t="shared" si="246"/>
        <v>1</v>
      </c>
      <c r="BH337" s="78">
        <f t="shared" si="247"/>
        <v>1</v>
      </c>
      <c r="BI337" s="78">
        <f t="shared" si="248"/>
        <v>1</v>
      </c>
      <c r="BJ337" s="78">
        <f t="shared" si="249"/>
        <v>1</v>
      </c>
      <c r="BK337" s="78">
        <f t="shared" si="250"/>
        <v>1</v>
      </c>
      <c r="BL337" s="78">
        <f t="shared" si="251"/>
        <v>1</v>
      </c>
      <c r="BM337" s="78">
        <f t="shared" si="252"/>
        <v>1</v>
      </c>
      <c r="BN337" s="78">
        <f t="shared" si="253"/>
        <v>1</v>
      </c>
      <c r="BO337" s="78">
        <f t="shared" si="254"/>
        <v>1</v>
      </c>
      <c r="BP337" s="78">
        <f t="shared" si="255"/>
        <v>1</v>
      </c>
      <c r="BQ337" s="78">
        <f t="shared" si="256"/>
        <v>1</v>
      </c>
      <c r="BR337" s="78">
        <f t="shared" si="257"/>
        <v>1</v>
      </c>
      <c r="BS337" s="77"/>
      <c r="BT337" s="77"/>
    </row>
    <row r="338" spans="1:72" ht="14.1" customHeight="1" x14ac:dyDescent="0.2">
      <c r="A338" s="55" t="str">
        <f t="shared" si="228"/>
        <v>DS-3 (General Delivery Service)_Renewable Energy - Tier 3</v>
      </c>
      <c r="B338" s="80" t="s">
        <v>666</v>
      </c>
      <c r="C338" s="83" t="s">
        <v>834</v>
      </c>
      <c r="D338" s="150"/>
      <c r="E338" s="81"/>
      <c r="F338" s="73" t="s">
        <v>649</v>
      </c>
      <c r="G338" s="73">
        <v>0</v>
      </c>
      <c r="H338" s="73">
        <v>6</v>
      </c>
      <c r="I338" s="74" t="s">
        <v>641</v>
      </c>
      <c r="J338" s="75" t="s">
        <v>634</v>
      </c>
      <c r="K338" s="74"/>
      <c r="L338" s="82">
        <v>38</v>
      </c>
      <c r="M338" s="138">
        <v>38</v>
      </c>
      <c r="N338" s="138">
        <v>38</v>
      </c>
      <c r="O338" s="138">
        <v>38</v>
      </c>
      <c r="P338" s="138">
        <v>38</v>
      </c>
      <c r="Q338" s="138">
        <v>38</v>
      </c>
      <c r="R338" s="138">
        <v>38</v>
      </c>
      <c r="S338" s="138">
        <v>38</v>
      </c>
      <c r="T338" s="138">
        <v>38</v>
      </c>
      <c r="U338" s="138">
        <v>38</v>
      </c>
      <c r="V338" s="138">
        <v>38</v>
      </c>
      <c r="W338" s="138">
        <v>38</v>
      </c>
      <c r="X338" s="138">
        <v>38</v>
      </c>
      <c r="Y338" s="138">
        <f t="shared" si="258"/>
        <v>38</v>
      </c>
      <c r="Z338" s="138">
        <f t="shared" si="259"/>
        <v>38</v>
      </c>
      <c r="AA338" s="138">
        <f t="shared" si="260"/>
        <v>38</v>
      </c>
      <c r="AB338" s="138">
        <f t="shared" si="261"/>
        <v>38</v>
      </c>
      <c r="AC338" s="138">
        <f t="shared" si="262"/>
        <v>38</v>
      </c>
      <c r="AD338" s="138">
        <f t="shared" si="263"/>
        <v>38</v>
      </c>
      <c r="AE338" s="138">
        <f t="shared" si="264"/>
        <v>38</v>
      </c>
      <c r="AF338" s="138">
        <f t="shared" si="265"/>
        <v>38</v>
      </c>
      <c r="AG338" s="138">
        <f t="shared" si="266"/>
        <v>38</v>
      </c>
      <c r="AH338" s="138">
        <f t="shared" si="267"/>
        <v>38</v>
      </c>
      <c r="AI338" s="138">
        <f t="shared" si="268"/>
        <v>38</v>
      </c>
      <c r="AJ338" s="138">
        <f t="shared" si="269"/>
        <v>38</v>
      </c>
      <c r="AK338" s="138">
        <f t="shared" si="270"/>
        <v>38</v>
      </c>
      <c r="AL338" s="138">
        <f t="shared" si="271"/>
        <v>38</v>
      </c>
      <c r="AM338" s="138">
        <f t="shared" si="272"/>
        <v>38</v>
      </c>
      <c r="AO338" s="77" t="str">
        <f t="shared" si="229"/>
        <v>DS-3 (General Delivery Service)</v>
      </c>
      <c r="AP338" s="78" t="s">
        <v>667</v>
      </c>
      <c r="AQ338" s="77" t="str">
        <f t="shared" si="230"/>
        <v>Renewable Energy - Tier 3</v>
      </c>
      <c r="AR338" s="78" t="str">
        <f t="shared" si="231"/>
        <v>Billing Cycle</v>
      </c>
      <c r="AS338" s="79">
        <f t="shared" si="232"/>
        <v>6</v>
      </c>
      <c r="AT338" s="78">
        <f t="shared" si="233"/>
        <v>38</v>
      </c>
      <c r="AU338" s="78">
        <f t="shared" si="234"/>
        <v>38</v>
      </c>
      <c r="AV338" s="78">
        <f t="shared" si="235"/>
        <v>38</v>
      </c>
      <c r="AW338" s="78">
        <f t="shared" si="236"/>
        <v>38</v>
      </c>
      <c r="AX338" s="78">
        <f t="shared" si="237"/>
        <v>38</v>
      </c>
      <c r="AY338" s="78">
        <f t="shared" si="238"/>
        <v>38</v>
      </c>
      <c r="AZ338" s="78">
        <f t="shared" si="239"/>
        <v>38</v>
      </c>
      <c r="BA338" s="78">
        <f t="shared" si="240"/>
        <v>38</v>
      </c>
      <c r="BB338" s="78">
        <f t="shared" si="241"/>
        <v>38</v>
      </c>
      <c r="BC338" s="78">
        <f t="shared" si="242"/>
        <v>38</v>
      </c>
      <c r="BD338" s="78">
        <f t="shared" si="243"/>
        <v>38</v>
      </c>
      <c r="BE338" s="78">
        <f t="shared" si="244"/>
        <v>38</v>
      </c>
      <c r="BF338" s="78">
        <f t="shared" si="245"/>
        <v>38</v>
      </c>
      <c r="BG338" s="78">
        <f t="shared" si="246"/>
        <v>38</v>
      </c>
      <c r="BH338" s="78">
        <f t="shared" si="247"/>
        <v>38</v>
      </c>
      <c r="BI338" s="78">
        <f t="shared" si="248"/>
        <v>38</v>
      </c>
      <c r="BJ338" s="78">
        <f t="shared" si="249"/>
        <v>38</v>
      </c>
      <c r="BK338" s="78">
        <f t="shared" si="250"/>
        <v>38</v>
      </c>
      <c r="BL338" s="78">
        <f t="shared" si="251"/>
        <v>38</v>
      </c>
      <c r="BM338" s="78">
        <f t="shared" si="252"/>
        <v>38</v>
      </c>
      <c r="BN338" s="78">
        <f t="shared" si="253"/>
        <v>38</v>
      </c>
      <c r="BO338" s="78">
        <f t="shared" si="254"/>
        <v>38</v>
      </c>
      <c r="BP338" s="78">
        <f t="shared" si="255"/>
        <v>38</v>
      </c>
      <c r="BQ338" s="78">
        <f t="shared" si="256"/>
        <v>38</v>
      </c>
      <c r="BR338" s="78">
        <f t="shared" si="257"/>
        <v>38</v>
      </c>
      <c r="BS338" s="77"/>
      <c r="BT338" s="77"/>
    </row>
    <row r="339" spans="1:72" ht="14.1" customHeight="1" x14ac:dyDescent="0.2">
      <c r="A339" s="55" t="str">
        <f t="shared" si="228"/>
        <v>DS-4 (Large General Service)_Renewable Energy - Tier 3</v>
      </c>
      <c r="B339" s="85" t="s">
        <v>639</v>
      </c>
      <c r="C339" s="83" t="s">
        <v>834</v>
      </c>
      <c r="D339" s="150"/>
      <c r="E339" s="81"/>
      <c r="F339" s="73" t="s">
        <v>649</v>
      </c>
      <c r="G339" s="73">
        <v>0</v>
      </c>
      <c r="H339" s="73">
        <v>6</v>
      </c>
      <c r="I339" s="74" t="s">
        <v>641</v>
      </c>
      <c r="J339" s="75" t="s">
        <v>634</v>
      </c>
      <c r="K339" s="74"/>
      <c r="L339" s="82">
        <v>38</v>
      </c>
      <c r="M339" s="138">
        <v>38</v>
      </c>
      <c r="N339" s="138">
        <v>38</v>
      </c>
      <c r="O339" s="138">
        <v>38</v>
      </c>
      <c r="P339" s="138">
        <v>38</v>
      </c>
      <c r="Q339" s="138">
        <v>38</v>
      </c>
      <c r="R339" s="138">
        <v>38</v>
      </c>
      <c r="S339" s="138">
        <v>38</v>
      </c>
      <c r="T339" s="138">
        <v>38</v>
      </c>
      <c r="U339" s="138">
        <v>38</v>
      </c>
      <c r="V339" s="138">
        <v>38</v>
      </c>
      <c r="W339" s="138">
        <v>38</v>
      </c>
      <c r="X339" s="138">
        <v>38</v>
      </c>
      <c r="Y339" s="138">
        <f t="shared" si="258"/>
        <v>38</v>
      </c>
      <c r="Z339" s="138">
        <f t="shared" si="259"/>
        <v>38</v>
      </c>
      <c r="AA339" s="138">
        <f t="shared" si="260"/>
        <v>38</v>
      </c>
      <c r="AB339" s="138">
        <f t="shared" si="261"/>
        <v>38</v>
      </c>
      <c r="AC339" s="138">
        <f t="shared" si="262"/>
        <v>38</v>
      </c>
      <c r="AD339" s="138">
        <f t="shared" si="263"/>
        <v>38</v>
      </c>
      <c r="AE339" s="138">
        <f t="shared" si="264"/>
        <v>38</v>
      </c>
      <c r="AF339" s="138">
        <f t="shared" si="265"/>
        <v>38</v>
      </c>
      <c r="AG339" s="138">
        <f t="shared" si="266"/>
        <v>38</v>
      </c>
      <c r="AH339" s="138">
        <f t="shared" si="267"/>
        <v>38</v>
      </c>
      <c r="AI339" s="138">
        <f t="shared" si="268"/>
        <v>38</v>
      </c>
      <c r="AJ339" s="138">
        <f t="shared" si="269"/>
        <v>38</v>
      </c>
      <c r="AK339" s="138">
        <f t="shared" si="270"/>
        <v>38</v>
      </c>
      <c r="AL339" s="138">
        <f t="shared" si="271"/>
        <v>38</v>
      </c>
      <c r="AM339" s="138">
        <f t="shared" si="272"/>
        <v>38</v>
      </c>
      <c r="AO339" s="77" t="str">
        <f t="shared" si="229"/>
        <v>DS-4 (Large General Service)</v>
      </c>
      <c r="AP339" s="78" t="s">
        <v>642</v>
      </c>
      <c r="AQ339" s="77" t="str">
        <f t="shared" si="230"/>
        <v>Renewable Energy - Tier 3</v>
      </c>
      <c r="AR339" s="78" t="str">
        <f t="shared" si="231"/>
        <v>Billing Cycle</v>
      </c>
      <c r="AS339" s="79">
        <f t="shared" si="232"/>
        <v>6</v>
      </c>
      <c r="AT339" s="78">
        <f t="shared" si="233"/>
        <v>38</v>
      </c>
      <c r="AU339" s="78">
        <f t="shared" si="234"/>
        <v>38</v>
      </c>
      <c r="AV339" s="78">
        <f t="shared" si="235"/>
        <v>38</v>
      </c>
      <c r="AW339" s="78">
        <f t="shared" si="236"/>
        <v>38</v>
      </c>
      <c r="AX339" s="78">
        <f t="shared" si="237"/>
        <v>38</v>
      </c>
      <c r="AY339" s="78">
        <f t="shared" si="238"/>
        <v>38</v>
      </c>
      <c r="AZ339" s="78">
        <f t="shared" si="239"/>
        <v>38</v>
      </c>
      <c r="BA339" s="78">
        <f t="shared" si="240"/>
        <v>38</v>
      </c>
      <c r="BB339" s="78">
        <f t="shared" si="241"/>
        <v>38</v>
      </c>
      <c r="BC339" s="78">
        <f t="shared" si="242"/>
        <v>38</v>
      </c>
      <c r="BD339" s="78">
        <f t="shared" si="243"/>
        <v>38</v>
      </c>
      <c r="BE339" s="78">
        <f t="shared" si="244"/>
        <v>38</v>
      </c>
      <c r="BF339" s="78">
        <f t="shared" si="245"/>
        <v>38</v>
      </c>
      <c r="BG339" s="78">
        <f t="shared" si="246"/>
        <v>38</v>
      </c>
      <c r="BH339" s="78">
        <f t="shared" si="247"/>
        <v>38</v>
      </c>
      <c r="BI339" s="78">
        <f t="shared" si="248"/>
        <v>38</v>
      </c>
      <c r="BJ339" s="78">
        <f t="shared" si="249"/>
        <v>38</v>
      </c>
      <c r="BK339" s="78">
        <f t="shared" si="250"/>
        <v>38</v>
      </c>
      <c r="BL339" s="78">
        <f t="shared" si="251"/>
        <v>38</v>
      </c>
      <c r="BM339" s="78">
        <f t="shared" si="252"/>
        <v>38</v>
      </c>
      <c r="BN339" s="78">
        <f t="shared" si="253"/>
        <v>38</v>
      </c>
      <c r="BO339" s="78">
        <f t="shared" si="254"/>
        <v>38</v>
      </c>
      <c r="BP339" s="78">
        <f t="shared" si="255"/>
        <v>38</v>
      </c>
      <c r="BQ339" s="78">
        <f t="shared" si="256"/>
        <v>38</v>
      </c>
      <c r="BR339" s="78">
        <f t="shared" si="257"/>
        <v>38</v>
      </c>
      <c r="BS339" s="77"/>
      <c r="BT339" s="77"/>
    </row>
    <row r="340" spans="1:72" ht="14.1" customHeight="1" x14ac:dyDescent="0.2">
      <c r="A340" s="55" t="str">
        <f t="shared" si="228"/>
        <v>GDS-3 (Intermediate General Delivery)_Renewable Energy - Tier 3</v>
      </c>
      <c r="B340" s="80" t="s">
        <v>671</v>
      </c>
      <c r="C340" s="83" t="s">
        <v>834</v>
      </c>
      <c r="D340" s="150"/>
      <c r="E340" s="81"/>
      <c r="F340" s="73" t="s">
        <v>649</v>
      </c>
      <c r="G340" s="73">
        <v>0</v>
      </c>
      <c r="H340" s="73">
        <v>6</v>
      </c>
      <c r="I340" s="74" t="s">
        <v>641</v>
      </c>
      <c r="J340" s="75" t="s">
        <v>634</v>
      </c>
      <c r="K340" s="74"/>
      <c r="L340" s="82">
        <v>38</v>
      </c>
      <c r="M340" s="138">
        <v>38</v>
      </c>
      <c r="N340" s="138">
        <v>38</v>
      </c>
      <c r="O340" s="138">
        <v>38</v>
      </c>
      <c r="P340" s="138">
        <v>38</v>
      </c>
      <c r="Q340" s="138">
        <v>38</v>
      </c>
      <c r="R340" s="138">
        <v>38</v>
      </c>
      <c r="S340" s="138">
        <v>38</v>
      </c>
      <c r="T340" s="138">
        <v>38</v>
      </c>
      <c r="U340" s="138">
        <v>38</v>
      </c>
      <c r="V340" s="138">
        <v>38</v>
      </c>
      <c r="W340" s="138">
        <v>38</v>
      </c>
      <c r="X340" s="138">
        <v>38</v>
      </c>
      <c r="Y340" s="138">
        <f t="shared" si="258"/>
        <v>38</v>
      </c>
      <c r="Z340" s="138">
        <f t="shared" si="259"/>
        <v>38</v>
      </c>
      <c r="AA340" s="138">
        <f t="shared" si="260"/>
        <v>38</v>
      </c>
      <c r="AB340" s="138">
        <f t="shared" si="261"/>
        <v>38</v>
      </c>
      <c r="AC340" s="138">
        <f t="shared" si="262"/>
        <v>38</v>
      </c>
      <c r="AD340" s="138">
        <f t="shared" si="263"/>
        <v>38</v>
      </c>
      <c r="AE340" s="138">
        <f t="shared" si="264"/>
        <v>38</v>
      </c>
      <c r="AF340" s="138">
        <f t="shared" si="265"/>
        <v>38</v>
      </c>
      <c r="AG340" s="138">
        <f t="shared" si="266"/>
        <v>38</v>
      </c>
      <c r="AH340" s="138">
        <f t="shared" si="267"/>
        <v>38</v>
      </c>
      <c r="AI340" s="138">
        <f t="shared" si="268"/>
        <v>38</v>
      </c>
      <c r="AJ340" s="138">
        <f t="shared" si="269"/>
        <v>38</v>
      </c>
      <c r="AK340" s="138">
        <f t="shared" si="270"/>
        <v>38</v>
      </c>
      <c r="AL340" s="138">
        <f t="shared" si="271"/>
        <v>38</v>
      </c>
      <c r="AM340" s="138">
        <f t="shared" si="272"/>
        <v>38</v>
      </c>
      <c r="AO340" s="77" t="str">
        <f t="shared" si="229"/>
        <v>GDS-3 (Intermediate General Delivery)</v>
      </c>
      <c r="AP340" s="78" t="s">
        <v>672</v>
      </c>
      <c r="AQ340" s="77" t="str">
        <f t="shared" si="230"/>
        <v>Renewable Energy - Tier 3</v>
      </c>
      <c r="AR340" s="78" t="str">
        <f t="shared" si="231"/>
        <v>Billing Cycle</v>
      </c>
      <c r="AS340" s="79">
        <f t="shared" si="232"/>
        <v>6</v>
      </c>
      <c r="AT340" s="78">
        <f t="shared" si="233"/>
        <v>38</v>
      </c>
      <c r="AU340" s="78">
        <f t="shared" si="234"/>
        <v>38</v>
      </c>
      <c r="AV340" s="78">
        <f t="shared" si="235"/>
        <v>38</v>
      </c>
      <c r="AW340" s="78">
        <f t="shared" si="236"/>
        <v>38</v>
      </c>
      <c r="AX340" s="78">
        <f t="shared" si="237"/>
        <v>38</v>
      </c>
      <c r="AY340" s="78">
        <f t="shared" si="238"/>
        <v>38</v>
      </c>
      <c r="AZ340" s="78">
        <f t="shared" si="239"/>
        <v>38</v>
      </c>
      <c r="BA340" s="78">
        <f t="shared" si="240"/>
        <v>38</v>
      </c>
      <c r="BB340" s="78">
        <f t="shared" si="241"/>
        <v>38</v>
      </c>
      <c r="BC340" s="78">
        <f t="shared" si="242"/>
        <v>38</v>
      </c>
      <c r="BD340" s="78">
        <f t="shared" si="243"/>
        <v>38</v>
      </c>
      <c r="BE340" s="78">
        <f t="shared" si="244"/>
        <v>38</v>
      </c>
      <c r="BF340" s="78">
        <f t="shared" si="245"/>
        <v>38</v>
      </c>
      <c r="BG340" s="78">
        <f t="shared" si="246"/>
        <v>38</v>
      </c>
      <c r="BH340" s="78">
        <f t="shared" si="247"/>
        <v>38</v>
      </c>
      <c r="BI340" s="78">
        <f t="shared" si="248"/>
        <v>38</v>
      </c>
      <c r="BJ340" s="78">
        <f t="shared" si="249"/>
        <v>38</v>
      </c>
      <c r="BK340" s="78">
        <f t="shared" si="250"/>
        <v>38</v>
      </c>
      <c r="BL340" s="78">
        <f t="shared" si="251"/>
        <v>38</v>
      </c>
      <c r="BM340" s="78">
        <f t="shared" si="252"/>
        <v>38</v>
      </c>
      <c r="BN340" s="78">
        <f t="shared" si="253"/>
        <v>38</v>
      </c>
      <c r="BO340" s="78">
        <f t="shared" si="254"/>
        <v>38</v>
      </c>
      <c r="BP340" s="78">
        <f t="shared" si="255"/>
        <v>38</v>
      </c>
      <c r="BQ340" s="78">
        <f t="shared" si="256"/>
        <v>38</v>
      </c>
      <c r="BR340" s="78">
        <f t="shared" si="257"/>
        <v>38</v>
      </c>
      <c r="BS340" s="77"/>
      <c r="BT340" s="77"/>
    </row>
    <row r="341" spans="1:72" ht="14.1" customHeight="1" x14ac:dyDescent="0.2">
      <c r="A341" s="55" t="str">
        <f t="shared" si="228"/>
        <v>GDS-4 (Large General Delivery)_Renewable Energy - Tier 3</v>
      </c>
      <c r="B341" s="80" t="s">
        <v>673</v>
      </c>
      <c r="C341" s="83" t="s">
        <v>834</v>
      </c>
      <c r="D341" s="150"/>
      <c r="E341" s="81"/>
      <c r="F341" s="73" t="s">
        <v>649</v>
      </c>
      <c r="G341" s="73">
        <v>0</v>
      </c>
      <c r="H341" s="73">
        <v>6</v>
      </c>
      <c r="I341" s="74" t="s">
        <v>641</v>
      </c>
      <c r="J341" s="75" t="s">
        <v>634</v>
      </c>
      <c r="K341" s="74"/>
      <c r="L341" s="82">
        <v>38</v>
      </c>
      <c r="M341" s="138">
        <v>38</v>
      </c>
      <c r="N341" s="138">
        <v>38</v>
      </c>
      <c r="O341" s="138">
        <v>38</v>
      </c>
      <c r="P341" s="138">
        <v>38</v>
      </c>
      <c r="Q341" s="138">
        <v>38</v>
      </c>
      <c r="R341" s="138">
        <v>38</v>
      </c>
      <c r="S341" s="138">
        <v>38</v>
      </c>
      <c r="T341" s="138">
        <v>38</v>
      </c>
      <c r="U341" s="138">
        <v>38</v>
      </c>
      <c r="V341" s="138">
        <v>38</v>
      </c>
      <c r="W341" s="138">
        <v>38</v>
      </c>
      <c r="X341" s="138">
        <v>38</v>
      </c>
      <c r="Y341" s="138">
        <f t="shared" si="258"/>
        <v>38</v>
      </c>
      <c r="Z341" s="138">
        <f t="shared" si="259"/>
        <v>38</v>
      </c>
      <c r="AA341" s="138">
        <f t="shared" si="260"/>
        <v>38</v>
      </c>
      <c r="AB341" s="138">
        <f t="shared" si="261"/>
        <v>38</v>
      </c>
      <c r="AC341" s="138">
        <f t="shared" si="262"/>
        <v>38</v>
      </c>
      <c r="AD341" s="138">
        <f t="shared" si="263"/>
        <v>38</v>
      </c>
      <c r="AE341" s="138">
        <f t="shared" si="264"/>
        <v>38</v>
      </c>
      <c r="AF341" s="138">
        <f t="shared" si="265"/>
        <v>38</v>
      </c>
      <c r="AG341" s="138">
        <f t="shared" si="266"/>
        <v>38</v>
      </c>
      <c r="AH341" s="138">
        <f t="shared" si="267"/>
        <v>38</v>
      </c>
      <c r="AI341" s="138">
        <f t="shared" si="268"/>
        <v>38</v>
      </c>
      <c r="AJ341" s="138">
        <f t="shared" si="269"/>
        <v>38</v>
      </c>
      <c r="AK341" s="138">
        <f t="shared" si="270"/>
        <v>38</v>
      </c>
      <c r="AL341" s="138">
        <f t="shared" si="271"/>
        <v>38</v>
      </c>
      <c r="AM341" s="138">
        <f t="shared" si="272"/>
        <v>38</v>
      </c>
      <c r="AO341" s="77" t="str">
        <f t="shared" si="229"/>
        <v>GDS-4 (Large General Delivery)</v>
      </c>
      <c r="AP341" s="78" t="s">
        <v>674</v>
      </c>
      <c r="AQ341" s="77" t="str">
        <f t="shared" si="230"/>
        <v>Renewable Energy - Tier 3</v>
      </c>
      <c r="AR341" s="78" t="str">
        <f t="shared" si="231"/>
        <v>Billing Cycle</v>
      </c>
      <c r="AS341" s="79">
        <f t="shared" si="232"/>
        <v>6</v>
      </c>
      <c r="AT341" s="78">
        <f t="shared" si="233"/>
        <v>38</v>
      </c>
      <c r="AU341" s="78">
        <f t="shared" si="234"/>
        <v>38</v>
      </c>
      <c r="AV341" s="78">
        <f t="shared" si="235"/>
        <v>38</v>
      </c>
      <c r="AW341" s="78">
        <f t="shared" si="236"/>
        <v>38</v>
      </c>
      <c r="AX341" s="78">
        <f t="shared" si="237"/>
        <v>38</v>
      </c>
      <c r="AY341" s="78">
        <f t="shared" si="238"/>
        <v>38</v>
      </c>
      <c r="AZ341" s="78">
        <f t="shared" si="239"/>
        <v>38</v>
      </c>
      <c r="BA341" s="78">
        <f t="shared" si="240"/>
        <v>38</v>
      </c>
      <c r="BB341" s="78">
        <f t="shared" si="241"/>
        <v>38</v>
      </c>
      <c r="BC341" s="78">
        <f t="shared" si="242"/>
        <v>38</v>
      </c>
      <c r="BD341" s="78">
        <f t="shared" si="243"/>
        <v>38</v>
      </c>
      <c r="BE341" s="78">
        <f t="shared" si="244"/>
        <v>38</v>
      </c>
      <c r="BF341" s="78">
        <f t="shared" si="245"/>
        <v>38</v>
      </c>
      <c r="BG341" s="78">
        <f t="shared" si="246"/>
        <v>38</v>
      </c>
      <c r="BH341" s="78">
        <f t="shared" si="247"/>
        <v>38</v>
      </c>
      <c r="BI341" s="78">
        <f t="shared" si="248"/>
        <v>38</v>
      </c>
      <c r="BJ341" s="78">
        <f t="shared" si="249"/>
        <v>38</v>
      </c>
      <c r="BK341" s="78">
        <f t="shared" si="250"/>
        <v>38</v>
      </c>
      <c r="BL341" s="78">
        <f t="shared" si="251"/>
        <v>38</v>
      </c>
      <c r="BM341" s="78">
        <f t="shared" si="252"/>
        <v>38</v>
      </c>
      <c r="BN341" s="78">
        <f t="shared" si="253"/>
        <v>38</v>
      </c>
      <c r="BO341" s="78">
        <f t="shared" si="254"/>
        <v>38</v>
      </c>
      <c r="BP341" s="78">
        <f t="shared" si="255"/>
        <v>38</v>
      </c>
      <c r="BQ341" s="78">
        <f t="shared" si="256"/>
        <v>38</v>
      </c>
      <c r="BR341" s="78">
        <f t="shared" si="257"/>
        <v>38</v>
      </c>
      <c r="BS341" s="77"/>
      <c r="BT341" s="77"/>
    </row>
    <row r="342" spans="1:72" ht="14.1" customHeight="1" x14ac:dyDescent="0.2">
      <c r="A342" s="55" t="str">
        <f t="shared" si="228"/>
        <v>GDS-5 (Seasonal)_Renewable Energy - Tier 3</v>
      </c>
      <c r="B342" s="80" t="s">
        <v>675</v>
      </c>
      <c r="C342" s="83" t="s">
        <v>834</v>
      </c>
      <c r="D342" s="150"/>
      <c r="E342" s="81"/>
      <c r="F342" s="73" t="s">
        <v>649</v>
      </c>
      <c r="G342" s="73">
        <v>0</v>
      </c>
      <c r="H342" s="73">
        <v>6</v>
      </c>
      <c r="I342" s="74" t="s">
        <v>641</v>
      </c>
      <c r="J342" s="75" t="s">
        <v>634</v>
      </c>
      <c r="K342" s="74"/>
      <c r="L342" s="82">
        <v>38</v>
      </c>
      <c r="M342" s="138">
        <v>38</v>
      </c>
      <c r="N342" s="138">
        <v>38</v>
      </c>
      <c r="O342" s="138">
        <v>38</v>
      </c>
      <c r="P342" s="138">
        <v>38</v>
      </c>
      <c r="Q342" s="138">
        <v>38</v>
      </c>
      <c r="R342" s="138">
        <v>38</v>
      </c>
      <c r="S342" s="138">
        <v>38</v>
      </c>
      <c r="T342" s="138">
        <v>38</v>
      </c>
      <c r="U342" s="138">
        <v>38</v>
      </c>
      <c r="V342" s="138">
        <v>38</v>
      </c>
      <c r="W342" s="138">
        <v>38</v>
      </c>
      <c r="X342" s="138">
        <v>38</v>
      </c>
      <c r="Y342" s="138">
        <f t="shared" si="258"/>
        <v>38</v>
      </c>
      <c r="Z342" s="138">
        <f t="shared" si="259"/>
        <v>38</v>
      </c>
      <c r="AA342" s="138">
        <f t="shared" si="260"/>
        <v>38</v>
      </c>
      <c r="AB342" s="138">
        <f t="shared" si="261"/>
        <v>38</v>
      </c>
      <c r="AC342" s="138">
        <f t="shared" si="262"/>
        <v>38</v>
      </c>
      <c r="AD342" s="138">
        <f t="shared" si="263"/>
        <v>38</v>
      </c>
      <c r="AE342" s="138">
        <f t="shared" si="264"/>
        <v>38</v>
      </c>
      <c r="AF342" s="138">
        <f t="shared" si="265"/>
        <v>38</v>
      </c>
      <c r="AG342" s="138">
        <f t="shared" si="266"/>
        <v>38</v>
      </c>
      <c r="AH342" s="138">
        <f t="shared" si="267"/>
        <v>38</v>
      </c>
      <c r="AI342" s="138">
        <f t="shared" si="268"/>
        <v>38</v>
      </c>
      <c r="AJ342" s="138">
        <f t="shared" si="269"/>
        <v>38</v>
      </c>
      <c r="AK342" s="138">
        <f t="shared" si="270"/>
        <v>38</v>
      </c>
      <c r="AL342" s="138">
        <f t="shared" si="271"/>
        <v>38</v>
      </c>
      <c r="AM342" s="138">
        <f t="shared" si="272"/>
        <v>38</v>
      </c>
      <c r="AO342" s="77" t="str">
        <f t="shared" si="229"/>
        <v>GDS-5 (Seasonal)</v>
      </c>
      <c r="AP342" s="78" t="s">
        <v>676</v>
      </c>
      <c r="AQ342" s="77" t="str">
        <f t="shared" si="230"/>
        <v>Renewable Energy - Tier 3</v>
      </c>
      <c r="AR342" s="78" t="str">
        <f t="shared" si="231"/>
        <v>Billing Cycle</v>
      </c>
      <c r="AS342" s="79">
        <f t="shared" si="232"/>
        <v>6</v>
      </c>
      <c r="AT342" s="78">
        <f t="shared" si="233"/>
        <v>38</v>
      </c>
      <c r="AU342" s="78">
        <f t="shared" si="234"/>
        <v>38</v>
      </c>
      <c r="AV342" s="78">
        <f t="shared" si="235"/>
        <v>38</v>
      </c>
      <c r="AW342" s="78">
        <f t="shared" si="236"/>
        <v>38</v>
      </c>
      <c r="AX342" s="78">
        <f t="shared" si="237"/>
        <v>38</v>
      </c>
      <c r="AY342" s="78">
        <f t="shared" si="238"/>
        <v>38</v>
      </c>
      <c r="AZ342" s="78">
        <f t="shared" si="239"/>
        <v>38</v>
      </c>
      <c r="BA342" s="78">
        <f t="shared" si="240"/>
        <v>38</v>
      </c>
      <c r="BB342" s="78">
        <f t="shared" si="241"/>
        <v>38</v>
      </c>
      <c r="BC342" s="78">
        <f t="shared" si="242"/>
        <v>38</v>
      </c>
      <c r="BD342" s="78">
        <f t="shared" si="243"/>
        <v>38</v>
      </c>
      <c r="BE342" s="78">
        <f t="shared" si="244"/>
        <v>38</v>
      </c>
      <c r="BF342" s="78">
        <f t="shared" si="245"/>
        <v>38</v>
      </c>
      <c r="BG342" s="78">
        <f t="shared" si="246"/>
        <v>38</v>
      </c>
      <c r="BH342" s="78">
        <f t="shared" si="247"/>
        <v>38</v>
      </c>
      <c r="BI342" s="78">
        <f t="shared" si="248"/>
        <v>38</v>
      </c>
      <c r="BJ342" s="78">
        <f t="shared" si="249"/>
        <v>38</v>
      </c>
      <c r="BK342" s="78">
        <f t="shared" si="250"/>
        <v>38</v>
      </c>
      <c r="BL342" s="78">
        <f t="shared" si="251"/>
        <v>38</v>
      </c>
      <c r="BM342" s="78">
        <f t="shared" si="252"/>
        <v>38</v>
      </c>
      <c r="BN342" s="78">
        <f t="shared" si="253"/>
        <v>38</v>
      </c>
      <c r="BO342" s="78">
        <f t="shared" si="254"/>
        <v>38</v>
      </c>
      <c r="BP342" s="78">
        <f t="shared" si="255"/>
        <v>38</v>
      </c>
      <c r="BQ342" s="78">
        <f t="shared" si="256"/>
        <v>38</v>
      </c>
      <c r="BR342" s="78">
        <f t="shared" si="257"/>
        <v>38</v>
      </c>
      <c r="BS342" s="77"/>
      <c r="BT342" s="77"/>
    </row>
    <row r="343" spans="1:72" ht="14.1" customHeight="1" x14ac:dyDescent="0.2">
      <c r="A343" s="55" t="str">
        <f t="shared" si="228"/>
        <v>DS-1 (Residential)_Rider CEAC - Clean Energy Assistance Charge</v>
      </c>
      <c r="B343" s="80" t="s">
        <v>90</v>
      </c>
      <c r="C343" s="71" t="s">
        <v>835</v>
      </c>
      <c r="D343" s="150" t="s">
        <v>586</v>
      </c>
      <c r="E343" s="81"/>
      <c r="F343" s="73" t="s">
        <v>649</v>
      </c>
      <c r="G343" s="73">
        <v>0</v>
      </c>
      <c r="H343" s="73">
        <v>6</v>
      </c>
      <c r="I343" s="74" t="s">
        <v>641</v>
      </c>
      <c r="J343" s="75" t="s">
        <v>634</v>
      </c>
      <c r="K343" s="74"/>
      <c r="L343" s="82">
        <v>1.83E-3</v>
      </c>
      <c r="M343" s="138">
        <v>1.83E-3</v>
      </c>
      <c r="N343" s="138">
        <v>1.83E-3</v>
      </c>
      <c r="O343" s="138">
        <v>1.83E-3</v>
      </c>
      <c r="P343" s="138">
        <v>1.83E-3</v>
      </c>
      <c r="Q343" s="138">
        <v>1.83E-3</v>
      </c>
      <c r="R343" s="138">
        <v>1.7600000000000001E-3</v>
      </c>
      <c r="S343" s="138">
        <v>1.7600000000000001E-3</v>
      </c>
      <c r="T343" s="138">
        <v>1.7600000000000001E-3</v>
      </c>
      <c r="U343" s="138">
        <v>1.89E-3</v>
      </c>
      <c r="V343" s="138">
        <v>1.89E-3</v>
      </c>
      <c r="W343" s="138">
        <v>1.89E-3</v>
      </c>
      <c r="X343" s="138">
        <v>1.89E-3</v>
      </c>
      <c r="Y343" s="138">
        <f t="shared" si="258"/>
        <v>1.89E-3</v>
      </c>
      <c r="Z343" s="138">
        <f t="shared" si="259"/>
        <v>1.89E-3</v>
      </c>
      <c r="AA343" s="138">
        <f t="shared" si="260"/>
        <v>1.89E-3</v>
      </c>
      <c r="AB343" s="138">
        <f t="shared" si="261"/>
        <v>1.89E-3</v>
      </c>
      <c r="AC343" s="138">
        <f t="shared" si="262"/>
        <v>1.89E-3</v>
      </c>
      <c r="AD343" s="138">
        <f t="shared" si="263"/>
        <v>1.89E-3</v>
      </c>
      <c r="AE343" s="138">
        <f t="shared" si="264"/>
        <v>1.89E-3</v>
      </c>
      <c r="AF343" s="138">
        <f t="shared" si="265"/>
        <v>1.89E-3</v>
      </c>
      <c r="AG343" s="138">
        <f t="shared" si="266"/>
        <v>1.89E-3</v>
      </c>
      <c r="AH343" s="138">
        <f t="shared" si="267"/>
        <v>1.89E-3</v>
      </c>
      <c r="AI343" s="138">
        <f t="shared" si="268"/>
        <v>1.89E-3</v>
      </c>
      <c r="AJ343" s="138">
        <f t="shared" si="269"/>
        <v>1.89E-3</v>
      </c>
      <c r="AK343" s="138">
        <f t="shared" si="270"/>
        <v>1.89E-3</v>
      </c>
      <c r="AL343" s="138">
        <f t="shared" si="271"/>
        <v>1.8899999999999995E-3</v>
      </c>
      <c r="AM343" s="138">
        <f t="shared" si="272"/>
        <v>1.8637500000000006E-3</v>
      </c>
      <c r="AO343" s="77" t="str">
        <f t="shared" si="229"/>
        <v>DS-1 (Residential)</v>
      </c>
      <c r="AP343" s="78" t="s">
        <v>662</v>
      </c>
      <c r="AQ343" s="77" t="str">
        <f t="shared" si="230"/>
        <v>Rider CEAC - Clean Energy Assistance Charge</v>
      </c>
      <c r="AR343" s="78" t="str">
        <f t="shared" si="231"/>
        <v>Billing Cycle</v>
      </c>
      <c r="AS343" s="79">
        <f t="shared" si="232"/>
        <v>6</v>
      </c>
      <c r="AT343" s="78">
        <f t="shared" si="233"/>
        <v>0</v>
      </c>
      <c r="AU343" s="78">
        <f t="shared" si="234"/>
        <v>1.83E-3</v>
      </c>
      <c r="AV343" s="78">
        <f t="shared" si="235"/>
        <v>1.83E-3</v>
      </c>
      <c r="AW343" s="78">
        <f t="shared" si="236"/>
        <v>1.83E-3</v>
      </c>
      <c r="AX343" s="78">
        <f t="shared" si="237"/>
        <v>1.83E-3</v>
      </c>
      <c r="AY343" s="78">
        <f t="shared" si="238"/>
        <v>1.83E-3</v>
      </c>
      <c r="AZ343" s="78">
        <f t="shared" si="239"/>
        <v>1.7600000000000001E-3</v>
      </c>
      <c r="BA343" s="78">
        <f t="shared" si="240"/>
        <v>1.7600000000000001E-3</v>
      </c>
      <c r="BB343" s="78">
        <f t="shared" si="241"/>
        <v>1.7600000000000001E-3</v>
      </c>
      <c r="BC343" s="78">
        <f t="shared" si="242"/>
        <v>1.89E-3</v>
      </c>
      <c r="BD343" s="78">
        <f t="shared" si="243"/>
        <v>1.89E-3</v>
      </c>
      <c r="BE343" s="78">
        <f t="shared" si="244"/>
        <v>1.89E-3</v>
      </c>
      <c r="BF343" s="78">
        <f t="shared" si="245"/>
        <v>1.89E-3</v>
      </c>
      <c r="BG343" s="78">
        <f t="shared" si="246"/>
        <v>1.89E-3</v>
      </c>
      <c r="BH343" s="78">
        <f t="shared" si="247"/>
        <v>1.89E-3</v>
      </c>
      <c r="BI343" s="78">
        <f t="shared" si="248"/>
        <v>1.89E-3</v>
      </c>
      <c r="BJ343" s="78">
        <f t="shared" si="249"/>
        <v>1.89E-3</v>
      </c>
      <c r="BK343" s="78">
        <f t="shared" si="250"/>
        <v>1.89E-3</v>
      </c>
      <c r="BL343" s="78">
        <f t="shared" si="251"/>
        <v>1.89E-3</v>
      </c>
      <c r="BM343" s="78">
        <f t="shared" si="252"/>
        <v>1.89E-3</v>
      </c>
      <c r="BN343" s="78">
        <f t="shared" si="253"/>
        <v>1.89E-3</v>
      </c>
      <c r="BO343" s="78">
        <f t="shared" si="254"/>
        <v>1.89E-3</v>
      </c>
      <c r="BP343" s="78">
        <f t="shared" si="255"/>
        <v>1.89E-3</v>
      </c>
      <c r="BQ343" s="78">
        <f t="shared" si="256"/>
        <v>1.89E-3</v>
      </c>
      <c r="BR343" s="78">
        <f t="shared" si="257"/>
        <v>1.89E-3</v>
      </c>
      <c r="BS343" s="77"/>
      <c r="BT343" s="77"/>
    </row>
    <row r="344" spans="1:72" ht="14.1" customHeight="1" x14ac:dyDescent="0.2">
      <c r="A344" s="55" t="str">
        <f t="shared" si="228"/>
        <v>DS-2 (Small General Service)_Rider CEAC - Clean Energy Assistance Charge</v>
      </c>
      <c r="B344" s="80" t="s">
        <v>665</v>
      </c>
      <c r="C344" s="71" t="s">
        <v>835</v>
      </c>
      <c r="D344" s="150"/>
      <c r="E344" s="81"/>
      <c r="F344" s="73" t="s">
        <v>649</v>
      </c>
      <c r="G344" s="73">
        <v>0</v>
      </c>
      <c r="H344" s="73">
        <v>6</v>
      </c>
      <c r="I344" s="74" t="s">
        <v>641</v>
      </c>
      <c r="J344" s="75" t="s">
        <v>634</v>
      </c>
      <c r="K344" s="74"/>
      <c r="L344" s="82">
        <v>1.83E-3</v>
      </c>
      <c r="M344" s="138">
        <v>1.83E-3</v>
      </c>
      <c r="N344" s="138">
        <v>1.83E-3</v>
      </c>
      <c r="O344" s="138">
        <v>1.83E-3</v>
      </c>
      <c r="P344" s="138">
        <v>1.83E-3</v>
      </c>
      <c r="Q344" s="138">
        <v>1.83E-3</v>
      </c>
      <c r="R344" s="138">
        <v>1.7600000000000001E-3</v>
      </c>
      <c r="S344" s="138">
        <v>1.7600000000000001E-3</v>
      </c>
      <c r="T344" s="138">
        <v>1.7600000000000001E-3</v>
      </c>
      <c r="U344" s="138">
        <v>1.89E-3</v>
      </c>
      <c r="V344" s="138">
        <v>1.89E-3</v>
      </c>
      <c r="W344" s="138">
        <v>1.89E-3</v>
      </c>
      <c r="X344" s="138">
        <v>1.89E-3</v>
      </c>
      <c r="Y344" s="138">
        <f t="shared" si="258"/>
        <v>1.89E-3</v>
      </c>
      <c r="Z344" s="138">
        <f t="shared" si="259"/>
        <v>1.89E-3</v>
      </c>
      <c r="AA344" s="138">
        <f t="shared" si="260"/>
        <v>1.89E-3</v>
      </c>
      <c r="AB344" s="138">
        <f t="shared" si="261"/>
        <v>1.89E-3</v>
      </c>
      <c r="AC344" s="138">
        <f t="shared" si="262"/>
        <v>1.89E-3</v>
      </c>
      <c r="AD344" s="138">
        <f t="shared" si="263"/>
        <v>1.89E-3</v>
      </c>
      <c r="AE344" s="138">
        <f t="shared" si="264"/>
        <v>1.89E-3</v>
      </c>
      <c r="AF344" s="138">
        <f t="shared" si="265"/>
        <v>1.89E-3</v>
      </c>
      <c r="AG344" s="138">
        <f t="shared" si="266"/>
        <v>1.89E-3</v>
      </c>
      <c r="AH344" s="138">
        <f t="shared" si="267"/>
        <v>1.89E-3</v>
      </c>
      <c r="AI344" s="138">
        <f t="shared" si="268"/>
        <v>1.89E-3</v>
      </c>
      <c r="AJ344" s="138">
        <f t="shared" si="269"/>
        <v>1.89E-3</v>
      </c>
      <c r="AK344" s="138">
        <f t="shared" si="270"/>
        <v>1.89E-3</v>
      </c>
      <c r="AL344" s="138">
        <f t="shared" si="271"/>
        <v>1.8899999999999995E-3</v>
      </c>
      <c r="AM344" s="138">
        <f t="shared" si="272"/>
        <v>1.8637500000000006E-3</v>
      </c>
      <c r="AO344" s="77" t="str">
        <f t="shared" si="229"/>
        <v>DS-2 (Small General Service)</v>
      </c>
      <c r="AP344" s="78" t="s">
        <v>664</v>
      </c>
      <c r="AQ344" s="77" t="str">
        <f t="shared" si="230"/>
        <v>Rider CEAC - Clean Energy Assistance Charge</v>
      </c>
      <c r="AR344" s="78" t="str">
        <f t="shared" si="231"/>
        <v>Billing Cycle</v>
      </c>
      <c r="AS344" s="79">
        <f t="shared" si="232"/>
        <v>6</v>
      </c>
      <c r="AT344" s="78">
        <f t="shared" si="233"/>
        <v>0</v>
      </c>
      <c r="AU344" s="78">
        <f t="shared" si="234"/>
        <v>1.83E-3</v>
      </c>
      <c r="AV344" s="78">
        <f t="shared" si="235"/>
        <v>1.83E-3</v>
      </c>
      <c r="AW344" s="78">
        <f t="shared" si="236"/>
        <v>1.83E-3</v>
      </c>
      <c r="AX344" s="78">
        <f t="shared" si="237"/>
        <v>1.83E-3</v>
      </c>
      <c r="AY344" s="78">
        <f t="shared" si="238"/>
        <v>1.83E-3</v>
      </c>
      <c r="AZ344" s="78">
        <f t="shared" si="239"/>
        <v>1.7600000000000001E-3</v>
      </c>
      <c r="BA344" s="78">
        <f t="shared" si="240"/>
        <v>1.7600000000000001E-3</v>
      </c>
      <c r="BB344" s="78">
        <f t="shared" si="241"/>
        <v>1.7600000000000001E-3</v>
      </c>
      <c r="BC344" s="78">
        <f t="shared" si="242"/>
        <v>1.89E-3</v>
      </c>
      <c r="BD344" s="78">
        <f t="shared" si="243"/>
        <v>1.89E-3</v>
      </c>
      <c r="BE344" s="78">
        <f t="shared" si="244"/>
        <v>1.89E-3</v>
      </c>
      <c r="BF344" s="78">
        <f t="shared" si="245"/>
        <v>1.89E-3</v>
      </c>
      <c r="BG344" s="78">
        <f t="shared" si="246"/>
        <v>1.89E-3</v>
      </c>
      <c r="BH344" s="78">
        <f t="shared" si="247"/>
        <v>1.89E-3</v>
      </c>
      <c r="BI344" s="78">
        <f t="shared" si="248"/>
        <v>1.89E-3</v>
      </c>
      <c r="BJ344" s="78">
        <f t="shared" si="249"/>
        <v>1.89E-3</v>
      </c>
      <c r="BK344" s="78">
        <f t="shared" si="250"/>
        <v>1.89E-3</v>
      </c>
      <c r="BL344" s="78">
        <f t="shared" si="251"/>
        <v>1.89E-3</v>
      </c>
      <c r="BM344" s="78">
        <f t="shared" si="252"/>
        <v>1.89E-3</v>
      </c>
      <c r="BN344" s="78">
        <f t="shared" si="253"/>
        <v>1.89E-3</v>
      </c>
      <c r="BO344" s="78">
        <f t="shared" si="254"/>
        <v>1.89E-3</v>
      </c>
      <c r="BP344" s="78">
        <f t="shared" si="255"/>
        <v>1.89E-3</v>
      </c>
      <c r="BQ344" s="78">
        <f t="shared" si="256"/>
        <v>1.89E-3</v>
      </c>
      <c r="BR344" s="78">
        <f t="shared" si="257"/>
        <v>1.89E-3</v>
      </c>
      <c r="BS344" s="77"/>
      <c r="BT344" s="77"/>
    </row>
    <row r="345" spans="1:72" ht="14.1" customHeight="1" x14ac:dyDescent="0.2">
      <c r="A345" s="55" t="str">
        <f t="shared" si="228"/>
        <v>DS-3 (General Delivery Service)_Rider CEAC - Clean Energy Assistance Charge</v>
      </c>
      <c r="B345" s="80" t="s">
        <v>666</v>
      </c>
      <c r="C345" s="71" t="s">
        <v>835</v>
      </c>
      <c r="D345" s="150"/>
      <c r="E345" s="81"/>
      <c r="F345" s="73" t="s">
        <v>649</v>
      </c>
      <c r="G345" s="73">
        <v>0</v>
      </c>
      <c r="H345" s="73">
        <v>6</v>
      </c>
      <c r="I345" s="74" t="s">
        <v>641</v>
      </c>
      <c r="J345" s="75" t="s">
        <v>634</v>
      </c>
      <c r="K345" s="74"/>
      <c r="L345" s="82">
        <v>1.83E-3</v>
      </c>
      <c r="M345" s="138">
        <v>1.83E-3</v>
      </c>
      <c r="N345" s="138">
        <v>1.83E-3</v>
      </c>
      <c r="O345" s="138">
        <v>1.83E-3</v>
      </c>
      <c r="P345" s="138">
        <v>1.83E-3</v>
      </c>
      <c r="Q345" s="138">
        <v>1.83E-3</v>
      </c>
      <c r="R345" s="138">
        <v>1.7600000000000001E-3</v>
      </c>
      <c r="S345" s="138">
        <v>1.7600000000000001E-3</v>
      </c>
      <c r="T345" s="138">
        <v>1.7600000000000001E-3</v>
      </c>
      <c r="U345" s="138">
        <v>1.89E-3</v>
      </c>
      <c r="V345" s="138">
        <v>1.89E-3</v>
      </c>
      <c r="W345" s="138">
        <v>1.89E-3</v>
      </c>
      <c r="X345" s="138">
        <v>1.89E-3</v>
      </c>
      <c r="Y345" s="138">
        <f t="shared" si="258"/>
        <v>1.89E-3</v>
      </c>
      <c r="Z345" s="138">
        <f t="shared" si="259"/>
        <v>1.89E-3</v>
      </c>
      <c r="AA345" s="138">
        <f t="shared" si="260"/>
        <v>1.89E-3</v>
      </c>
      <c r="AB345" s="138">
        <f t="shared" si="261"/>
        <v>1.89E-3</v>
      </c>
      <c r="AC345" s="138">
        <f t="shared" si="262"/>
        <v>1.89E-3</v>
      </c>
      <c r="AD345" s="138">
        <f t="shared" si="263"/>
        <v>1.89E-3</v>
      </c>
      <c r="AE345" s="138">
        <f t="shared" si="264"/>
        <v>1.89E-3</v>
      </c>
      <c r="AF345" s="138">
        <f t="shared" si="265"/>
        <v>1.89E-3</v>
      </c>
      <c r="AG345" s="138">
        <f t="shared" si="266"/>
        <v>1.89E-3</v>
      </c>
      <c r="AH345" s="138">
        <f t="shared" si="267"/>
        <v>1.89E-3</v>
      </c>
      <c r="AI345" s="138">
        <f t="shared" si="268"/>
        <v>1.89E-3</v>
      </c>
      <c r="AJ345" s="138">
        <f t="shared" si="269"/>
        <v>1.89E-3</v>
      </c>
      <c r="AK345" s="138">
        <f t="shared" si="270"/>
        <v>1.89E-3</v>
      </c>
      <c r="AL345" s="138">
        <f t="shared" si="271"/>
        <v>1.8899999999999995E-3</v>
      </c>
      <c r="AM345" s="138">
        <f t="shared" si="272"/>
        <v>1.8637500000000006E-3</v>
      </c>
      <c r="AO345" s="77" t="str">
        <f t="shared" si="229"/>
        <v>DS-3 (General Delivery Service)</v>
      </c>
      <c r="AP345" s="78" t="s">
        <v>667</v>
      </c>
      <c r="AQ345" s="77" t="str">
        <f t="shared" si="230"/>
        <v>Rider CEAC - Clean Energy Assistance Charge</v>
      </c>
      <c r="AR345" s="78" t="str">
        <f t="shared" si="231"/>
        <v>Billing Cycle</v>
      </c>
      <c r="AS345" s="79">
        <f t="shared" si="232"/>
        <v>6</v>
      </c>
      <c r="AT345" s="78">
        <f t="shared" si="233"/>
        <v>0</v>
      </c>
      <c r="AU345" s="78">
        <f t="shared" si="234"/>
        <v>1.83E-3</v>
      </c>
      <c r="AV345" s="78">
        <f t="shared" si="235"/>
        <v>1.83E-3</v>
      </c>
      <c r="AW345" s="78">
        <f t="shared" si="236"/>
        <v>1.83E-3</v>
      </c>
      <c r="AX345" s="78">
        <f t="shared" si="237"/>
        <v>1.83E-3</v>
      </c>
      <c r="AY345" s="78">
        <f t="shared" si="238"/>
        <v>1.83E-3</v>
      </c>
      <c r="AZ345" s="78">
        <f t="shared" si="239"/>
        <v>1.7600000000000001E-3</v>
      </c>
      <c r="BA345" s="78">
        <f t="shared" si="240"/>
        <v>1.7600000000000001E-3</v>
      </c>
      <c r="BB345" s="78">
        <f t="shared" si="241"/>
        <v>1.7600000000000001E-3</v>
      </c>
      <c r="BC345" s="78">
        <f t="shared" si="242"/>
        <v>1.89E-3</v>
      </c>
      <c r="BD345" s="78">
        <f t="shared" si="243"/>
        <v>1.89E-3</v>
      </c>
      <c r="BE345" s="78">
        <f t="shared" si="244"/>
        <v>1.89E-3</v>
      </c>
      <c r="BF345" s="78">
        <f t="shared" si="245"/>
        <v>1.89E-3</v>
      </c>
      <c r="BG345" s="78">
        <f t="shared" si="246"/>
        <v>1.89E-3</v>
      </c>
      <c r="BH345" s="78">
        <f t="shared" si="247"/>
        <v>1.89E-3</v>
      </c>
      <c r="BI345" s="78">
        <f t="shared" si="248"/>
        <v>1.89E-3</v>
      </c>
      <c r="BJ345" s="78">
        <f t="shared" si="249"/>
        <v>1.89E-3</v>
      </c>
      <c r="BK345" s="78">
        <f t="shared" si="250"/>
        <v>1.89E-3</v>
      </c>
      <c r="BL345" s="78">
        <f t="shared" si="251"/>
        <v>1.89E-3</v>
      </c>
      <c r="BM345" s="78">
        <f t="shared" si="252"/>
        <v>1.89E-3</v>
      </c>
      <c r="BN345" s="78">
        <f t="shared" si="253"/>
        <v>1.89E-3</v>
      </c>
      <c r="BO345" s="78">
        <f t="shared" si="254"/>
        <v>1.89E-3</v>
      </c>
      <c r="BP345" s="78">
        <f t="shared" si="255"/>
        <v>1.89E-3</v>
      </c>
      <c r="BQ345" s="78">
        <f t="shared" si="256"/>
        <v>1.89E-3</v>
      </c>
      <c r="BR345" s="78">
        <f t="shared" si="257"/>
        <v>1.89E-3</v>
      </c>
      <c r="BS345" s="77"/>
      <c r="BT345" s="77"/>
    </row>
    <row r="346" spans="1:72" ht="14.1" customHeight="1" x14ac:dyDescent="0.2">
      <c r="A346" s="55" t="str">
        <f t="shared" si="228"/>
        <v>DS-4 (Large General Service)_Rider CEAC - Clean Energy Assistance Charge</v>
      </c>
      <c r="B346" s="80" t="s">
        <v>639</v>
      </c>
      <c r="C346" s="71" t="s">
        <v>835</v>
      </c>
      <c r="D346" s="150"/>
      <c r="E346" s="81"/>
      <c r="F346" s="73" t="s">
        <v>649</v>
      </c>
      <c r="G346" s="73">
        <v>0</v>
      </c>
      <c r="H346" s="73">
        <v>6</v>
      </c>
      <c r="I346" s="74" t="s">
        <v>641</v>
      </c>
      <c r="J346" s="75" t="s">
        <v>634</v>
      </c>
      <c r="K346" s="74"/>
      <c r="L346" s="82">
        <v>1.83E-3</v>
      </c>
      <c r="M346" s="138">
        <v>1.83E-3</v>
      </c>
      <c r="N346" s="138">
        <v>1.83E-3</v>
      </c>
      <c r="O346" s="138">
        <v>1.83E-3</v>
      </c>
      <c r="P346" s="138">
        <v>1.83E-3</v>
      </c>
      <c r="Q346" s="138">
        <v>1.83E-3</v>
      </c>
      <c r="R346" s="138">
        <v>1.7600000000000001E-3</v>
      </c>
      <c r="S346" s="138">
        <v>1.7600000000000001E-3</v>
      </c>
      <c r="T346" s="138">
        <v>1.7600000000000001E-3</v>
      </c>
      <c r="U346" s="138">
        <v>1.89E-3</v>
      </c>
      <c r="V346" s="138">
        <v>1.89E-3</v>
      </c>
      <c r="W346" s="138">
        <v>1.89E-3</v>
      </c>
      <c r="X346" s="138">
        <v>1.89E-3</v>
      </c>
      <c r="Y346" s="138">
        <f t="shared" si="258"/>
        <v>1.89E-3</v>
      </c>
      <c r="Z346" s="138">
        <f t="shared" si="259"/>
        <v>1.89E-3</v>
      </c>
      <c r="AA346" s="138">
        <f t="shared" si="260"/>
        <v>1.89E-3</v>
      </c>
      <c r="AB346" s="138">
        <f t="shared" si="261"/>
        <v>1.89E-3</v>
      </c>
      <c r="AC346" s="138">
        <f t="shared" si="262"/>
        <v>1.89E-3</v>
      </c>
      <c r="AD346" s="138">
        <f t="shared" si="263"/>
        <v>1.89E-3</v>
      </c>
      <c r="AE346" s="138">
        <f t="shared" si="264"/>
        <v>1.89E-3</v>
      </c>
      <c r="AF346" s="138">
        <f t="shared" si="265"/>
        <v>1.89E-3</v>
      </c>
      <c r="AG346" s="138">
        <f t="shared" si="266"/>
        <v>1.89E-3</v>
      </c>
      <c r="AH346" s="138">
        <f t="shared" si="267"/>
        <v>1.89E-3</v>
      </c>
      <c r="AI346" s="138">
        <f t="shared" si="268"/>
        <v>1.89E-3</v>
      </c>
      <c r="AJ346" s="138">
        <f t="shared" si="269"/>
        <v>1.89E-3</v>
      </c>
      <c r="AK346" s="138">
        <f t="shared" si="270"/>
        <v>1.89E-3</v>
      </c>
      <c r="AL346" s="138">
        <f t="shared" si="271"/>
        <v>1.8899999999999995E-3</v>
      </c>
      <c r="AM346" s="138">
        <f t="shared" si="272"/>
        <v>1.8637500000000006E-3</v>
      </c>
      <c r="AO346" s="77" t="str">
        <f t="shared" si="229"/>
        <v>DS-4 (Large General Service)</v>
      </c>
      <c r="AP346" s="78" t="s">
        <v>642</v>
      </c>
      <c r="AQ346" s="77" t="str">
        <f t="shared" si="230"/>
        <v>Rider CEAC - Clean Energy Assistance Charge</v>
      </c>
      <c r="AR346" s="78" t="str">
        <f t="shared" si="231"/>
        <v>Billing Cycle</v>
      </c>
      <c r="AS346" s="79">
        <f t="shared" si="232"/>
        <v>6</v>
      </c>
      <c r="AT346" s="78">
        <f t="shared" si="233"/>
        <v>0</v>
      </c>
      <c r="AU346" s="78">
        <f t="shared" si="234"/>
        <v>1.83E-3</v>
      </c>
      <c r="AV346" s="78">
        <f t="shared" si="235"/>
        <v>1.83E-3</v>
      </c>
      <c r="AW346" s="78">
        <f t="shared" si="236"/>
        <v>1.83E-3</v>
      </c>
      <c r="AX346" s="78">
        <f t="shared" si="237"/>
        <v>1.83E-3</v>
      </c>
      <c r="AY346" s="78">
        <f t="shared" si="238"/>
        <v>1.83E-3</v>
      </c>
      <c r="AZ346" s="78">
        <f t="shared" si="239"/>
        <v>1.7600000000000001E-3</v>
      </c>
      <c r="BA346" s="78">
        <f t="shared" si="240"/>
        <v>1.7600000000000001E-3</v>
      </c>
      <c r="BB346" s="78">
        <f t="shared" si="241"/>
        <v>1.7600000000000001E-3</v>
      </c>
      <c r="BC346" s="78">
        <f t="shared" si="242"/>
        <v>1.89E-3</v>
      </c>
      <c r="BD346" s="78">
        <f t="shared" si="243"/>
        <v>1.89E-3</v>
      </c>
      <c r="BE346" s="78">
        <f t="shared" si="244"/>
        <v>1.89E-3</v>
      </c>
      <c r="BF346" s="78">
        <f t="shared" si="245"/>
        <v>1.89E-3</v>
      </c>
      <c r="BG346" s="78">
        <f t="shared" si="246"/>
        <v>1.89E-3</v>
      </c>
      <c r="BH346" s="78">
        <f t="shared" si="247"/>
        <v>1.89E-3</v>
      </c>
      <c r="BI346" s="78">
        <f t="shared" si="248"/>
        <v>1.89E-3</v>
      </c>
      <c r="BJ346" s="78">
        <f t="shared" si="249"/>
        <v>1.89E-3</v>
      </c>
      <c r="BK346" s="78">
        <f t="shared" si="250"/>
        <v>1.89E-3</v>
      </c>
      <c r="BL346" s="78">
        <f t="shared" si="251"/>
        <v>1.89E-3</v>
      </c>
      <c r="BM346" s="78">
        <f t="shared" si="252"/>
        <v>1.89E-3</v>
      </c>
      <c r="BN346" s="78">
        <f t="shared" si="253"/>
        <v>1.89E-3</v>
      </c>
      <c r="BO346" s="78">
        <f t="shared" si="254"/>
        <v>1.89E-3</v>
      </c>
      <c r="BP346" s="78">
        <f t="shared" si="255"/>
        <v>1.89E-3</v>
      </c>
      <c r="BQ346" s="78">
        <f t="shared" si="256"/>
        <v>1.89E-3</v>
      </c>
      <c r="BR346" s="78">
        <f t="shared" si="257"/>
        <v>1.89E-3</v>
      </c>
      <c r="BS346" s="77"/>
      <c r="BT346" s="77"/>
    </row>
    <row r="347" spans="1:72" ht="14.1" customHeight="1" x14ac:dyDescent="0.2">
      <c r="A347" s="55" t="str">
        <f t="shared" si="228"/>
        <v>DS-5 (Lighting Service)_Rider CEAC - Clean Energy Assistance Charge</v>
      </c>
      <c r="B347" s="80" t="s">
        <v>647</v>
      </c>
      <c r="C347" s="71" t="s">
        <v>835</v>
      </c>
      <c r="D347" s="150"/>
      <c r="E347" s="81"/>
      <c r="F347" s="73" t="s">
        <v>649</v>
      </c>
      <c r="G347" s="73">
        <v>0</v>
      </c>
      <c r="H347" s="73">
        <v>6</v>
      </c>
      <c r="I347" s="74" t="s">
        <v>641</v>
      </c>
      <c r="J347" s="75" t="s">
        <v>634</v>
      </c>
      <c r="K347" s="74"/>
      <c r="L347" s="82">
        <v>1.83E-3</v>
      </c>
      <c r="M347" s="138">
        <v>1.83E-3</v>
      </c>
      <c r="N347" s="138">
        <v>1.83E-3</v>
      </c>
      <c r="O347" s="138">
        <v>1.83E-3</v>
      </c>
      <c r="P347" s="138">
        <v>1.83E-3</v>
      </c>
      <c r="Q347" s="138">
        <v>1.83E-3</v>
      </c>
      <c r="R347" s="138">
        <v>1.7600000000000001E-3</v>
      </c>
      <c r="S347" s="138">
        <v>1.7600000000000001E-3</v>
      </c>
      <c r="T347" s="138">
        <v>1.7600000000000001E-3</v>
      </c>
      <c r="U347" s="138">
        <v>1.89E-3</v>
      </c>
      <c r="V347" s="138">
        <v>1.89E-3</v>
      </c>
      <c r="W347" s="138">
        <v>1.89E-3</v>
      </c>
      <c r="X347" s="138">
        <v>1.89E-3</v>
      </c>
      <c r="Y347" s="138">
        <f t="shared" si="258"/>
        <v>1.89E-3</v>
      </c>
      <c r="Z347" s="138">
        <f t="shared" si="259"/>
        <v>1.89E-3</v>
      </c>
      <c r="AA347" s="138">
        <f t="shared" si="260"/>
        <v>1.89E-3</v>
      </c>
      <c r="AB347" s="138">
        <f t="shared" si="261"/>
        <v>1.89E-3</v>
      </c>
      <c r="AC347" s="138">
        <f t="shared" si="262"/>
        <v>1.89E-3</v>
      </c>
      <c r="AD347" s="138">
        <f t="shared" si="263"/>
        <v>1.89E-3</v>
      </c>
      <c r="AE347" s="138">
        <f t="shared" si="264"/>
        <v>1.89E-3</v>
      </c>
      <c r="AF347" s="138">
        <f t="shared" si="265"/>
        <v>1.89E-3</v>
      </c>
      <c r="AG347" s="138">
        <f t="shared" si="266"/>
        <v>1.89E-3</v>
      </c>
      <c r="AH347" s="138">
        <f t="shared" si="267"/>
        <v>1.89E-3</v>
      </c>
      <c r="AI347" s="138">
        <f t="shared" si="268"/>
        <v>1.89E-3</v>
      </c>
      <c r="AJ347" s="138">
        <f t="shared" si="269"/>
        <v>1.89E-3</v>
      </c>
      <c r="AK347" s="138">
        <f t="shared" si="270"/>
        <v>1.89E-3</v>
      </c>
      <c r="AL347" s="138">
        <f t="shared" si="271"/>
        <v>1.8899999999999995E-3</v>
      </c>
      <c r="AM347" s="138">
        <f t="shared" si="272"/>
        <v>1.8637500000000006E-3</v>
      </c>
      <c r="AO347" s="77" t="str">
        <f t="shared" si="229"/>
        <v>DS-5 (Lighting Service)</v>
      </c>
      <c r="AP347" s="78" t="s">
        <v>650</v>
      </c>
      <c r="AQ347" s="77" t="str">
        <f t="shared" si="230"/>
        <v>Rider CEAC - Clean Energy Assistance Charge</v>
      </c>
      <c r="AR347" s="78" t="str">
        <f t="shared" si="231"/>
        <v>Billing Cycle</v>
      </c>
      <c r="AS347" s="79">
        <f t="shared" si="232"/>
        <v>6</v>
      </c>
      <c r="AT347" s="78">
        <f t="shared" si="233"/>
        <v>0</v>
      </c>
      <c r="AU347" s="78">
        <f t="shared" si="234"/>
        <v>1.83E-3</v>
      </c>
      <c r="AV347" s="78">
        <f t="shared" si="235"/>
        <v>1.83E-3</v>
      </c>
      <c r="AW347" s="78">
        <f t="shared" si="236"/>
        <v>1.83E-3</v>
      </c>
      <c r="AX347" s="78">
        <f t="shared" si="237"/>
        <v>1.83E-3</v>
      </c>
      <c r="AY347" s="78">
        <f t="shared" si="238"/>
        <v>1.83E-3</v>
      </c>
      <c r="AZ347" s="78">
        <f t="shared" si="239"/>
        <v>1.7600000000000001E-3</v>
      </c>
      <c r="BA347" s="78">
        <f t="shared" si="240"/>
        <v>1.7600000000000001E-3</v>
      </c>
      <c r="BB347" s="78">
        <f t="shared" si="241"/>
        <v>1.7600000000000001E-3</v>
      </c>
      <c r="BC347" s="78">
        <f t="shared" si="242"/>
        <v>1.89E-3</v>
      </c>
      <c r="BD347" s="78">
        <f t="shared" si="243"/>
        <v>1.89E-3</v>
      </c>
      <c r="BE347" s="78">
        <f t="shared" si="244"/>
        <v>1.89E-3</v>
      </c>
      <c r="BF347" s="78">
        <f t="shared" si="245"/>
        <v>1.89E-3</v>
      </c>
      <c r="BG347" s="78">
        <f t="shared" si="246"/>
        <v>1.89E-3</v>
      </c>
      <c r="BH347" s="78">
        <f t="shared" si="247"/>
        <v>1.89E-3</v>
      </c>
      <c r="BI347" s="78">
        <f t="shared" si="248"/>
        <v>1.89E-3</v>
      </c>
      <c r="BJ347" s="78">
        <f t="shared" si="249"/>
        <v>1.89E-3</v>
      </c>
      <c r="BK347" s="78">
        <f t="shared" si="250"/>
        <v>1.89E-3</v>
      </c>
      <c r="BL347" s="78">
        <f t="shared" si="251"/>
        <v>1.89E-3</v>
      </c>
      <c r="BM347" s="78">
        <f t="shared" si="252"/>
        <v>1.89E-3</v>
      </c>
      <c r="BN347" s="78">
        <f t="shared" si="253"/>
        <v>1.89E-3</v>
      </c>
      <c r="BO347" s="78">
        <f t="shared" si="254"/>
        <v>1.89E-3</v>
      </c>
      <c r="BP347" s="78">
        <f t="shared" si="255"/>
        <v>1.89E-3</v>
      </c>
      <c r="BQ347" s="78">
        <f t="shared" si="256"/>
        <v>1.89E-3</v>
      </c>
      <c r="BR347" s="78">
        <f t="shared" si="257"/>
        <v>1.89E-3</v>
      </c>
      <c r="BS347" s="77"/>
      <c r="BT347" s="77"/>
    </row>
    <row r="348" spans="1:72" ht="14.1" customHeight="1" x14ac:dyDescent="0.2">
      <c r="A348" s="55" t="str">
        <f t="shared" si="228"/>
        <v>DS-6 (DS-3) Temp. Sensitive DS_Rider CEAC - Clean Energy Assistance Charge</v>
      </c>
      <c r="B348" s="80" t="s">
        <v>643</v>
      </c>
      <c r="C348" s="71" t="s">
        <v>835</v>
      </c>
      <c r="D348" s="150"/>
      <c r="E348" s="81"/>
      <c r="F348" s="73" t="s">
        <v>649</v>
      </c>
      <c r="G348" s="73">
        <v>0</v>
      </c>
      <c r="H348" s="73">
        <v>6</v>
      </c>
      <c r="I348" s="74" t="s">
        <v>641</v>
      </c>
      <c r="J348" s="75" t="s">
        <v>634</v>
      </c>
      <c r="K348" s="74"/>
      <c r="L348" s="82">
        <v>1.83E-3</v>
      </c>
      <c r="M348" s="138">
        <v>1.83E-3</v>
      </c>
      <c r="N348" s="138">
        <v>1.83E-3</v>
      </c>
      <c r="O348" s="138">
        <v>1.83E-3</v>
      </c>
      <c r="P348" s="138">
        <v>1.83E-3</v>
      </c>
      <c r="Q348" s="138">
        <v>1.83E-3</v>
      </c>
      <c r="R348" s="138">
        <v>1.7600000000000001E-3</v>
      </c>
      <c r="S348" s="138">
        <v>1.7600000000000001E-3</v>
      </c>
      <c r="T348" s="138">
        <v>1.7600000000000001E-3</v>
      </c>
      <c r="U348" s="138">
        <v>1.89E-3</v>
      </c>
      <c r="V348" s="138">
        <v>1.89E-3</v>
      </c>
      <c r="W348" s="138">
        <v>1.89E-3</v>
      </c>
      <c r="X348" s="138">
        <v>1.89E-3</v>
      </c>
      <c r="Y348" s="138">
        <f t="shared" si="258"/>
        <v>1.89E-3</v>
      </c>
      <c r="Z348" s="138">
        <f t="shared" si="259"/>
        <v>1.89E-3</v>
      </c>
      <c r="AA348" s="138">
        <f t="shared" si="260"/>
        <v>1.89E-3</v>
      </c>
      <c r="AB348" s="138">
        <f t="shared" si="261"/>
        <v>1.89E-3</v>
      </c>
      <c r="AC348" s="138">
        <f t="shared" si="262"/>
        <v>1.89E-3</v>
      </c>
      <c r="AD348" s="138">
        <f t="shared" si="263"/>
        <v>1.89E-3</v>
      </c>
      <c r="AE348" s="138">
        <f t="shared" si="264"/>
        <v>1.89E-3</v>
      </c>
      <c r="AF348" s="138">
        <f t="shared" si="265"/>
        <v>1.89E-3</v>
      </c>
      <c r="AG348" s="138">
        <f t="shared" si="266"/>
        <v>1.89E-3</v>
      </c>
      <c r="AH348" s="138">
        <f t="shared" si="267"/>
        <v>1.89E-3</v>
      </c>
      <c r="AI348" s="138">
        <f t="shared" si="268"/>
        <v>1.89E-3</v>
      </c>
      <c r="AJ348" s="138">
        <f t="shared" si="269"/>
        <v>1.89E-3</v>
      </c>
      <c r="AK348" s="138">
        <f t="shared" si="270"/>
        <v>1.89E-3</v>
      </c>
      <c r="AL348" s="138">
        <f t="shared" si="271"/>
        <v>1.8899999999999995E-3</v>
      </c>
      <c r="AM348" s="138">
        <f t="shared" si="272"/>
        <v>1.8637500000000006E-3</v>
      </c>
      <c r="AO348" s="77" t="str">
        <f t="shared" si="229"/>
        <v>DS-6 (DS-3) Temp. Sensitive DS</v>
      </c>
      <c r="AP348" s="78" t="s">
        <v>644</v>
      </c>
      <c r="AQ348" s="77" t="str">
        <f t="shared" si="230"/>
        <v>Rider CEAC - Clean Energy Assistance Charge</v>
      </c>
      <c r="AR348" s="78" t="str">
        <f t="shared" si="231"/>
        <v>Billing Cycle</v>
      </c>
      <c r="AS348" s="79">
        <f t="shared" si="232"/>
        <v>6</v>
      </c>
      <c r="AT348" s="78">
        <f t="shared" si="233"/>
        <v>0</v>
      </c>
      <c r="AU348" s="78">
        <f t="shared" si="234"/>
        <v>1.83E-3</v>
      </c>
      <c r="AV348" s="78">
        <f t="shared" si="235"/>
        <v>1.83E-3</v>
      </c>
      <c r="AW348" s="78">
        <f t="shared" si="236"/>
        <v>1.83E-3</v>
      </c>
      <c r="AX348" s="78">
        <f t="shared" si="237"/>
        <v>1.83E-3</v>
      </c>
      <c r="AY348" s="78">
        <f t="shared" si="238"/>
        <v>1.83E-3</v>
      </c>
      <c r="AZ348" s="78">
        <f t="shared" si="239"/>
        <v>1.7600000000000001E-3</v>
      </c>
      <c r="BA348" s="78">
        <f t="shared" si="240"/>
        <v>1.7600000000000001E-3</v>
      </c>
      <c r="BB348" s="78">
        <f t="shared" si="241"/>
        <v>1.7600000000000001E-3</v>
      </c>
      <c r="BC348" s="78">
        <f t="shared" si="242"/>
        <v>1.89E-3</v>
      </c>
      <c r="BD348" s="78">
        <f t="shared" si="243"/>
        <v>1.89E-3</v>
      </c>
      <c r="BE348" s="78">
        <f t="shared" si="244"/>
        <v>1.89E-3</v>
      </c>
      <c r="BF348" s="78">
        <f t="shared" si="245"/>
        <v>1.89E-3</v>
      </c>
      <c r="BG348" s="78">
        <f t="shared" si="246"/>
        <v>1.89E-3</v>
      </c>
      <c r="BH348" s="78">
        <f t="shared" si="247"/>
        <v>1.89E-3</v>
      </c>
      <c r="BI348" s="78">
        <f t="shared" si="248"/>
        <v>1.89E-3</v>
      </c>
      <c r="BJ348" s="78">
        <f t="shared" si="249"/>
        <v>1.89E-3</v>
      </c>
      <c r="BK348" s="78">
        <f t="shared" si="250"/>
        <v>1.89E-3</v>
      </c>
      <c r="BL348" s="78">
        <f t="shared" si="251"/>
        <v>1.89E-3</v>
      </c>
      <c r="BM348" s="78">
        <f t="shared" si="252"/>
        <v>1.89E-3</v>
      </c>
      <c r="BN348" s="78">
        <f t="shared" si="253"/>
        <v>1.89E-3</v>
      </c>
      <c r="BO348" s="78">
        <f t="shared" si="254"/>
        <v>1.89E-3</v>
      </c>
      <c r="BP348" s="78">
        <f t="shared" si="255"/>
        <v>1.89E-3</v>
      </c>
      <c r="BQ348" s="78">
        <f t="shared" si="256"/>
        <v>1.89E-3</v>
      </c>
      <c r="BR348" s="78">
        <f t="shared" si="257"/>
        <v>1.89E-3</v>
      </c>
      <c r="BS348" s="77"/>
      <c r="BT348" s="77"/>
    </row>
    <row r="349" spans="1:72" ht="14.1" customHeight="1" x14ac:dyDescent="0.2">
      <c r="A349" s="55" t="str">
        <f t="shared" si="228"/>
        <v>DS-6 (DS-4) Temp. Sensitive DS_Rider CEAC - Clean Energy Assistance Charge</v>
      </c>
      <c r="B349" s="80" t="s">
        <v>645</v>
      </c>
      <c r="C349" s="71" t="s">
        <v>835</v>
      </c>
      <c r="D349" s="150"/>
      <c r="E349" s="81"/>
      <c r="F349" s="73" t="s">
        <v>649</v>
      </c>
      <c r="G349" s="73">
        <v>0</v>
      </c>
      <c r="H349" s="73">
        <v>6</v>
      </c>
      <c r="I349" s="74" t="s">
        <v>641</v>
      </c>
      <c r="J349" s="75" t="s">
        <v>634</v>
      </c>
      <c r="K349" s="74"/>
      <c r="L349" s="82">
        <v>1.83E-3</v>
      </c>
      <c r="M349" s="138">
        <v>1.83E-3</v>
      </c>
      <c r="N349" s="138">
        <v>1.83E-3</v>
      </c>
      <c r="O349" s="138">
        <v>1.83E-3</v>
      </c>
      <c r="P349" s="138">
        <v>1.83E-3</v>
      </c>
      <c r="Q349" s="138">
        <v>1.83E-3</v>
      </c>
      <c r="R349" s="138">
        <v>1.7600000000000001E-3</v>
      </c>
      <c r="S349" s="138">
        <v>1.7600000000000001E-3</v>
      </c>
      <c r="T349" s="138">
        <v>1.7600000000000001E-3</v>
      </c>
      <c r="U349" s="138">
        <v>1.89E-3</v>
      </c>
      <c r="V349" s="138">
        <v>1.89E-3</v>
      </c>
      <c r="W349" s="138">
        <v>1.89E-3</v>
      </c>
      <c r="X349" s="138">
        <v>1.89E-3</v>
      </c>
      <c r="Y349" s="138">
        <f t="shared" si="258"/>
        <v>1.89E-3</v>
      </c>
      <c r="Z349" s="138">
        <f t="shared" si="259"/>
        <v>1.89E-3</v>
      </c>
      <c r="AA349" s="138">
        <f t="shared" si="260"/>
        <v>1.89E-3</v>
      </c>
      <c r="AB349" s="138">
        <f t="shared" si="261"/>
        <v>1.89E-3</v>
      </c>
      <c r="AC349" s="138">
        <f t="shared" si="262"/>
        <v>1.89E-3</v>
      </c>
      <c r="AD349" s="138">
        <f t="shared" si="263"/>
        <v>1.89E-3</v>
      </c>
      <c r="AE349" s="138">
        <f t="shared" si="264"/>
        <v>1.89E-3</v>
      </c>
      <c r="AF349" s="138">
        <f t="shared" si="265"/>
        <v>1.89E-3</v>
      </c>
      <c r="AG349" s="138">
        <f t="shared" si="266"/>
        <v>1.89E-3</v>
      </c>
      <c r="AH349" s="138">
        <f t="shared" si="267"/>
        <v>1.89E-3</v>
      </c>
      <c r="AI349" s="138">
        <f t="shared" si="268"/>
        <v>1.89E-3</v>
      </c>
      <c r="AJ349" s="138">
        <f t="shared" si="269"/>
        <v>1.89E-3</v>
      </c>
      <c r="AK349" s="138">
        <f t="shared" si="270"/>
        <v>1.89E-3</v>
      </c>
      <c r="AL349" s="138">
        <f t="shared" si="271"/>
        <v>1.8899999999999995E-3</v>
      </c>
      <c r="AM349" s="138">
        <f t="shared" si="272"/>
        <v>1.8637500000000006E-3</v>
      </c>
      <c r="AO349" s="77" t="str">
        <f t="shared" si="229"/>
        <v>DS-6 (DS-4) Temp. Sensitive DS</v>
      </c>
      <c r="AP349" s="78" t="s">
        <v>646</v>
      </c>
      <c r="AQ349" s="77" t="str">
        <f t="shared" si="230"/>
        <v>Rider CEAC - Clean Energy Assistance Charge</v>
      </c>
      <c r="AR349" s="78" t="str">
        <f t="shared" si="231"/>
        <v>Billing Cycle</v>
      </c>
      <c r="AS349" s="79">
        <f t="shared" si="232"/>
        <v>6</v>
      </c>
      <c r="AT349" s="78">
        <f t="shared" si="233"/>
        <v>0</v>
      </c>
      <c r="AU349" s="78">
        <f t="shared" si="234"/>
        <v>1.83E-3</v>
      </c>
      <c r="AV349" s="78">
        <f t="shared" si="235"/>
        <v>1.83E-3</v>
      </c>
      <c r="AW349" s="78">
        <f t="shared" si="236"/>
        <v>1.83E-3</v>
      </c>
      <c r="AX349" s="78">
        <f t="shared" si="237"/>
        <v>1.83E-3</v>
      </c>
      <c r="AY349" s="78">
        <f t="shared" si="238"/>
        <v>1.83E-3</v>
      </c>
      <c r="AZ349" s="78">
        <f t="shared" si="239"/>
        <v>1.7600000000000001E-3</v>
      </c>
      <c r="BA349" s="78">
        <f t="shared" si="240"/>
        <v>1.7600000000000001E-3</v>
      </c>
      <c r="BB349" s="78">
        <f t="shared" si="241"/>
        <v>1.7600000000000001E-3</v>
      </c>
      <c r="BC349" s="78">
        <f t="shared" si="242"/>
        <v>1.89E-3</v>
      </c>
      <c r="BD349" s="78">
        <f t="shared" si="243"/>
        <v>1.89E-3</v>
      </c>
      <c r="BE349" s="78">
        <f t="shared" si="244"/>
        <v>1.89E-3</v>
      </c>
      <c r="BF349" s="78">
        <f t="shared" si="245"/>
        <v>1.89E-3</v>
      </c>
      <c r="BG349" s="78">
        <f t="shared" si="246"/>
        <v>1.89E-3</v>
      </c>
      <c r="BH349" s="78">
        <f t="shared" si="247"/>
        <v>1.89E-3</v>
      </c>
      <c r="BI349" s="78">
        <f t="shared" si="248"/>
        <v>1.89E-3</v>
      </c>
      <c r="BJ349" s="78">
        <f t="shared" si="249"/>
        <v>1.89E-3</v>
      </c>
      <c r="BK349" s="78">
        <f t="shared" si="250"/>
        <v>1.89E-3</v>
      </c>
      <c r="BL349" s="78">
        <f t="shared" si="251"/>
        <v>1.89E-3</v>
      </c>
      <c r="BM349" s="78">
        <f t="shared" si="252"/>
        <v>1.89E-3</v>
      </c>
      <c r="BN349" s="78">
        <f t="shared" si="253"/>
        <v>1.89E-3</v>
      </c>
      <c r="BO349" s="78">
        <f t="shared" si="254"/>
        <v>1.89E-3</v>
      </c>
      <c r="BP349" s="78">
        <f t="shared" si="255"/>
        <v>1.89E-3</v>
      </c>
      <c r="BQ349" s="78">
        <f t="shared" si="256"/>
        <v>1.89E-3</v>
      </c>
      <c r="BR349" s="78">
        <f t="shared" si="257"/>
        <v>1.89E-3</v>
      </c>
      <c r="BS349" s="77"/>
      <c r="BT349" s="77"/>
    </row>
    <row r="350" spans="1:72" ht="14.1" customHeight="1" x14ac:dyDescent="0.2">
      <c r="A350" s="55" t="str">
        <f t="shared" si="228"/>
        <v>DS-1 (Residential)_Rider CGC - Customer Generation Charge</v>
      </c>
      <c r="B350" s="80" t="s">
        <v>90</v>
      </c>
      <c r="C350" s="83" t="s">
        <v>836</v>
      </c>
      <c r="D350" s="150" t="s">
        <v>562</v>
      </c>
      <c r="E350" s="81"/>
      <c r="F350" s="73" t="s">
        <v>649</v>
      </c>
      <c r="G350" s="73">
        <v>0</v>
      </c>
      <c r="H350" s="73">
        <v>6</v>
      </c>
      <c r="I350" s="74" t="s">
        <v>641</v>
      </c>
      <c r="J350" s="75"/>
      <c r="K350" s="74"/>
      <c r="L350" s="82">
        <v>0.22</v>
      </c>
      <c r="M350" s="138">
        <v>0.18</v>
      </c>
      <c r="N350" s="138">
        <v>0.18</v>
      </c>
      <c r="O350" s="138">
        <v>0.18</v>
      </c>
      <c r="P350" s="138">
        <v>0.18</v>
      </c>
      <c r="Q350" s="138">
        <v>0.18</v>
      </c>
      <c r="R350" s="138">
        <v>0.18</v>
      </c>
      <c r="S350" s="138">
        <v>0.18</v>
      </c>
      <c r="T350" s="138">
        <v>0.18</v>
      </c>
      <c r="U350" s="138">
        <v>0.18</v>
      </c>
      <c r="V350" s="138">
        <v>0.18</v>
      </c>
      <c r="W350" s="138">
        <v>0.18</v>
      </c>
      <c r="X350" s="138">
        <v>0.18</v>
      </c>
      <c r="Y350" s="138">
        <f t="shared" si="258"/>
        <v>0.18</v>
      </c>
      <c r="Z350" s="138">
        <f t="shared" si="259"/>
        <v>0.18</v>
      </c>
      <c r="AA350" s="138">
        <f t="shared" si="260"/>
        <v>0.18</v>
      </c>
      <c r="AB350" s="138">
        <f t="shared" si="261"/>
        <v>0.18</v>
      </c>
      <c r="AC350" s="138">
        <f t="shared" si="262"/>
        <v>0.18</v>
      </c>
      <c r="AD350" s="138">
        <f t="shared" si="263"/>
        <v>0.18</v>
      </c>
      <c r="AE350" s="138">
        <f t="shared" si="264"/>
        <v>0.18</v>
      </c>
      <c r="AF350" s="138">
        <f t="shared" si="265"/>
        <v>0.18</v>
      </c>
      <c r="AG350" s="138">
        <f t="shared" si="266"/>
        <v>0.18</v>
      </c>
      <c r="AH350" s="138">
        <f t="shared" si="267"/>
        <v>0.18</v>
      </c>
      <c r="AI350" s="138">
        <f t="shared" si="268"/>
        <v>0.18</v>
      </c>
      <c r="AJ350" s="138">
        <f t="shared" si="269"/>
        <v>0.18</v>
      </c>
      <c r="AK350" s="138">
        <f t="shared" si="270"/>
        <v>0.18</v>
      </c>
      <c r="AL350" s="138">
        <f t="shared" si="271"/>
        <v>0.17999999999999997</v>
      </c>
      <c r="AM350" s="138">
        <f t="shared" si="272"/>
        <v>0.18000000000000005</v>
      </c>
      <c r="AO350" s="77" t="str">
        <f t="shared" si="229"/>
        <v>DS-1 (Residential)</v>
      </c>
      <c r="AP350" s="78" t="s">
        <v>662</v>
      </c>
      <c r="AQ350" s="77" t="str">
        <f t="shared" si="230"/>
        <v>Rider CGC - Customer Generation Charge</v>
      </c>
      <c r="AR350" s="78" t="str">
        <f t="shared" si="231"/>
        <v>Billing Cycle</v>
      </c>
      <c r="AS350" s="79">
        <f t="shared" si="232"/>
        <v>6</v>
      </c>
      <c r="AT350" s="78">
        <f t="shared" si="233"/>
        <v>0</v>
      </c>
      <c r="AU350" s="78">
        <f t="shared" si="234"/>
        <v>0.18</v>
      </c>
      <c r="AV350" s="78">
        <f t="shared" si="235"/>
        <v>0.18</v>
      </c>
      <c r="AW350" s="78">
        <f t="shared" si="236"/>
        <v>0.18</v>
      </c>
      <c r="AX350" s="78">
        <f t="shared" si="237"/>
        <v>0.18</v>
      </c>
      <c r="AY350" s="78">
        <f t="shared" si="238"/>
        <v>0.18</v>
      </c>
      <c r="AZ350" s="78">
        <f t="shared" si="239"/>
        <v>0.18</v>
      </c>
      <c r="BA350" s="78">
        <f t="shared" si="240"/>
        <v>0.18</v>
      </c>
      <c r="BB350" s="78">
        <f t="shared" si="241"/>
        <v>0.18</v>
      </c>
      <c r="BC350" s="78">
        <f t="shared" si="242"/>
        <v>0.18</v>
      </c>
      <c r="BD350" s="78">
        <f t="shared" si="243"/>
        <v>0.18</v>
      </c>
      <c r="BE350" s="78">
        <f t="shared" si="244"/>
        <v>0.18</v>
      </c>
      <c r="BF350" s="78">
        <f t="shared" si="245"/>
        <v>0.18</v>
      </c>
      <c r="BG350" s="78">
        <f t="shared" si="246"/>
        <v>0.18</v>
      </c>
      <c r="BH350" s="78">
        <f t="shared" si="247"/>
        <v>0.18</v>
      </c>
      <c r="BI350" s="78">
        <f t="shared" si="248"/>
        <v>0.18</v>
      </c>
      <c r="BJ350" s="78">
        <f t="shared" si="249"/>
        <v>0.18</v>
      </c>
      <c r="BK350" s="78">
        <f t="shared" si="250"/>
        <v>0.18</v>
      </c>
      <c r="BL350" s="78">
        <f t="shared" si="251"/>
        <v>0.18</v>
      </c>
      <c r="BM350" s="78">
        <f t="shared" si="252"/>
        <v>0.18</v>
      </c>
      <c r="BN350" s="78">
        <f t="shared" si="253"/>
        <v>0.18</v>
      </c>
      <c r="BO350" s="78">
        <f t="shared" si="254"/>
        <v>0.18</v>
      </c>
      <c r="BP350" s="78">
        <f t="shared" si="255"/>
        <v>0.18</v>
      </c>
      <c r="BQ350" s="78">
        <f t="shared" si="256"/>
        <v>0.18</v>
      </c>
      <c r="BR350" s="78">
        <f t="shared" si="257"/>
        <v>0.18</v>
      </c>
      <c r="BS350" s="77"/>
      <c r="BT350" s="77"/>
    </row>
    <row r="351" spans="1:72" ht="14.1" customHeight="1" x14ac:dyDescent="0.2">
      <c r="A351" s="55" t="str">
        <f t="shared" si="228"/>
        <v>DS-2 (Small General Service)_Rider CGC - Customer Generation Charge</v>
      </c>
      <c r="B351" s="80" t="s">
        <v>665</v>
      </c>
      <c r="C351" s="83" t="s">
        <v>836</v>
      </c>
      <c r="D351" s="150"/>
      <c r="E351" s="81"/>
      <c r="F351" s="73" t="s">
        <v>649</v>
      </c>
      <c r="G351" s="73">
        <v>0</v>
      </c>
      <c r="H351" s="73">
        <v>6</v>
      </c>
      <c r="I351" s="74" t="s">
        <v>641</v>
      </c>
      <c r="J351" s="75"/>
      <c r="K351" s="74"/>
      <c r="L351" s="82">
        <v>0.94</v>
      </c>
      <c r="M351" s="138">
        <v>1.33</v>
      </c>
      <c r="N351" s="138">
        <v>1.33</v>
      </c>
      <c r="O351" s="138">
        <v>1.33</v>
      </c>
      <c r="P351" s="138">
        <v>1.33</v>
      </c>
      <c r="Q351" s="138">
        <v>1.33</v>
      </c>
      <c r="R351" s="138">
        <v>1.33</v>
      </c>
      <c r="S351" s="138">
        <v>1.33</v>
      </c>
      <c r="T351" s="138">
        <v>1.33</v>
      </c>
      <c r="U351" s="138">
        <v>1.33</v>
      </c>
      <c r="V351" s="138">
        <v>1.33</v>
      </c>
      <c r="W351" s="138">
        <v>1.33</v>
      </c>
      <c r="X351" s="138">
        <v>1.33</v>
      </c>
      <c r="Y351" s="138">
        <f t="shared" si="258"/>
        <v>1.33</v>
      </c>
      <c r="Z351" s="138">
        <f t="shared" si="259"/>
        <v>1.33</v>
      </c>
      <c r="AA351" s="138">
        <f t="shared" si="260"/>
        <v>1.33</v>
      </c>
      <c r="AB351" s="138">
        <f t="shared" si="261"/>
        <v>1.33</v>
      </c>
      <c r="AC351" s="138">
        <f t="shared" si="262"/>
        <v>1.33</v>
      </c>
      <c r="AD351" s="138">
        <f t="shared" si="263"/>
        <v>1.33</v>
      </c>
      <c r="AE351" s="138">
        <f t="shared" si="264"/>
        <v>1.33</v>
      </c>
      <c r="AF351" s="138">
        <f t="shared" si="265"/>
        <v>1.33</v>
      </c>
      <c r="AG351" s="138">
        <f t="shared" si="266"/>
        <v>1.33</v>
      </c>
      <c r="AH351" s="138">
        <f t="shared" si="267"/>
        <v>1.33</v>
      </c>
      <c r="AI351" s="138">
        <f t="shared" si="268"/>
        <v>1.33</v>
      </c>
      <c r="AJ351" s="138">
        <f t="shared" si="269"/>
        <v>1.33</v>
      </c>
      <c r="AK351" s="138">
        <f t="shared" si="270"/>
        <v>1.33</v>
      </c>
      <c r="AL351" s="138">
        <f t="shared" si="271"/>
        <v>1.33</v>
      </c>
      <c r="AM351" s="138">
        <f t="shared" si="272"/>
        <v>1.3299999999999992</v>
      </c>
      <c r="AO351" s="77" t="str">
        <f t="shared" si="229"/>
        <v>DS-2 (Small General Service)</v>
      </c>
      <c r="AP351" s="78" t="s">
        <v>664</v>
      </c>
      <c r="AQ351" s="77" t="str">
        <f t="shared" si="230"/>
        <v>Rider CGC - Customer Generation Charge</v>
      </c>
      <c r="AR351" s="78" t="str">
        <f t="shared" si="231"/>
        <v>Billing Cycle</v>
      </c>
      <c r="AS351" s="79">
        <f t="shared" si="232"/>
        <v>6</v>
      </c>
      <c r="AT351" s="78">
        <f t="shared" si="233"/>
        <v>1</v>
      </c>
      <c r="AU351" s="78">
        <f t="shared" si="234"/>
        <v>1.33</v>
      </c>
      <c r="AV351" s="78">
        <f t="shared" si="235"/>
        <v>1.33</v>
      </c>
      <c r="AW351" s="78">
        <f t="shared" si="236"/>
        <v>1.33</v>
      </c>
      <c r="AX351" s="78">
        <f t="shared" si="237"/>
        <v>1.33</v>
      </c>
      <c r="AY351" s="78">
        <f t="shared" si="238"/>
        <v>1.33</v>
      </c>
      <c r="AZ351" s="78">
        <f t="shared" si="239"/>
        <v>1.33</v>
      </c>
      <c r="BA351" s="78">
        <f t="shared" si="240"/>
        <v>1.33</v>
      </c>
      <c r="BB351" s="78">
        <f t="shared" si="241"/>
        <v>1.33</v>
      </c>
      <c r="BC351" s="78">
        <f t="shared" si="242"/>
        <v>1.33</v>
      </c>
      <c r="BD351" s="78">
        <f t="shared" si="243"/>
        <v>1.33</v>
      </c>
      <c r="BE351" s="78">
        <f t="shared" si="244"/>
        <v>1.33</v>
      </c>
      <c r="BF351" s="78">
        <f t="shared" si="245"/>
        <v>1.33</v>
      </c>
      <c r="BG351" s="78">
        <f t="shared" si="246"/>
        <v>1.33</v>
      </c>
      <c r="BH351" s="78">
        <f t="shared" si="247"/>
        <v>1.33</v>
      </c>
      <c r="BI351" s="78">
        <f t="shared" si="248"/>
        <v>1.33</v>
      </c>
      <c r="BJ351" s="78">
        <f t="shared" si="249"/>
        <v>1.33</v>
      </c>
      <c r="BK351" s="78">
        <f t="shared" si="250"/>
        <v>1.33</v>
      </c>
      <c r="BL351" s="78">
        <f t="shared" si="251"/>
        <v>1.33</v>
      </c>
      <c r="BM351" s="78">
        <f t="shared" si="252"/>
        <v>1.33</v>
      </c>
      <c r="BN351" s="78">
        <f t="shared" si="253"/>
        <v>1.33</v>
      </c>
      <c r="BO351" s="78">
        <f t="shared" si="254"/>
        <v>1.33</v>
      </c>
      <c r="BP351" s="78">
        <f t="shared" si="255"/>
        <v>1.33</v>
      </c>
      <c r="BQ351" s="78">
        <f t="shared" si="256"/>
        <v>1.33</v>
      </c>
      <c r="BR351" s="78">
        <f t="shared" si="257"/>
        <v>1.33</v>
      </c>
      <c r="BS351" s="77"/>
      <c r="BT351" s="77"/>
    </row>
    <row r="352" spans="1:72" ht="14.1" customHeight="1" x14ac:dyDescent="0.2">
      <c r="A352" s="55" t="str">
        <f t="shared" si="228"/>
        <v>DS-2 Optional (Small General Service)_Rider CGC - Customer Generation Charge</v>
      </c>
      <c r="B352" s="80" t="s">
        <v>663</v>
      </c>
      <c r="C352" s="83" t="s">
        <v>836</v>
      </c>
      <c r="D352" s="150"/>
      <c r="E352" s="81"/>
      <c r="F352" s="73" t="s">
        <v>649</v>
      </c>
      <c r="G352" s="73">
        <v>0</v>
      </c>
      <c r="H352" s="73">
        <v>6</v>
      </c>
      <c r="I352" s="74" t="s">
        <v>641</v>
      </c>
      <c r="J352" s="75"/>
      <c r="K352" s="74"/>
      <c r="L352" s="82">
        <v>67.36</v>
      </c>
      <c r="M352" s="138">
        <v>1.33</v>
      </c>
      <c r="N352" s="138">
        <v>1.33</v>
      </c>
      <c r="O352" s="138">
        <v>1.33</v>
      </c>
      <c r="P352" s="138">
        <v>1.33</v>
      </c>
      <c r="Q352" s="138">
        <v>1.33</v>
      </c>
      <c r="R352" s="138">
        <v>1.33</v>
      </c>
      <c r="S352" s="138">
        <v>1.33</v>
      </c>
      <c r="T352" s="138">
        <v>1.33</v>
      </c>
      <c r="U352" s="138">
        <v>1.33</v>
      </c>
      <c r="V352" s="138">
        <v>1.33</v>
      </c>
      <c r="W352" s="138">
        <v>1.33</v>
      </c>
      <c r="X352" s="138">
        <v>1.33</v>
      </c>
      <c r="Y352" s="138">
        <f t="shared" si="258"/>
        <v>1.33</v>
      </c>
      <c r="Z352" s="138">
        <f t="shared" si="259"/>
        <v>1.33</v>
      </c>
      <c r="AA352" s="138">
        <f t="shared" si="260"/>
        <v>1.33</v>
      </c>
      <c r="AB352" s="138">
        <f t="shared" si="261"/>
        <v>1.33</v>
      </c>
      <c r="AC352" s="138">
        <f t="shared" si="262"/>
        <v>1.33</v>
      </c>
      <c r="AD352" s="138">
        <f t="shared" si="263"/>
        <v>1.33</v>
      </c>
      <c r="AE352" s="138">
        <f t="shared" si="264"/>
        <v>1.33</v>
      </c>
      <c r="AF352" s="138">
        <f t="shared" si="265"/>
        <v>1.33</v>
      </c>
      <c r="AG352" s="138">
        <f t="shared" si="266"/>
        <v>1.33</v>
      </c>
      <c r="AH352" s="138">
        <f t="shared" si="267"/>
        <v>1.33</v>
      </c>
      <c r="AI352" s="138">
        <f t="shared" si="268"/>
        <v>1.33</v>
      </c>
      <c r="AJ352" s="138">
        <f t="shared" si="269"/>
        <v>1.33</v>
      </c>
      <c r="AK352" s="138">
        <f t="shared" si="270"/>
        <v>1.33</v>
      </c>
      <c r="AL352" s="138">
        <f t="shared" si="271"/>
        <v>1.33</v>
      </c>
      <c r="AM352" s="138">
        <f t="shared" si="272"/>
        <v>1.3299999999999992</v>
      </c>
      <c r="AO352" s="77" t="str">
        <f t="shared" si="229"/>
        <v>DS-2 Optional (Small General Service)</v>
      </c>
      <c r="AP352" s="78" t="s">
        <v>664</v>
      </c>
      <c r="AQ352" s="77" t="str">
        <f t="shared" si="230"/>
        <v>Rider CGC - Customer Generation Charge</v>
      </c>
      <c r="AR352" s="78" t="str">
        <f t="shared" si="231"/>
        <v>Billing Cycle</v>
      </c>
      <c r="AS352" s="79">
        <f t="shared" si="232"/>
        <v>6</v>
      </c>
      <c r="AT352" s="78">
        <f t="shared" si="233"/>
        <v>67</v>
      </c>
      <c r="AU352" s="78">
        <f t="shared" si="234"/>
        <v>1.33</v>
      </c>
      <c r="AV352" s="78">
        <f t="shared" si="235"/>
        <v>1.33</v>
      </c>
      <c r="AW352" s="78">
        <f t="shared" si="236"/>
        <v>1.33</v>
      </c>
      <c r="AX352" s="78">
        <f t="shared" si="237"/>
        <v>1.33</v>
      </c>
      <c r="AY352" s="78">
        <f t="shared" si="238"/>
        <v>1.33</v>
      </c>
      <c r="AZ352" s="78">
        <f t="shared" si="239"/>
        <v>1.33</v>
      </c>
      <c r="BA352" s="78">
        <f t="shared" si="240"/>
        <v>1.33</v>
      </c>
      <c r="BB352" s="78">
        <f t="shared" si="241"/>
        <v>1.33</v>
      </c>
      <c r="BC352" s="78">
        <f t="shared" si="242"/>
        <v>1.33</v>
      </c>
      <c r="BD352" s="78">
        <f t="shared" si="243"/>
        <v>1.33</v>
      </c>
      <c r="BE352" s="78">
        <f t="shared" si="244"/>
        <v>1.33</v>
      </c>
      <c r="BF352" s="78">
        <f t="shared" si="245"/>
        <v>1.33</v>
      </c>
      <c r="BG352" s="78">
        <f t="shared" si="246"/>
        <v>1.33</v>
      </c>
      <c r="BH352" s="78">
        <f t="shared" si="247"/>
        <v>1.33</v>
      </c>
      <c r="BI352" s="78">
        <f t="shared" si="248"/>
        <v>1.33</v>
      </c>
      <c r="BJ352" s="78">
        <f t="shared" si="249"/>
        <v>1.33</v>
      </c>
      <c r="BK352" s="78">
        <f t="shared" si="250"/>
        <v>1.33</v>
      </c>
      <c r="BL352" s="78">
        <f t="shared" si="251"/>
        <v>1.33</v>
      </c>
      <c r="BM352" s="78">
        <f t="shared" si="252"/>
        <v>1.33</v>
      </c>
      <c r="BN352" s="78">
        <f t="shared" si="253"/>
        <v>1.33</v>
      </c>
      <c r="BO352" s="78">
        <f t="shared" si="254"/>
        <v>1.33</v>
      </c>
      <c r="BP352" s="78">
        <f t="shared" si="255"/>
        <v>1.33</v>
      </c>
      <c r="BQ352" s="78">
        <f t="shared" si="256"/>
        <v>1.33</v>
      </c>
      <c r="BR352" s="78">
        <f t="shared" si="257"/>
        <v>1.33</v>
      </c>
      <c r="BS352" s="77"/>
      <c r="BT352" s="77"/>
    </row>
    <row r="353" spans="1:72" ht="14.1" customHeight="1" x14ac:dyDescent="0.2">
      <c r="A353" s="55" t="str">
        <f t="shared" si="228"/>
        <v>DS-3 (General Delivery Service)_Rider CGC - Customer Generation Charge</v>
      </c>
      <c r="B353" s="80" t="s">
        <v>666</v>
      </c>
      <c r="C353" s="83" t="s">
        <v>836</v>
      </c>
      <c r="D353" s="150"/>
      <c r="E353" s="81"/>
      <c r="F353" s="73" t="s">
        <v>649</v>
      </c>
      <c r="G353" s="73">
        <v>0</v>
      </c>
      <c r="H353" s="73">
        <v>6</v>
      </c>
      <c r="I353" s="74" t="s">
        <v>641</v>
      </c>
      <c r="J353" s="75"/>
      <c r="K353" s="74"/>
      <c r="L353" s="82">
        <v>67.36</v>
      </c>
      <c r="M353" s="138">
        <v>65.72</v>
      </c>
      <c r="N353" s="138">
        <v>65.72</v>
      </c>
      <c r="O353" s="138">
        <v>65.72</v>
      </c>
      <c r="P353" s="138">
        <v>65.72</v>
      </c>
      <c r="Q353" s="138">
        <v>65.72</v>
      </c>
      <c r="R353" s="138">
        <v>65.72</v>
      </c>
      <c r="S353" s="138">
        <v>65.72</v>
      </c>
      <c r="T353" s="138">
        <v>65.72</v>
      </c>
      <c r="U353" s="138">
        <v>65.72</v>
      </c>
      <c r="V353" s="138">
        <v>65.72</v>
      </c>
      <c r="W353" s="138">
        <v>65.72</v>
      </c>
      <c r="X353" s="138">
        <v>65.72</v>
      </c>
      <c r="Y353" s="138">
        <f t="shared" si="258"/>
        <v>65.72</v>
      </c>
      <c r="Z353" s="138">
        <f t="shared" si="259"/>
        <v>65.72</v>
      </c>
      <c r="AA353" s="138">
        <f t="shared" si="260"/>
        <v>65.72</v>
      </c>
      <c r="AB353" s="138">
        <f t="shared" si="261"/>
        <v>65.72</v>
      </c>
      <c r="AC353" s="138">
        <f t="shared" si="262"/>
        <v>65.72</v>
      </c>
      <c r="AD353" s="138">
        <f t="shared" si="263"/>
        <v>65.72</v>
      </c>
      <c r="AE353" s="138">
        <f t="shared" si="264"/>
        <v>65.72</v>
      </c>
      <c r="AF353" s="138">
        <f t="shared" si="265"/>
        <v>65.72</v>
      </c>
      <c r="AG353" s="138">
        <f t="shared" si="266"/>
        <v>65.72</v>
      </c>
      <c r="AH353" s="138">
        <f t="shared" si="267"/>
        <v>65.72</v>
      </c>
      <c r="AI353" s="138">
        <f t="shared" si="268"/>
        <v>65.72</v>
      </c>
      <c r="AJ353" s="138">
        <f t="shared" si="269"/>
        <v>65.72</v>
      </c>
      <c r="AK353" s="138">
        <f t="shared" si="270"/>
        <v>65.72</v>
      </c>
      <c r="AL353" s="138">
        <f t="shared" si="271"/>
        <v>65.720000000000013</v>
      </c>
      <c r="AM353" s="138">
        <f t="shared" si="272"/>
        <v>65.720000000000013</v>
      </c>
      <c r="AO353" s="77" t="str">
        <f t="shared" si="229"/>
        <v>DS-3 (General Delivery Service)</v>
      </c>
      <c r="AP353" s="78" t="s">
        <v>667</v>
      </c>
      <c r="AQ353" s="77" t="str">
        <f t="shared" si="230"/>
        <v>Rider CGC - Customer Generation Charge</v>
      </c>
      <c r="AR353" s="78" t="str">
        <f t="shared" si="231"/>
        <v>Billing Cycle</v>
      </c>
      <c r="AS353" s="79">
        <f t="shared" si="232"/>
        <v>6</v>
      </c>
      <c r="AT353" s="78">
        <f t="shared" si="233"/>
        <v>67</v>
      </c>
      <c r="AU353" s="78">
        <f t="shared" si="234"/>
        <v>65.72</v>
      </c>
      <c r="AV353" s="78">
        <f t="shared" si="235"/>
        <v>65.72</v>
      </c>
      <c r="AW353" s="78">
        <f t="shared" si="236"/>
        <v>65.72</v>
      </c>
      <c r="AX353" s="78">
        <f t="shared" si="237"/>
        <v>65.72</v>
      </c>
      <c r="AY353" s="78">
        <f t="shared" si="238"/>
        <v>65.72</v>
      </c>
      <c r="AZ353" s="78">
        <f t="shared" si="239"/>
        <v>65.72</v>
      </c>
      <c r="BA353" s="78">
        <f t="shared" si="240"/>
        <v>65.72</v>
      </c>
      <c r="BB353" s="78">
        <f t="shared" si="241"/>
        <v>65.72</v>
      </c>
      <c r="BC353" s="78">
        <f t="shared" si="242"/>
        <v>65.72</v>
      </c>
      <c r="BD353" s="78">
        <f t="shared" si="243"/>
        <v>65.72</v>
      </c>
      <c r="BE353" s="78">
        <f t="shared" si="244"/>
        <v>65.72</v>
      </c>
      <c r="BF353" s="78">
        <f t="shared" si="245"/>
        <v>65.72</v>
      </c>
      <c r="BG353" s="78">
        <f t="shared" si="246"/>
        <v>65.72</v>
      </c>
      <c r="BH353" s="78">
        <f t="shared" si="247"/>
        <v>65.72</v>
      </c>
      <c r="BI353" s="78">
        <f t="shared" si="248"/>
        <v>65.72</v>
      </c>
      <c r="BJ353" s="78">
        <f t="shared" si="249"/>
        <v>65.72</v>
      </c>
      <c r="BK353" s="78">
        <f t="shared" si="250"/>
        <v>65.72</v>
      </c>
      <c r="BL353" s="78">
        <f t="shared" si="251"/>
        <v>65.72</v>
      </c>
      <c r="BM353" s="78">
        <f t="shared" si="252"/>
        <v>65.72</v>
      </c>
      <c r="BN353" s="78">
        <f t="shared" si="253"/>
        <v>65.72</v>
      </c>
      <c r="BO353" s="78">
        <f t="shared" si="254"/>
        <v>65.72</v>
      </c>
      <c r="BP353" s="78">
        <f t="shared" si="255"/>
        <v>65.72</v>
      </c>
      <c r="BQ353" s="78">
        <f t="shared" si="256"/>
        <v>65.72</v>
      </c>
      <c r="BR353" s="78">
        <f t="shared" si="257"/>
        <v>65.72</v>
      </c>
      <c r="BS353" s="77"/>
      <c r="BT353" s="77"/>
    </row>
    <row r="354" spans="1:72" ht="14.1" customHeight="1" x14ac:dyDescent="0.2">
      <c r="A354" s="55" t="str">
        <f t="shared" si="228"/>
        <v>DS-4 (Large General Service)_Rider CGC - Customer Generation Charge</v>
      </c>
      <c r="B354" s="80" t="s">
        <v>639</v>
      </c>
      <c r="C354" s="83" t="s">
        <v>836</v>
      </c>
      <c r="D354" s="150"/>
      <c r="E354" s="81"/>
      <c r="F354" s="73" t="s">
        <v>649</v>
      </c>
      <c r="G354" s="73">
        <v>0</v>
      </c>
      <c r="H354" s="73">
        <v>6</v>
      </c>
      <c r="I354" s="74" t="s">
        <v>641</v>
      </c>
      <c r="J354" s="75"/>
      <c r="K354" s="74"/>
      <c r="L354" s="82">
        <v>67.36</v>
      </c>
      <c r="M354" s="138">
        <v>214.85</v>
      </c>
      <c r="N354" s="138">
        <v>214.85</v>
      </c>
      <c r="O354" s="138">
        <v>214.85</v>
      </c>
      <c r="P354" s="138">
        <v>214.85</v>
      </c>
      <c r="Q354" s="138">
        <v>214.85</v>
      </c>
      <c r="R354" s="138">
        <v>214.85</v>
      </c>
      <c r="S354" s="138">
        <v>214.85</v>
      </c>
      <c r="T354" s="138">
        <v>214.85</v>
      </c>
      <c r="U354" s="138">
        <v>214.85</v>
      </c>
      <c r="V354" s="138">
        <v>214.85</v>
      </c>
      <c r="W354" s="138">
        <v>214.85</v>
      </c>
      <c r="X354" s="138">
        <v>214.85</v>
      </c>
      <c r="Y354" s="138">
        <f t="shared" si="258"/>
        <v>214.85</v>
      </c>
      <c r="Z354" s="138">
        <f t="shared" si="259"/>
        <v>214.85</v>
      </c>
      <c r="AA354" s="138">
        <f t="shared" si="260"/>
        <v>214.85</v>
      </c>
      <c r="AB354" s="138">
        <f t="shared" si="261"/>
        <v>214.85</v>
      </c>
      <c r="AC354" s="138">
        <f t="shared" si="262"/>
        <v>214.85</v>
      </c>
      <c r="AD354" s="138">
        <f t="shared" si="263"/>
        <v>214.85</v>
      </c>
      <c r="AE354" s="138">
        <f t="shared" si="264"/>
        <v>214.85</v>
      </c>
      <c r="AF354" s="138">
        <f t="shared" si="265"/>
        <v>214.85</v>
      </c>
      <c r="AG354" s="138">
        <f t="shared" si="266"/>
        <v>214.85</v>
      </c>
      <c r="AH354" s="138">
        <f t="shared" si="267"/>
        <v>214.85</v>
      </c>
      <c r="AI354" s="138">
        <f t="shared" si="268"/>
        <v>214.85</v>
      </c>
      <c r="AJ354" s="138">
        <f t="shared" si="269"/>
        <v>214.85</v>
      </c>
      <c r="AK354" s="138">
        <f t="shared" si="270"/>
        <v>214.85</v>
      </c>
      <c r="AL354" s="138">
        <f t="shared" si="271"/>
        <v>214.84999999999994</v>
      </c>
      <c r="AM354" s="138">
        <f t="shared" si="272"/>
        <v>214.85000000000002</v>
      </c>
      <c r="AO354" s="77" t="str">
        <f t="shared" si="229"/>
        <v>DS-4 (Large General Service)</v>
      </c>
      <c r="AP354" s="78" t="s">
        <v>642</v>
      </c>
      <c r="AQ354" s="77" t="str">
        <f t="shared" si="230"/>
        <v>Rider CGC - Customer Generation Charge</v>
      </c>
      <c r="AR354" s="78" t="str">
        <f t="shared" si="231"/>
        <v>Billing Cycle</v>
      </c>
      <c r="AS354" s="79">
        <f t="shared" si="232"/>
        <v>6</v>
      </c>
      <c r="AT354" s="78">
        <f t="shared" si="233"/>
        <v>67</v>
      </c>
      <c r="AU354" s="78">
        <f t="shared" si="234"/>
        <v>214.85</v>
      </c>
      <c r="AV354" s="78">
        <f t="shared" si="235"/>
        <v>214.85</v>
      </c>
      <c r="AW354" s="78">
        <f t="shared" si="236"/>
        <v>214.85</v>
      </c>
      <c r="AX354" s="78">
        <f t="shared" si="237"/>
        <v>214.85</v>
      </c>
      <c r="AY354" s="78">
        <f t="shared" si="238"/>
        <v>214.85</v>
      </c>
      <c r="AZ354" s="78">
        <f t="shared" si="239"/>
        <v>214.85</v>
      </c>
      <c r="BA354" s="78">
        <f t="shared" si="240"/>
        <v>214.85</v>
      </c>
      <c r="BB354" s="78">
        <f t="shared" si="241"/>
        <v>214.85</v>
      </c>
      <c r="BC354" s="78">
        <f t="shared" si="242"/>
        <v>214.85</v>
      </c>
      <c r="BD354" s="78">
        <f t="shared" si="243"/>
        <v>214.85</v>
      </c>
      <c r="BE354" s="78">
        <f t="shared" si="244"/>
        <v>214.85</v>
      </c>
      <c r="BF354" s="78">
        <f t="shared" si="245"/>
        <v>214.85</v>
      </c>
      <c r="BG354" s="78">
        <f t="shared" si="246"/>
        <v>214.85</v>
      </c>
      <c r="BH354" s="78">
        <f t="shared" si="247"/>
        <v>214.85</v>
      </c>
      <c r="BI354" s="78">
        <f t="shared" si="248"/>
        <v>214.85</v>
      </c>
      <c r="BJ354" s="78">
        <f t="shared" si="249"/>
        <v>214.85</v>
      </c>
      <c r="BK354" s="78">
        <f t="shared" si="250"/>
        <v>214.85</v>
      </c>
      <c r="BL354" s="78">
        <f t="shared" si="251"/>
        <v>214.85</v>
      </c>
      <c r="BM354" s="78">
        <f t="shared" si="252"/>
        <v>214.85</v>
      </c>
      <c r="BN354" s="78">
        <f t="shared" si="253"/>
        <v>214.85</v>
      </c>
      <c r="BO354" s="78">
        <f t="shared" si="254"/>
        <v>214.85</v>
      </c>
      <c r="BP354" s="78">
        <f t="shared" si="255"/>
        <v>214.85</v>
      </c>
      <c r="BQ354" s="78">
        <f t="shared" si="256"/>
        <v>214.85</v>
      </c>
      <c r="BR354" s="78">
        <f t="shared" si="257"/>
        <v>214.85</v>
      </c>
      <c r="BS354" s="77"/>
      <c r="BT354" s="77"/>
    </row>
    <row r="355" spans="1:72" ht="14.1" customHeight="1" x14ac:dyDescent="0.2">
      <c r="A355" s="55" t="str">
        <f t="shared" si="228"/>
        <v>DS-6 (DS-3) Temp. Sensitive DS_Rider CGC - Customer Generation Charge</v>
      </c>
      <c r="B355" s="80" t="s">
        <v>643</v>
      </c>
      <c r="C355" s="83" t="s">
        <v>836</v>
      </c>
      <c r="D355" s="150"/>
      <c r="E355" s="81"/>
      <c r="F355" s="73" t="s">
        <v>649</v>
      </c>
      <c r="G355" s="73">
        <v>0</v>
      </c>
      <c r="H355" s="73">
        <v>6</v>
      </c>
      <c r="I355" s="74" t="s">
        <v>641</v>
      </c>
      <c r="J355" s="75"/>
      <c r="K355" s="74"/>
      <c r="L355" s="82">
        <v>67.36</v>
      </c>
      <c r="M355" s="138">
        <v>65.72</v>
      </c>
      <c r="N355" s="138">
        <v>65.72</v>
      </c>
      <c r="O355" s="138">
        <v>65.72</v>
      </c>
      <c r="P355" s="138">
        <v>65.72</v>
      </c>
      <c r="Q355" s="138">
        <v>65.72</v>
      </c>
      <c r="R355" s="138">
        <v>65.72</v>
      </c>
      <c r="S355" s="138">
        <v>65.72</v>
      </c>
      <c r="T355" s="138">
        <v>65.72</v>
      </c>
      <c r="U355" s="138">
        <v>65.72</v>
      </c>
      <c r="V355" s="138">
        <v>65.72</v>
      </c>
      <c r="W355" s="138">
        <v>65.72</v>
      </c>
      <c r="X355" s="138">
        <v>65.72</v>
      </c>
      <c r="Y355" s="138">
        <f t="shared" si="258"/>
        <v>65.72</v>
      </c>
      <c r="Z355" s="138">
        <f t="shared" si="259"/>
        <v>65.72</v>
      </c>
      <c r="AA355" s="138">
        <f t="shared" si="260"/>
        <v>65.72</v>
      </c>
      <c r="AB355" s="138">
        <f t="shared" si="261"/>
        <v>65.72</v>
      </c>
      <c r="AC355" s="138">
        <f t="shared" si="262"/>
        <v>65.72</v>
      </c>
      <c r="AD355" s="138">
        <f t="shared" si="263"/>
        <v>65.72</v>
      </c>
      <c r="AE355" s="138">
        <f t="shared" si="264"/>
        <v>65.72</v>
      </c>
      <c r="AF355" s="138">
        <f t="shared" si="265"/>
        <v>65.72</v>
      </c>
      <c r="AG355" s="138">
        <f t="shared" si="266"/>
        <v>65.72</v>
      </c>
      <c r="AH355" s="138">
        <f t="shared" si="267"/>
        <v>65.72</v>
      </c>
      <c r="AI355" s="138">
        <f t="shared" si="268"/>
        <v>65.72</v>
      </c>
      <c r="AJ355" s="138">
        <f t="shared" si="269"/>
        <v>65.72</v>
      </c>
      <c r="AK355" s="138">
        <f t="shared" si="270"/>
        <v>65.72</v>
      </c>
      <c r="AL355" s="138">
        <f t="shared" si="271"/>
        <v>65.720000000000013</v>
      </c>
      <c r="AM355" s="138">
        <f t="shared" si="272"/>
        <v>65.720000000000013</v>
      </c>
      <c r="AO355" s="77" t="str">
        <f t="shared" si="229"/>
        <v>DS-6 (DS-3) Temp. Sensitive DS</v>
      </c>
      <c r="AP355" s="78" t="s">
        <v>644</v>
      </c>
      <c r="AQ355" s="77" t="str">
        <f t="shared" si="230"/>
        <v>Rider CGC - Customer Generation Charge</v>
      </c>
      <c r="AR355" s="78" t="str">
        <f t="shared" si="231"/>
        <v>Billing Cycle</v>
      </c>
      <c r="AS355" s="79">
        <f t="shared" si="232"/>
        <v>6</v>
      </c>
      <c r="AT355" s="78">
        <f t="shared" si="233"/>
        <v>67</v>
      </c>
      <c r="AU355" s="78">
        <f t="shared" si="234"/>
        <v>65.72</v>
      </c>
      <c r="AV355" s="78">
        <f t="shared" si="235"/>
        <v>65.72</v>
      </c>
      <c r="AW355" s="78">
        <f t="shared" si="236"/>
        <v>65.72</v>
      </c>
      <c r="AX355" s="78">
        <f t="shared" si="237"/>
        <v>65.72</v>
      </c>
      <c r="AY355" s="78">
        <f t="shared" si="238"/>
        <v>65.72</v>
      </c>
      <c r="AZ355" s="78">
        <f t="shared" si="239"/>
        <v>65.72</v>
      </c>
      <c r="BA355" s="78">
        <f t="shared" si="240"/>
        <v>65.72</v>
      </c>
      <c r="BB355" s="78">
        <f t="shared" si="241"/>
        <v>65.72</v>
      </c>
      <c r="BC355" s="78">
        <f t="shared" si="242"/>
        <v>65.72</v>
      </c>
      <c r="BD355" s="78">
        <f t="shared" si="243"/>
        <v>65.72</v>
      </c>
      <c r="BE355" s="78">
        <f t="shared" si="244"/>
        <v>65.72</v>
      </c>
      <c r="BF355" s="78">
        <f t="shared" si="245"/>
        <v>65.72</v>
      </c>
      <c r="BG355" s="78">
        <f t="shared" si="246"/>
        <v>65.72</v>
      </c>
      <c r="BH355" s="78">
        <f t="shared" si="247"/>
        <v>65.72</v>
      </c>
      <c r="BI355" s="78">
        <f t="shared" si="248"/>
        <v>65.72</v>
      </c>
      <c r="BJ355" s="78">
        <f t="shared" si="249"/>
        <v>65.72</v>
      </c>
      <c r="BK355" s="78">
        <f t="shared" si="250"/>
        <v>65.72</v>
      </c>
      <c r="BL355" s="78">
        <f t="shared" si="251"/>
        <v>65.72</v>
      </c>
      <c r="BM355" s="78">
        <f t="shared" si="252"/>
        <v>65.72</v>
      </c>
      <c r="BN355" s="78">
        <f t="shared" si="253"/>
        <v>65.72</v>
      </c>
      <c r="BO355" s="78">
        <f t="shared" si="254"/>
        <v>65.72</v>
      </c>
      <c r="BP355" s="78">
        <f t="shared" si="255"/>
        <v>65.72</v>
      </c>
      <c r="BQ355" s="78">
        <f t="shared" si="256"/>
        <v>65.72</v>
      </c>
      <c r="BR355" s="78">
        <f t="shared" si="257"/>
        <v>65.72</v>
      </c>
      <c r="BS355" s="77"/>
      <c r="BT355" s="77"/>
    </row>
    <row r="356" spans="1:72" ht="14.1" customHeight="1" x14ac:dyDescent="0.2">
      <c r="A356" s="55" t="str">
        <f t="shared" si="228"/>
        <v>DS-6 (DS-4) Temp. Sensitive DS_Rider CGC - Customer Generation Charge</v>
      </c>
      <c r="B356" s="80" t="s">
        <v>645</v>
      </c>
      <c r="C356" s="83" t="s">
        <v>836</v>
      </c>
      <c r="D356" s="150"/>
      <c r="E356" s="81"/>
      <c r="F356" s="73" t="s">
        <v>649</v>
      </c>
      <c r="G356" s="73">
        <v>0</v>
      </c>
      <c r="H356" s="73">
        <v>6</v>
      </c>
      <c r="I356" s="74" t="s">
        <v>641</v>
      </c>
      <c r="J356" s="75"/>
      <c r="K356" s="74"/>
      <c r="L356" s="82">
        <v>193.86</v>
      </c>
      <c r="M356" s="138">
        <v>214.85</v>
      </c>
      <c r="N356" s="138">
        <v>214.85</v>
      </c>
      <c r="O356" s="138">
        <v>214.85</v>
      </c>
      <c r="P356" s="138">
        <v>214.85</v>
      </c>
      <c r="Q356" s="138">
        <v>214.85</v>
      </c>
      <c r="R356" s="138">
        <v>214.85</v>
      </c>
      <c r="S356" s="138">
        <v>214.85</v>
      </c>
      <c r="T356" s="138">
        <v>214.85</v>
      </c>
      <c r="U356" s="138">
        <v>214.85</v>
      </c>
      <c r="V356" s="138">
        <v>214.85</v>
      </c>
      <c r="W356" s="138">
        <v>214.85</v>
      </c>
      <c r="X356" s="138">
        <v>214.85</v>
      </c>
      <c r="Y356" s="138">
        <f t="shared" si="258"/>
        <v>214.85</v>
      </c>
      <c r="Z356" s="138">
        <f t="shared" si="259"/>
        <v>214.85</v>
      </c>
      <c r="AA356" s="138">
        <f t="shared" si="260"/>
        <v>214.85</v>
      </c>
      <c r="AB356" s="138">
        <f t="shared" si="261"/>
        <v>214.85</v>
      </c>
      <c r="AC356" s="138">
        <f t="shared" si="262"/>
        <v>214.85</v>
      </c>
      <c r="AD356" s="138">
        <f t="shared" si="263"/>
        <v>214.85</v>
      </c>
      <c r="AE356" s="138">
        <f t="shared" si="264"/>
        <v>214.85</v>
      </c>
      <c r="AF356" s="138">
        <f t="shared" si="265"/>
        <v>214.85</v>
      </c>
      <c r="AG356" s="138">
        <f t="shared" si="266"/>
        <v>214.85</v>
      </c>
      <c r="AH356" s="138">
        <f t="shared" si="267"/>
        <v>214.85</v>
      </c>
      <c r="AI356" s="138">
        <f t="shared" si="268"/>
        <v>214.85</v>
      </c>
      <c r="AJ356" s="138">
        <f t="shared" si="269"/>
        <v>214.85</v>
      </c>
      <c r="AK356" s="138">
        <f t="shared" si="270"/>
        <v>214.85</v>
      </c>
      <c r="AL356" s="138">
        <f t="shared" si="271"/>
        <v>214.84999999999994</v>
      </c>
      <c r="AM356" s="138">
        <f t="shared" si="272"/>
        <v>214.85000000000002</v>
      </c>
      <c r="AO356" s="77" t="str">
        <f t="shared" si="229"/>
        <v>DS-6 (DS-4) Temp. Sensitive DS</v>
      </c>
      <c r="AP356" s="78" t="s">
        <v>646</v>
      </c>
      <c r="AQ356" s="77" t="str">
        <f t="shared" si="230"/>
        <v>Rider CGC - Customer Generation Charge</v>
      </c>
      <c r="AR356" s="78" t="str">
        <f t="shared" si="231"/>
        <v>Billing Cycle</v>
      </c>
      <c r="AS356" s="79">
        <f t="shared" si="232"/>
        <v>6</v>
      </c>
      <c r="AT356" s="78">
        <f t="shared" si="233"/>
        <v>194</v>
      </c>
      <c r="AU356" s="78">
        <f t="shared" si="234"/>
        <v>214.85</v>
      </c>
      <c r="AV356" s="78">
        <f t="shared" si="235"/>
        <v>214.85</v>
      </c>
      <c r="AW356" s="78">
        <f t="shared" si="236"/>
        <v>214.85</v>
      </c>
      <c r="AX356" s="78">
        <f t="shared" si="237"/>
        <v>214.85</v>
      </c>
      <c r="AY356" s="78">
        <f t="shared" si="238"/>
        <v>214.85</v>
      </c>
      <c r="AZ356" s="78">
        <f t="shared" si="239"/>
        <v>214.85</v>
      </c>
      <c r="BA356" s="78">
        <f t="shared" si="240"/>
        <v>214.85</v>
      </c>
      <c r="BB356" s="78">
        <f t="shared" si="241"/>
        <v>214.85</v>
      </c>
      <c r="BC356" s="78">
        <f t="shared" si="242"/>
        <v>214.85</v>
      </c>
      <c r="BD356" s="78">
        <f t="shared" si="243"/>
        <v>214.85</v>
      </c>
      <c r="BE356" s="78">
        <f t="shared" si="244"/>
        <v>214.85</v>
      </c>
      <c r="BF356" s="78">
        <f t="shared" si="245"/>
        <v>214.85</v>
      </c>
      <c r="BG356" s="78">
        <f t="shared" si="246"/>
        <v>214.85</v>
      </c>
      <c r="BH356" s="78">
        <f t="shared" si="247"/>
        <v>214.85</v>
      </c>
      <c r="BI356" s="78">
        <f t="shared" si="248"/>
        <v>214.85</v>
      </c>
      <c r="BJ356" s="78">
        <f t="shared" si="249"/>
        <v>214.85</v>
      </c>
      <c r="BK356" s="78">
        <f t="shared" si="250"/>
        <v>214.85</v>
      </c>
      <c r="BL356" s="78">
        <f t="shared" si="251"/>
        <v>214.85</v>
      </c>
      <c r="BM356" s="78">
        <f t="shared" si="252"/>
        <v>214.85</v>
      </c>
      <c r="BN356" s="78">
        <f t="shared" si="253"/>
        <v>214.85</v>
      </c>
      <c r="BO356" s="78">
        <f t="shared" si="254"/>
        <v>214.85</v>
      </c>
      <c r="BP356" s="78">
        <f t="shared" si="255"/>
        <v>214.85</v>
      </c>
      <c r="BQ356" s="78">
        <f t="shared" si="256"/>
        <v>214.85</v>
      </c>
      <c r="BR356" s="78">
        <f t="shared" si="257"/>
        <v>214.85</v>
      </c>
      <c r="BS356" s="77"/>
      <c r="BT356" s="77"/>
    </row>
    <row r="357" spans="1:72" ht="14.1" customHeight="1" x14ac:dyDescent="0.2">
      <c r="A357" s="55" t="str">
        <f t="shared" si="228"/>
        <v>RTP-1 (Residential)_Rider CGC - Customer Generation Charge</v>
      </c>
      <c r="B357" s="80" t="s">
        <v>828</v>
      </c>
      <c r="C357" s="83" t="s">
        <v>836</v>
      </c>
      <c r="D357" s="150"/>
      <c r="E357" s="81"/>
      <c r="F357" s="73"/>
      <c r="G357" s="73"/>
      <c r="H357" s="73"/>
      <c r="I357" s="74"/>
      <c r="J357" s="75"/>
      <c r="K357" s="74"/>
      <c r="L357" s="82">
        <v>0.22</v>
      </c>
      <c r="M357" s="138">
        <v>0.18</v>
      </c>
      <c r="N357" s="138">
        <v>0.18</v>
      </c>
      <c r="O357" s="138">
        <v>0.18</v>
      </c>
      <c r="P357" s="138">
        <v>0.18</v>
      </c>
      <c r="Q357" s="138">
        <v>0.18</v>
      </c>
      <c r="R357" s="138">
        <v>0.18</v>
      </c>
      <c r="S357" s="138">
        <v>0.18</v>
      </c>
      <c r="T357" s="138">
        <v>0.18</v>
      </c>
      <c r="U357" s="138">
        <v>0.18</v>
      </c>
      <c r="V357" s="138">
        <v>0.18</v>
      </c>
      <c r="W357" s="138">
        <v>0.18</v>
      </c>
      <c r="X357" s="138">
        <v>0.18</v>
      </c>
      <c r="Y357" s="138">
        <f t="shared" si="258"/>
        <v>0.18</v>
      </c>
      <c r="Z357" s="138">
        <f t="shared" si="259"/>
        <v>0.18</v>
      </c>
      <c r="AA357" s="138">
        <f t="shared" si="260"/>
        <v>0.18</v>
      </c>
      <c r="AB357" s="138">
        <f t="shared" si="261"/>
        <v>0.18</v>
      </c>
      <c r="AC357" s="138">
        <f t="shared" si="262"/>
        <v>0.18</v>
      </c>
      <c r="AD357" s="138">
        <f t="shared" si="263"/>
        <v>0.18</v>
      </c>
      <c r="AE357" s="138">
        <f t="shared" si="264"/>
        <v>0.18</v>
      </c>
      <c r="AF357" s="138">
        <f t="shared" si="265"/>
        <v>0.18</v>
      </c>
      <c r="AG357" s="138">
        <f t="shared" si="266"/>
        <v>0.18</v>
      </c>
      <c r="AH357" s="138">
        <f t="shared" si="267"/>
        <v>0.18</v>
      </c>
      <c r="AI357" s="138">
        <f t="shared" si="268"/>
        <v>0.18</v>
      </c>
      <c r="AJ357" s="138">
        <f t="shared" si="269"/>
        <v>0.18</v>
      </c>
      <c r="AK357" s="138">
        <f t="shared" si="270"/>
        <v>0.18</v>
      </c>
      <c r="AL357" s="138">
        <f t="shared" si="271"/>
        <v>0.17999999999999997</v>
      </c>
      <c r="AM357" s="138">
        <f t="shared" si="272"/>
        <v>0.18000000000000005</v>
      </c>
      <c r="AO357" s="77" t="str">
        <f t="shared" si="229"/>
        <v>RTP-1 (Residential)</v>
      </c>
      <c r="AP357" s="78" t="s">
        <v>829</v>
      </c>
      <c r="AQ357" s="77" t="str">
        <f t="shared" si="230"/>
        <v>Rider CGC - Customer Generation Charge</v>
      </c>
      <c r="AR357" s="78">
        <f t="shared" si="231"/>
        <v>0</v>
      </c>
      <c r="AS357" s="79">
        <f t="shared" si="232"/>
        <v>0</v>
      </c>
      <c r="AT357" s="78">
        <f t="shared" si="233"/>
        <v>0</v>
      </c>
      <c r="AU357" s="78">
        <f t="shared" si="234"/>
        <v>0</v>
      </c>
      <c r="AV357" s="78">
        <f t="shared" si="235"/>
        <v>0</v>
      </c>
      <c r="AW357" s="78">
        <f t="shared" si="236"/>
        <v>0</v>
      </c>
      <c r="AX357" s="78">
        <f t="shared" si="237"/>
        <v>0</v>
      </c>
      <c r="AY357" s="78">
        <f t="shared" si="238"/>
        <v>0</v>
      </c>
      <c r="AZ357" s="78">
        <f t="shared" si="239"/>
        <v>0</v>
      </c>
      <c r="BA357" s="78">
        <f t="shared" si="240"/>
        <v>0</v>
      </c>
      <c r="BB357" s="78">
        <f t="shared" si="241"/>
        <v>0</v>
      </c>
      <c r="BC357" s="78">
        <f t="shared" si="242"/>
        <v>0</v>
      </c>
      <c r="BD357" s="78">
        <f t="shared" si="243"/>
        <v>0</v>
      </c>
      <c r="BE357" s="78">
        <f t="shared" si="244"/>
        <v>0</v>
      </c>
      <c r="BF357" s="78">
        <f t="shared" si="245"/>
        <v>0</v>
      </c>
      <c r="BG357" s="78">
        <f t="shared" si="246"/>
        <v>0</v>
      </c>
      <c r="BH357" s="78">
        <f t="shared" si="247"/>
        <v>0</v>
      </c>
      <c r="BI357" s="78">
        <f t="shared" si="248"/>
        <v>0</v>
      </c>
      <c r="BJ357" s="78">
        <f t="shared" si="249"/>
        <v>0</v>
      </c>
      <c r="BK357" s="78">
        <f t="shared" si="250"/>
        <v>0</v>
      </c>
      <c r="BL357" s="78">
        <f t="shared" si="251"/>
        <v>0</v>
      </c>
      <c r="BM357" s="78">
        <f t="shared" si="252"/>
        <v>0</v>
      </c>
      <c r="BN357" s="78">
        <f t="shared" si="253"/>
        <v>0</v>
      </c>
      <c r="BO357" s="78">
        <f t="shared" si="254"/>
        <v>0</v>
      </c>
      <c r="BP357" s="78">
        <f t="shared" si="255"/>
        <v>0</v>
      </c>
      <c r="BQ357" s="78">
        <f t="shared" si="256"/>
        <v>0</v>
      </c>
      <c r="BR357" s="78">
        <f t="shared" si="257"/>
        <v>0</v>
      </c>
      <c r="BS357" s="77"/>
      <c r="BT357" s="77"/>
    </row>
    <row r="358" spans="1:72" ht="14.1" customHeight="1" x14ac:dyDescent="0.2">
      <c r="A358" s="55" t="str">
        <f t="shared" si="228"/>
        <v>RTP-2 (Non-Residential)_Rider CGC - Customer Generation Charge</v>
      </c>
      <c r="B358" s="80" t="s">
        <v>830</v>
      </c>
      <c r="C358" s="83" t="s">
        <v>836</v>
      </c>
      <c r="D358" s="150"/>
      <c r="E358" s="81"/>
      <c r="F358" s="73"/>
      <c r="G358" s="73"/>
      <c r="H358" s="73"/>
      <c r="I358" s="74"/>
      <c r="J358" s="75"/>
      <c r="K358" s="74"/>
      <c r="L358" s="82">
        <v>0.94</v>
      </c>
      <c r="M358" s="138">
        <v>1.33</v>
      </c>
      <c r="N358" s="138">
        <v>1.33</v>
      </c>
      <c r="O358" s="138">
        <v>1.33</v>
      </c>
      <c r="P358" s="138">
        <v>1.33</v>
      </c>
      <c r="Q358" s="138">
        <v>1.33</v>
      </c>
      <c r="R358" s="138">
        <v>1.33</v>
      </c>
      <c r="S358" s="138">
        <v>1.33</v>
      </c>
      <c r="T358" s="138">
        <v>1.33</v>
      </c>
      <c r="U358" s="138">
        <v>1.33</v>
      </c>
      <c r="V358" s="138">
        <v>1.33</v>
      </c>
      <c r="W358" s="138">
        <v>1.33</v>
      </c>
      <c r="X358" s="138">
        <v>1.33</v>
      </c>
      <c r="Y358" s="138">
        <f t="shared" si="258"/>
        <v>1.33</v>
      </c>
      <c r="Z358" s="138">
        <f t="shared" si="259"/>
        <v>1.33</v>
      </c>
      <c r="AA358" s="138">
        <f t="shared" si="260"/>
        <v>1.33</v>
      </c>
      <c r="AB358" s="138">
        <f t="shared" si="261"/>
        <v>1.33</v>
      </c>
      <c r="AC358" s="138">
        <f t="shared" si="262"/>
        <v>1.33</v>
      </c>
      <c r="AD358" s="138">
        <f t="shared" si="263"/>
        <v>1.33</v>
      </c>
      <c r="AE358" s="138">
        <f t="shared" si="264"/>
        <v>1.33</v>
      </c>
      <c r="AF358" s="138">
        <f t="shared" si="265"/>
        <v>1.33</v>
      </c>
      <c r="AG358" s="138">
        <f t="shared" si="266"/>
        <v>1.33</v>
      </c>
      <c r="AH358" s="138">
        <f t="shared" si="267"/>
        <v>1.33</v>
      </c>
      <c r="AI358" s="138">
        <f t="shared" si="268"/>
        <v>1.33</v>
      </c>
      <c r="AJ358" s="138">
        <f t="shared" si="269"/>
        <v>1.33</v>
      </c>
      <c r="AK358" s="138">
        <f t="shared" si="270"/>
        <v>1.33</v>
      </c>
      <c r="AL358" s="138">
        <f t="shared" si="271"/>
        <v>1.33</v>
      </c>
      <c r="AM358" s="138">
        <f t="shared" si="272"/>
        <v>1.3299999999999992</v>
      </c>
      <c r="AO358" s="77" t="str">
        <f t="shared" si="229"/>
        <v>RTP-2 (Non-Residential)</v>
      </c>
      <c r="AP358" s="78" t="s">
        <v>831</v>
      </c>
      <c r="AQ358" s="77" t="str">
        <f t="shared" si="230"/>
        <v>Rider CGC - Customer Generation Charge</v>
      </c>
      <c r="AR358" s="78">
        <f t="shared" si="231"/>
        <v>0</v>
      </c>
      <c r="AS358" s="79">
        <f t="shared" si="232"/>
        <v>0</v>
      </c>
      <c r="AT358" s="78">
        <f t="shared" si="233"/>
        <v>1</v>
      </c>
      <c r="AU358" s="78">
        <f t="shared" si="234"/>
        <v>1</v>
      </c>
      <c r="AV358" s="78">
        <f t="shared" si="235"/>
        <v>1</v>
      </c>
      <c r="AW358" s="78">
        <f t="shared" si="236"/>
        <v>1</v>
      </c>
      <c r="AX358" s="78">
        <f t="shared" si="237"/>
        <v>1</v>
      </c>
      <c r="AY358" s="78">
        <f t="shared" si="238"/>
        <v>1</v>
      </c>
      <c r="AZ358" s="78">
        <f t="shared" si="239"/>
        <v>1</v>
      </c>
      <c r="BA358" s="78">
        <f t="shared" si="240"/>
        <v>1</v>
      </c>
      <c r="BB358" s="78">
        <f t="shared" si="241"/>
        <v>1</v>
      </c>
      <c r="BC358" s="78">
        <f t="shared" si="242"/>
        <v>1</v>
      </c>
      <c r="BD358" s="78">
        <f t="shared" si="243"/>
        <v>1</v>
      </c>
      <c r="BE358" s="78">
        <f t="shared" si="244"/>
        <v>1</v>
      </c>
      <c r="BF358" s="78">
        <f t="shared" si="245"/>
        <v>1</v>
      </c>
      <c r="BG358" s="78">
        <f t="shared" si="246"/>
        <v>1</v>
      </c>
      <c r="BH358" s="78">
        <f t="shared" si="247"/>
        <v>1</v>
      </c>
      <c r="BI358" s="78">
        <f t="shared" si="248"/>
        <v>1</v>
      </c>
      <c r="BJ358" s="78">
        <f t="shared" si="249"/>
        <v>1</v>
      </c>
      <c r="BK358" s="78">
        <f t="shared" si="250"/>
        <v>1</v>
      </c>
      <c r="BL358" s="78">
        <f t="shared" si="251"/>
        <v>1</v>
      </c>
      <c r="BM358" s="78">
        <f t="shared" si="252"/>
        <v>1</v>
      </c>
      <c r="BN358" s="78">
        <f t="shared" si="253"/>
        <v>1</v>
      </c>
      <c r="BO358" s="78">
        <f t="shared" si="254"/>
        <v>1</v>
      </c>
      <c r="BP358" s="78">
        <f t="shared" si="255"/>
        <v>1</v>
      </c>
      <c r="BQ358" s="78">
        <f t="shared" si="256"/>
        <v>1</v>
      </c>
      <c r="BR358" s="78">
        <f t="shared" si="257"/>
        <v>1</v>
      </c>
      <c r="BS358" s="77"/>
      <c r="BT358" s="77"/>
    </row>
    <row r="359" spans="1:72" ht="14.1" customHeight="1" x14ac:dyDescent="0.2">
      <c r="A359" s="55" t="str">
        <f t="shared" si="228"/>
        <v>DS-1 (Residential)_Rider EE - Energy Efficiency Programs Charge</v>
      </c>
      <c r="B359" s="80" t="s">
        <v>90</v>
      </c>
      <c r="C359" s="71" t="s">
        <v>837</v>
      </c>
      <c r="D359" s="150" t="s">
        <v>585</v>
      </c>
      <c r="E359" s="81"/>
      <c r="F359" s="73" t="s">
        <v>649</v>
      </c>
      <c r="G359" s="73">
        <v>0</v>
      </c>
      <c r="H359" s="73">
        <v>6</v>
      </c>
      <c r="I359" s="74" t="s">
        <v>641</v>
      </c>
      <c r="J359" s="75" t="s">
        <v>634</v>
      </c>
      <c r="K359" s="74"/>
      <c r="L359" s="82">
        <v>3.15E-3</v>
      </c>
      <c r="M359" s="138">
        <v>4.15E-3</v>
      </c>
      <c r="N359" s="138">
        <v>4.15E-3</v>
      </c>
      <c r="O359" s="138">
        <v>4.15E-3</v>
      </c>
      <c r="P359" s="138">
        <v>4.15E-3</v>
      </c>
      <c r="Q359" s="138">
        <v>4.15E-3</v>
      </c>
      <c r="R359" s="138">
        <v>4.15E-3</v>
      </c>
      <c r="S359" s="138">
        <v>4.15E-3</v>
      </c>
      <c r="T359" s="138">
        <v>4.15E-3</v>
      </c>
      <c r="U359" s="138">
        <v>4.15E-3</v>
      </c>
      <c r="V359" s="138">
        <v>4.15E-3</v>
      </c>
      <c r="W359" s="138">
        <v>4.15E-3</v>
      </c>
      <c r="X359" s="138">
        <v>4.15E-3</v>
      </c>
      <c r="Y359" s="138">
        <f t="shared" si="258"/>
        <v>4.15E-3</v>
      </c>
      <c r="Z359" s="138">
        <f t="shared" si="259"/>
        <v>4.15E-3</v>
      </c>
      <c r="AA359" s="138">
        <f t="shared" si="260"/>
        <v>4.15E-3</v>
      </c>
      <c r="AB359" s="138">
        <f t="shared" si="261"/>
        <v>4.15E-3</v>
      </c>
      <c r="AC359" s="138">
        <f t="shared" si="262"/>
        <v>4.15E-3</v>
      </c>
      <c r="AD359" s="138">
        <f t="shared" si="263"/>
        <v>4.15E-3</v>
      </c>
      <c r="AE359" s="138">
        <f t="shared" si="264"/>
        <v>4.15E-3</v>
      </c>
      <c r="AF359" s="138">
        <f t="shared" si="265"/>
        <v>4.15E-3</v>
      </c>
      <c r="AG359" s="138">
        <f t="shared" si="266"/>
        <v>4.15E-3</v>
      </c>
      <c r="AH359" s="138">
        <f t="shared" si="267"/>
        <v>4.15E-3</v>
      </c>
      <c r="AI359" s="138">
        <f t="shared" si="268"/>
        <v>4.15E-3</v>
      </c>
      <c r="AJ359" s="138">
        <f t="shared" si="269"/>
        <v>4.15E-3</v>
      </c>
      <c r="AK359" s="138">
        <f t="shared" si="270"/>
        <v>4.15E-3</v>
      </c>
      <c r="AL359" s="138">
        <f t="shared" si="271"/>
        <v>4.15E-3</v>
      </c>
      <c r="AM359" s="138">
        <f t="shared" si="272"/>
        <v>4.15E-3</v>
      </c>
      <c r="AO359" s="77" t="str">
        <f t="shared" si="229"/>
        <v>DS-1 (Residential)</v>
      </c>
      <c r="AP359" s="78" t="s">
        <v>662</v>
      </c>
      <c r="AQ359" s="77" t="str">
        <f t="shared" si="230"/>
        <v>Rider EE - Energy Efficiency Programs Charge</v>
      </c>
      <c r="AR359" s="78" t="str">
        <f t="shared" si="231"/>
        <v>Billing Cycle</v>
      </c>
      <c r="AS359" s="79">
        <f t="shared" si="232"/>
        <v>6</v>
      </c>
      <c r="AT359" s="78">
        <f t="shared" si="233"/>
        <v>0</v>
      </c>
      <c r="AU359" s="78">
        <f t="shared" si="234"/>
        <v>4.15E-3</v>
      </c>
      <c r="AV359" s="78">
        <f t="shared" si="235"/>
        <v>4.15E-3</v>
      </c>
      <c r="AW359" s="78">
        <f t="shared" si="236"/>
        <v>4.15E-3</v>
      </c>
      <c r="AX359" s="78">
        <f t="shared" si="237"/>
        <v>4.15E-3</v>
      </c>
      <c r="AY359" s="78">
        <f t="shared" si="238"/>
        <v>4.15E-3</v>
      </c>
      <c r="AZ359" s="78">
        <f t="shared" si="239"/>
        <v>4.15E-3</v>
      </c>
      <c r="BA359" s="78">
        <f t="shared" si="240"/>
        <v>4.15E-3</v>
      </c>
      <c r="BB359" s="78">
        <f t="shared" si="241"/>
        <v>4.15E-3</v>
      </c>
      <c r="BC359" s="78">
        <f t="shared" si="242"/>
        <v>4.15E-3</v>
      </c>
      <c r="BD359" s="78">
        <f t="shared" si="243"/>
        <v>4.15E-3</v>
      </c>
      <c r="BE359" s="78">
        <f t="shared" si="244"/>
        <v>4.15E-3</v>
      </c>
      <c r="BF359" s="78">
        <f t="shared" si="245"/>
        <v>4.15E-3</v>
      </c>
      <c r="BG359" s="78">
        <f t="shared" si="246"/>
        <v>4.15E-3</v>
      </c>
      <c r="BH359" s="78">
        <f t="shared" si="247"/>
        <v>4.15E-3</v>
      </c>
      <c r="BI359" s="78">
        <f t="shared" si="248"/>
        <v>4.15E-3</v>
      </c>
      <c r="BJ359" s="78">
        <f t="shared" si="249"/>
        <v>4.15E-3</v>
      </c>
      <c r="BK359" s="78">
        <f t="shared" si="250"/>
        <v>4.15E-3</v>
      </c>
      <c r="BL359" s="78">
        <f t="shared" si="251"/>
        <v>4.15E-3</v>
      </c>
      <c r="BM359" s="78">
        <f t="shared" si="252"/>
        <v>4.15E-3</v>
      </c>
      <c r="BN359" s="78">
        <f t="shared" si="253"/>
        <v>4.15E-3</v>
      </c>
      <c r="BO359" s="78">
        <f t="shared" si="254"/>
        <v>4.15E-3</v>
      </c>
      <c r="BP359" s="78">
        <f t="shared" si="255"/>
        <v>4.15E-3</v>
      </c>
      <c r="BQ359" s="78">
        <f t="shared" si="256"/>
        <v>4.15E-3</v>
      </c>
      <c r="BR359" s="78">
        <f t="shared" si="257"/>
        <v>4.15E-3</v>
      </c>
      <c r="BS359" s="77"/>
      <c r="BT359" s="77"/>
    </row>
    <row r="360" spans="1:72" ht="14.1" customHeight="1" x14ac:dyDescent="0.2">
      <c r="A360" s="55" t="str">
        <f t="shared" si="228"/>
        <v>DS-2 (Small General Service)_Rider EE - Energy Efficiency Programs Charge</v>
      </c>
      <c r="B360" s="80" t="s">
        <v>665</v>
      </c>
      <c r="C360" s="71" t="s">
        <v>837</v>
      </c>
      <c r="D360" s="150"/>
      <c r="E360" s="81"/>
      <c r="F360" s="73" t="s">
        <v>649</v>
      </c>
      <c r="G360" s="73">
        <v>0</v>
      </c>
      <c r="H360" s="73">
        <v>6</v>
      </c>
      <c r="I360" s="74" t="s">
        <v>641</v>
      </c>
      <c r="J360" s="75" t="s">
        <v>634</v>
      </c>
      <c r="K360" s="74"/>
      <c r="L360" s="82">
        <v>4.8399999999999997E-3</v>
      </c>
      <c r="M360" s="138">
        <v>6.1700000000000001E-3</v>
      </c>
      <c r="N360" s="138">
        <v>6.1700000000000001E-3</v>
      </c>
      <c r="O360" s="138">
        <v>6.1700000000000001E-3</v>
      </c>
      <c r="P360" s="138">
        <v>6.1700000000000001E-3</v>
      </c>
      <c r="Q360" s="138">
        <v>6.1700000000000001E-3</v>
      </c>
      <c r="R360" s="138">
        <v>6.1700000000000001E-3</v>
      </c>
      <c r="S360" s="138">
        <v>6.1700000000000001E-3</v>
      </c>
      <c r="T360" s="138">
        <v>6.1700000000000001E-3</v>
      </c>
      <c r="U360" s="138">
        <v>6.1700000000000001E-3</v>
      </c>
      <c r="V360" s="138">
        <v>6.1700000000000001E-3</v>
      </c>
      <c r="W360" s="138">
        <v>6.1700000000000001E-3</v>
      </c>
      <c r="X360" s="138">
        <v>6.1700000000000001E-3</v>
      </c>
      <c r="Y360" s="138">
        <f t="shared" si="258"/>
        <v>6.1700000000000001E-3</v>
      </c>
      <c r="Z360" s="138">
        <f t="shared" si="259"/>
        <v>6.1700000000000001E-3</v>
      </c>
      <c r="AA360" s="138">
        <f t="shared" si="260"/>
        <v>6.1700000000000001E-3</v>
      </c>
      <c r="AB360" s="138">
        <f t="shared" si="261"/>
        <v>6.1700000000000001E-3</v>
      </c>
      <c r="AC360" s="138">
        <f t="shared" si="262"/>
        <v>6.1700000000000001E-3</v>
      </c>
      <c r="AD360" s="138">
        <f t="shared" si="263"/>
        <v>6.1700000000000001E-3</v>
      </c>
      <c r="AE360" s="138">
        <f t="shared" si="264"/>
        <v>6.1700000000000001E-3</v>
      </c>
      <c r="AF360" s="138">
        <f t="shared" si="265"/>
        <v>6.1700000000000001E-3</v>
      </c>
      <c r="AG360" s="138">
        <f t="shared" si="266"/>
        <v>6.1700000000000001E-3</v>
      </c>
      <c r="AH360" s="138">
        <f t="shared" si="267"/>
        <v>6.1700000000000001E-3</v>
      </c>
      <c r="AI360" s="138">
        <f t="shared" si="268"/>
        <v>6.1700000000000001E-3</v>
      </c>
      <c r="AJ360" s="138">
        <f t="shared" si="269"/>
        <v>6.1700000000000001E-3</v>
      </c>
      <c r="AK360" s="138">
        <f t="shared" si="270"/>
        <v>6.1700000000000001E-3</v>
      </c>
      <c r="AL360" s="138">
        <f t="shared" si="271"/>
        <v>6.170000000000001E-3</v>
      </c>
      <c r="AM360" s="138">
        <f t="shared" si="272"/>
        <v>6.1699999999999993E-3</v>
      </c>
      <c r="AO360" s="77" t="str">
        <f t="shared" si="229"/>
        <v>DS-2 (Small General Service)</v>
      </c>
      <c r="AP360" s="78" t="s">
        <v>664</v>
      </c>
      <c r="AQ360" s="77" t="str">
        <f t="shared" si="230"/>
        <v>Rider EE - Energy Efficiency Programs Charge</v>
      </c>
      <c r="AR360" s="78" t="str">
        <f t="shared" si="231"/>
        <v>Billing Cycle</v>
      </c>
      <c r="AS360" s="79">
        <f t="shared" si="232"/>
        <v>6</v>
      </c>
      <c r="AT360" s="78">
        <f t="shared" si="233"/>
        <v>0</v>
      </c>
      <c r="AU360" s="78">
        <f t="shared" si="234"/>
        <v>6.1700000000000001E-3</v>
      </c>
      <c r="AV360" s="78">
        <f t="shared" si="235"/>
        <v>6.1700000000000001E-3</v>
      </c>
      <c r="AW360" s="78">
        <f t="shared" si="236"/>
        <v>6.1700000000000001E-3</v>
      </c>
      <c r="AX360" s="78">
        <f t="shared" si="237"/>
        <v>6.1700000000000001E-3</v>
      </c>
      <c r="AY360" s="78">
        <f t="shared" si="238"/>
        <v>6.1700000000000001E-3</v>
      </c>
      <c r="AZ360" s="78">
        <f t="shared" si="239"/>
        <v>6.1700000000000001E-3</v>
      </c>
      <c r="BA360" s="78">
        <f t="shared" si="240"/>
        <v>6.1700000000000001E-3</v>
      </c>
      <c r="BB360" s="78">
        <f t="shared" si="241"/>
        <v>6.1700000000000001E-3</v>
      </c>
      <c r="BC360" s="78">
        <f t="shared" si="242"/>
        <v>6.1700000000000001E-3</v>
      </c>
      <c r="BD360" s="78">
        <f t="shared" si="243"/>
        <v>6.1700000000000001E-3</v>
      </c>
      <c r="BE360" s="78">
        <f t="shared" si="244"/>
        <v>6.1700000000000001E-3</v>
      </c>
      <c r="BF360" s="78">
        <f t="shared" si="245"/>
        <v>6.1700000000000001E-3</v>
      </c>
      <c r="BG360" s="78">
        <f t="shared" si="246"/>
        <v>6.1700000000000001E-3</v>
      </c>
      <c r="BH360" s="78">
        <f t="shared" si="247"/>
        <v>6.1700000000000001E-3</v>
      </c>
      <c r="BI360" s="78">
        <f t="shared" si="248"/>
        <v>6.1700000000000001E-3</v>
      </c>
      <c r="BJ360" s="78">
        <f t="shared" si="249"/>
        <v>6.1700000000000001E-3</v>
      </c>
      <c r="BK360" s="78">
        <f t="shared" si="250"/>
        <v>6.1700000000000001E-3</v>
      </c>
      <c r="BL360" s="78">
        <f t="shared" si="251"/>
        <v>6.1700000000000001E-3</v>
      </c>
      <c r="BM360" s="78">
        <f t="shared" si="252"/>
        <v>6.1700000000000001E-3</v>
      </c>
      <c r="BN360" s="78">
        <f t="shared" si="253"/>
        <v>6.1700000000000001E-3</v>
      </c>
      <c r="BO360" s="78">
        <f t="shared" si="254"/>
        <v>6.1700000000000001E-3</v>
      </c>
      <c r="BP360" s="78">
        <f t="shared" si="255"/>
        <v>6.1700000000000001E-3</v>
      </c>
      <c r="BQ360" s="78">
        <f t="shared" si="256"/>
        <v>6.1700000000000001E-3</v>
      </c>
      <c r="BR360" s="78">
        <f t="shared" si="257"/>
        <v>6.1700000000000001E-3</v>
      </c>
      <c r="BS360" s="77"/>
      <c r="BT360" s="77"/>
    </row>
    <row r="361" spans="1:72" ht="14.1" customHeight="1" x14ac:dyDescent="0.2">
      <c r="A361" s="55" t="str">
        <f t="shared" si="228"/>
        <v>DS-3 (General Delivery Service)_Rider EE - Energy Efficiency Programs Charge</v>
      </c>
      <c r="B361" s="80" t="s">
        <v>666</v>
      </c>
      <c r="C361" s="71" t="s">
        <v>837</v>
      </c>
      <c r="D361" s="150"/>
      <c r="E361" s="81"/>
      <c r="F361" s="73" t="s">
        <v>649</v>
      </c>
      <c r="G361" s="73">
        <v>0</v>
      </c>
      <c r="H361" s="73">
        <v>6</v>
      </c>
      <c r="I361" s="74" t="s">
        <v>641</v>
      </c>
      <c r="J361" s="75" t="s">
        <v>634</v>
      </c>
      <c r="K361" s="74"/>
      <c r="L361" s="82">
        <v>2.2200000000000002E-3</v>
      </c>
      <c r="M361" s="138">
        <v>2.9299999999999999E-3</v>
      </c>
      <c r="N361" s="138">
        <v>2.9299999999999999E-3</v>
      </c>
      <c r="O361" s="138">
        <v>2.9299999999999999E-3</v>
      </c>
      <c r="P361" s="138">
        <v>2.9299999999999999E-3</v>
      </c>
      <c r="Q361" s="138">
        <v>2.9299999999999999E-3</v>
      </c>
      <c r="R361" s="138">
        <v>2.9299999999999999E-3</v>
      </c>
      <c r="S361" s="138">
        <v>2.9299999999999999E-3</v>
      </c>
      <c r="T361" s="138">
        <v>2.9299999999999999E-3</v>
      </c>
      <c r="U361" s="138">
        <v>2.9299999999999999E-3</v>
      </c>
      <c r="V361" s="138">
        <v>2.9299999999999999E-3</v>
      </c>
      <c r="W361" s="138">
        <v>2.9299999999999999E-3</v>
      </c>
      <c r="X361" s="138">
        <v>2.9299999999999999E-3</v>
      </c>
      <c r="Y361" s="138">
        <f t="shared" si="258"/>
        <v>2.9299999999999999E-3</v>
      </c>
      <c r="Z361" s="138">
        <f t="shared" si="259"/>
        <v>2.9299999999999999E-3</v>
      </c>
      <c r="AA361" s="138">
        <f t="shared" si="260"/>
        <v>2.9299999999999999E-3</v>
      </c>
      <c r="AB361" s="138">
        <f t="shared" si="261"/>
        <v>2.9299999999999999E-3</v>
      </c>
      <c r="AC361" s="138">
        <f t="shared" si="262"/>
        <v>2.9299999999999999E-3</v>
      </c>
      <c r="AD361" s="138">
        <f t="shared" si="263"/>
        <v>2.9299999999999999E-3</v>
      </c>
      <c r="AE361" s="138">
        <f t="shared" si="264"/>
        <v>2.9299999999999999E-3</v>
      </c>
      <c r="AF361" s="138">
        <f t="shared" si="265"/>
        <v>2.9299999999999999E-3</v>
      </c>
      <c r="AG361" s="138">
        <f t="shared" si="266"/>
        <v>2.9299999999999999E-3</v>
      </c>
      <c r="AH361" s="138">
        <f t="shared" si="267"/>
        <v>2.9299999999999999E-3</v>
      </c>
      <c r="AI361" s="138">
        <f t="shared" si="268"/>
        <v>2.9299999999999999E-3</v>
      </c>
      <c r="AJ361" s="138">
        <f t="shared" si="269"/>
        <v>2.9299999999999999E-3</v>
      </c>
      <c r="AK361" s="138">
        <f t="shared" si="270"/>
        <v>2.9299999999999999E-3</v>
      </c>
      <c r="AL361" s="138">
        <f t="shared" si="271"/>
        <v>2.9299999999999999E-3</v>
      </c>
      <c r="AM361" s="138">
        <f t="shared" si="272"/>
        <v>2.9300000000000007E-3</v>
      </c>
      <c r="AO361" s="77" t="str">
        <f t="shared" si="229"/>
        <v>DS-3 (General Delivery Service)</v>
      </c>
      <c r="AP361" s="78" t="s">
        <v>667</v>
      </c>
      <c r="AQ361" s="77" t="str">
        <f t="shared" si="230"/>
        <v>Rider EE - Energy Efficiency Programs Charge</v>
      </c>
      <c r="AR361" s="78" t="str">
        <f t="shared" si="231"/>
        <v>Billing Cycle</v>
      </c>
      <c r="AS361" s="79">
        <f t="shared" si="232"/>
        <v>6</v>
      </c>
      <c r="AT361" s="78">
        <f t="shared" si="233"/>
        <v>0</v>
      </c>
      <c r="AU361" s="78">
        <f t="shared" si="234"/>
        <v>2.9299999999999999E-3</v>
      </c>
      <c r="AV361" s="78">
        <f t="shared" si="235"/>
        <v>2.9299999999999999E-3</v>
      </c>
      <c r="AW361" s="78">
        <f t="shared" si="236"/>
        <v>2.9299999999999999E-3</v>
      </c>
      <c r="AX361" s="78">
        <f t="shared" si="237"/>
        <v>2.9299999999999999E-3</v>
      </c>
      <c r="AY361" s="78">
        <f t="shared" si="238"/>
        <v>2.9299999999999999E-3</v>
      </c>
      <c r="AZ361" s="78">
        <f t="shared" si="239"/>
        <v>2.9299999999999999E-3</v>
      </c>
      <c r="BA361" s="78">
        <f t="shared" si="240"/>
        <v>2.9299999999999999E-3</v>
      </c>
      <c r="BB361" s="78">
        <f t="shared" si="241"/>
        <v>2.9299999999999999E-3</v>
      </c>
      <c r="BC361" s="78">
        <f t="shared" si="242"/>
        <v>2.9299999999999999E-3</v>
      </c>
      <c r="BD361" s="78">
        <f t="shared" si="243"/>
        <v>2.9299999999999999E-3</v>
      </c>
      <c r="BE361" s="78">
        <f t="shared" si="244"/>
        <v>2.9299999999999999E-3</v>
      </c>
      <c r="BF361" s="78">
        <f t="shared" si="245"/>
        <v>2.9299999999999999E-3</v>
      </c>
      <c r="BG361" s="78">
        <f t="shared" si="246"/>
        <v>2.9299999999999999E-3</v>
      </c>
      <c r="BH361" s="78">
        <f t="shared" si="247"/>
        <v>2.9299999999999999E-3</v>
      </c>
      <c r="BI361" s="78">
        <f t="shared" si="248"/>
        <v>2.9299999999999999E-3</v>
      </c>
      <c r="BJ361" s="78">
        <f t="shared" si="249"/>
        <v>2.9299999999999999E-3</v>
      </c>
      <c r="BK361" s="78">
        <f t="shared" si="250"/>
        <v>2.9299999999999999E-3</v>
      </c>
      <c r="BL361" s="78">
        <f t="shared" si="251"/>
        <v>2.9299999999999999E-3</v>
      </c>
      <c r="BM361" s="78">
        <f t="shared" si="252"/>
        <v>2.9299999999999999E-3</v>
      </c>
      <c r="BN361" s="78">
        <f t="shared" si="253"/>
        <v>2.9299999999999999E-3</v>
      </c>
      <c r="BO361" s="78">
        <f t="shared" si="254"/>
        <v>2.9299999999999999E-3</v>
      </c>
      <c r="BP361" s="78">
        <f t="shared" si="255"/>
        <v>2.9299999999999999E-3</v>
      </c>
      <c r="BQ361" s="78">
        <f t="shared" si="256"/>
        <v>2.9299999999999999E-3</v>
      </c>
      <c r="BR361" s="78">
        <f t="shared" si="257"/>
        <v>2.9299999999999999E-3</v>
      </c>
      <c r="BS361" s="77"/>
      <c r="BT361" s="77"/>
    </row>
    <row r="362" spans="1:72" ht="14.1" customHeight="1" x14ac:dyDescent="0.2">
      <c r="A362" s="55" t="str">
        <f t="shared" si="228"/>
        <v>DS-4 (Large General Service)_Rider EE - Energy Efficiency Programs Charge</v>
      </c>
      <c r="B362" s="80" t="s">
        <v>639</v>
      </c>
      <c r="C362" s="71" t="s">
        <v>837</v>
      </c>
      <c r="D362" s="150"/>
      <c r="E362" s="81"/>
      <c r="F362" s="73" t="s">
        <v>649</v>
      </c>
      <c r="G362" s="73">
        <v>0</v>
      </c>
      <c r="H362" s="73">
        <v>6</v>
      </c>
      <c r="I362" s="74" t="s">
        <v>641</v>
      </c>
      <c r="J362" s="75" t="s">
        <v>634</v>
      </c>
      <c r="K362" s="74"/>
      <c r="L362" s="82">
        <v>9.8999999999999999E-4</v>
      </c>
      <c r="M362" s="138">
        <v>1.3699999999999999E-3</v>
      </c>
      <c r="N362" s="138">
        <v>1.3699999999999999E-3</v>
      </c>
      <c r="O362" s="138">
        <v>1.3699999999999999E-3</v>
      </c>
      <c r="P362" s="138">
        <v>1.3699999999999999E-3</v>
      </c>
      <c r="Q362" s="138">
        <v>1.3699999999999999E-3</v>
      </c>
      <c r="R362" s="138">
        <v>1.3699999999999999E-3</v>
      </c>
      <c r="S362" s="138">
        <v>1.3699999999999999E-3</v>
      </c>
      <c r="T362" s="138">
        <v>1.3699999999999999E-3</v>
      </c>
      <c r="U362" s="138">
        <v>1.3699999999999999E-3</v>
      </c>
      <c r="V362" s="138">
        <v>1.3699999999999999E-3</v>
      </c>
      <c r="W362" s="138">
        <v>1.3699999999999999E-3</v>
      </c>
      <c r="X362" s="138">
        <v>1.3699999999999999E-3</v>
      </c>
      <c r="Y362" s="138">
        <f t="shared" si="258"/>
        <v>1.3699999999999999E-3</v>
      </c>
      <c r="Z362" s="138">
        <f t="shared" si="259"/>
        <v>1.3699999999999999E-3</v>
      </c>
      <c r="AA362" s="138">
        <f t="shared" si="260"/>
        <v>1.3699999999999999E-3</v>
      </c>
      <c r="AB362" s="138">
        <f t="shared" si="261"/>
        <v>1.3699999999999999E-3</v>
      </c>
      <c r="AC362" s="138">
        <f t="shared" si="262"/>
        <v>1.3699999999999999E-3</v>
      </c>
      <c r="AD362" s="138">
        <f t="shared" si="263"/>
        <v>1.3699999999999999E-3</v>
      </c>
      <c r="AE362" s="138">
        <f t="shared" si="264"/>
        <v>1.3699999999999999E-3</v>
      </c>
      <c r="AF362" s="138">
        <f t="shared" si="265"/>
        <v>1.3699999999999999E-3</v>
      </c>
      <c r="AG362" s="138">
        <f t="shared" si="266"/>
        <v>1.3699999999999999E-3</v>
      </c>
      <c r="AH362" s="138">
        <f t="shared" si="267"/>
        <v>1.3699999999999999E-3</v>
      </c>
      <c r="AI362" s="138">
        <f t="shared" si="268"/>
        <v>1.3699999999999999E-3</v>
      </c>
      <c r="AJ362" s="138">
        <f t="shared" si="269"/>
        <v>1.3699999999999999E-3</v>
      </c>
      <c r="AK362" s="138">
        <f t="shared" si="270"/>
        <v>1.3699999999999999E-3</v>
      </c>
      <c r="AL362" s="138">
        <f t="shared" si="271"/>
        <v>1.3699999999999999E-3</v>
      </c>
      <c r="AM362" s="138">
        <f t="shared" si="272"/>
        <v>1.3699999999999999E-3</v>
      </c>
      <c r="AO362" s="77" t="str">
        <f t="shared" si="229"/>
        <v>DS-4 (Large General Service)</v>
      </c>
      <c r="AP362" s="78" t="s">
        <v>642</v>
      </c>
      <c r="AQ362" s="77" t="str">
        <f t="shared" si="230"/>
        <v>Rider EE - Energy Efficiency Programs Charge</v>
      </c>
      <c r="AR362" s="78" t="str">
        <f t="shared" si="231"/>
        <v>Billing Cycle</v>
      </c>
      <c r="AS362" s="79">
        <f t="shared" si="232"/>
        <v>6</v>
      </c>
      <c r="AT362" s="78">
        <f t="shared" si="233"/>
        <v>0</v>
      </c>
      <c r="AU362" s="78">
        <f t="shared" si="234"/>
        <v>1.3699999999999999E-3</v>
      </c>
      <c r="AV362" s="78">
        <f t="shared" si="235"/>
        <v>1.3699999999999999E-3</v>
      </c>
      <c r="AW362" s="78">
        <f t="shared" si="236"/>
        <v>1.3699999999999999E-3</v>
      </c>
      <c r="AX362" s="78">
        <f t="shared" si="237"/>
        <v>1.3699999999999999E-3</v>
      </c>
      <c r="AY362" s="78">
        <f t="shared" si="238"/>
        <v>1.3699999999999999E-3</v>
      </c>
      <c r="AZ362" s="78">
        <f t="shared" si="239"/>
        <v>1.3699999999999999E-3</v>
      </c>
      <c r="BA362" s="78">
        <f t="shared" si="240"/>
        <v>1.3699999999999999E-3</v>
      </c>
      <c r="BB362" s="78">
        <f t="shared" si="241"/>
        <v>1.3699999999999999E-3</v>
      </c>
      <c r="BC362" s="78">
        <f t="shared" si="242"/>
        <v>1.3699999999999999E-3</v>
      </c>
      <c r="BD362" s="78">
        <f t="shared" si="243"/>
        <v>1.3699999999999999E-3</v>
      </c>
      <c r="BE362" s="78">
        <f t="shared" si="244"/>
        <v>1.3699999999999999E-3</v>
      </c>
      <c r="BF362" s="78">
        <f t="shared" si="245"/>
        <v>1.3699999999999999E-3</v>
      </c>
      <c r="BG362" s="78">
        <f t="shared" si="246"/>
        <v>1.3699999999999999E-3</v>
      </c>
      <c r="BH362" s="78">
        <f t="shared" si="247"/>
        <v>1.3699999999999999E-3</v>
      </c>
      <c r="BI362" s="78">
        <f t="shared" si="248"/>
        <v>1.3699999999999999E-3</v>
      </c>
      <c r="BJ362" s="78">
        <f t="shared" si="249"/>
        <v>1.3699999999999999E-3</v>
      </c>
      <c r="BK362" s="78">
        <f t="shared" si="250"/>
        <v>1.3699999999999999E-3</v>
      </c>
      <c r="BL362" s="78">
        <f t="shared" si="251"/>
        <v>1.3699999999999999E-3</v>
      </c>
      <c r="BM362" s="78">
        <f t="shared" si="252"/>
        <v>1.3699999999999999E-3</v>
      </c>
      <c r="BN362" s="78">
        <f t="shared" si="253"/>
        <v>1.3699999999999999E-3</v>
      </c>
      <c r="BO362" s="78">
        <f t="shared" si="254"/>
        <v>1.3699999999999999E-3</v>
      </c>
      <c r="BP362" s="78">
        <f t="shared" si="255"/>
        <v>1.3699999999999999E-3</v>
      </c>
      <c r="BQ362" s="78">
        <f t="shared" si="256"/>
        <v>1.3699999999999999E-3</v>
      </c>
      <c r="BR362" s="78">
        <f t="shared" si="257"/>
        <v>1.3699999999999999E-3</v>
      </c>
      <c r="BS362" s="77"/>
      <c r="BT362" s="77"/>
    </row>
    <row r="363" spans="1:72" ht="14.1" customHeight="1" x14ac:dyDescent="0.2">
      <c r="A363" s="55" t="str">
        <f t="shared" si="228"/>
        <v>DS-5 (Lighting Service)_Rider EE - Energy Efficiency Programs Charge</v>
      </c>
      <c r="B363" s="80" t="s">
        <v>647</v>
      </c>
      <c r="C363" s="71" t="s">
        <v>837</v>
      </c>
      <c r="D363" s="150"/>
      <c r="E363" s="81"/>
      <c r="F363" s="73" t="s">
        <v>649</v>
      </c>
      <c r="G363" s="73">
        <v>0</v>
      </c>
      <c r="H363" s="73">
        <v>6</v>
      </c>
      <c r="I363" s="74" t="s">
        <v>641</v>
      </c>
      <c r="J363" s="75" t="s">
        <v>634</v>
      </c>
      <c r="K363" s="74"/>
      <c r="L363" s="82">
        <v>4.8399999999999997E-3</v>
      </c>
      <c r="M363" s="138">
        <v>0.01</v>
      </c>
      <c r="N363" s="138">
        <v>0.01</v>
      </c>
      <c r="O363" s="138">
        <v>0.01</v>
      </c>
      <c r="P363" s="138">
        <v>0.01</v>
      </c>
      <c r="Q363" s="138">
        <v>0.01</v>
      </c>
      <c r="R363" s="138">
        <v>0.01</v>
      </c>
      <c r="S363" s="138">
        <v>0.01</v>
      </c>
      <c r="T363" s="138">
        <v>0.01</v>
      </c>
      <c r="U363" s="138">
        <v>0.01</v>
      </c>
      <c r="V363" s="138">
        <v>0.01</v>
      </c>
      <c r="W363" s="138">
        <v>0.01</v>
      </c>
      <c r="X363" s="138">
        <v>0.01</v>
      </c>
      <c r="Y363" s="138">
        <f t="shared" si="258"/>
        <v>0.01</v>
      </c>
      <c r="Z363" s="138">
        <f t="shared" si="259"/>
        <v>0.01</v>
      </c>
      <c r="AA363" s="138">
        <f t="shared" si="260"/>
        <v>0.01</v>
      </c>
      <c r="AB363" s="138">
        <f t="shared" si="261"/>
        <v>0.01</v>
      </c>
      <c r="AC363" s="138">
        <f t="shared" si="262"/>
        <v>0.01</v>
      </c>
      <c r="AD363" s="138">
        <f t="shared" si="263"/>
        <v>0.01</v>
      </c>
      <c r="AE363" s="138">
        <f t="shared" si="264"/>
        <v>0.01</v>
      </c>
      <c r="AF363" s="138">
        <f t="shared" si="265"/>
        <v>0.01</v>
      </c>
      <c r="AG363" s="138">
        <f t="shared" si="266"/>
        <v>0.01</v>
      </c>
      <c r="AH363" s="138">
        <f t="shared" si="267"/>
        <v>0.01</v>
      </c>
      <c r="AI363" s="138">
        <f t="shared" si="268"/>
        <v>0.01</v>
      </c>
      <c r="AJ363" s="138">
        <f t="shared" si="269"/>
        <v>0.01</v>
      </c>
      <c r="AK363" s="138">
        <f t="shared" si="270"/>
        <v>0.01</v>
      </c>
      <c r="AL363" s="138">
        <f t="shared" si="271"/>
        <v>9.9999999999999985E-3</v>
      </c>
      <c r="AM363" s="138">
        <f t="shared" si="272"/>
        <v>1.0000000000000004E-2</v>
      </c>
      <c r="AO363" s="77" t="str">
        <f t="shared" si="229"/>
        <v>DS-5 (Lighting Service)</v>
      </c>
      <c r="AP363" s="78" t="s">
        <v>650</v>
      </c>
      <c r="AQ363" s="77" t="str">
        <f t="shared" si="230"/>
        <v>Rider EE - Energy Efficiency Programs Charge</v>
      </c>
      <c r="AR363" s="78" t="str">
        <f t="shared" si="231"/>
        <v>Billing Cycle</v>
      </c>
      <c r="AS363" s="79">
        <f t="shared" si="232"/>
        <v>6</v>
      </c>
      <c r="AT363" s="78">
        <f t="shared" si="233"/>
        <v>0</v>
      </c>
      <c r="AU363" s="78">
        <f t="shared" si="234"/>
        <v>0.01</v>
      </c>
      <c r="AV363" s="78">
        <f t="shared" si="235"/>
        <v>0.01</v>
      </c>
      <c r="AW363" s="78">
        <f t="shared" si="236"/>
        <v>0.01</v>
      </c>
      <c r="AX363" s="78">
        <f t="shared" si="237"/>
        <v>0.01</v>
      </c>
      <c r="AY363" s="78">
        <f t="shared" si="238"/>
        <v>0.01</v>
      </c>
      <c r="AZ363" s="78">
        <f t="shared" si="239"/>
        <v>0.01</v>
      </c>
      <c r="BA363" s="78">
        <f t="shared" si="240"/>
        <v>0.01</v>
      </c>
      <c r="BB363" s="78">
        <f t="shared" si="241"/>
        <v>0.01</v>
      </c>
      <c r="BC363" s="78">
        <f t="shared" si="242"/>
        <v>0.01</v>
      </c>
      <c r="BD363" s="78">
        <f t="shared" si="243"/>
        <v>0.01</v>
      </c>
      <c r="BE363" s="78">
        <f t="shared" si="244"/>
        <v>0.01</v>
      </c>
      <c r="BF363" s="78">
        <f t="shared" si="245"/>
        <v>0.01</v>
      </c>
      <c r="BG363" s="78">
        <f t="shared" si="246"/>
        <v>0.01</v>
      </c>
      <c r="BH363" s="78">
        <f t="shared" si="247"/>
        <v>0.01</v>
      </c>
      <c r="BI363" s="78">
        <f t="shared" si="248"/>
        <v>0.01</v>
      </c>
      <c r="BJ363" s="78">
        <f t="shared" si="249"/>
        <v>0.01</v>
      </c>
      <c r="BK363" s="78">
        <f t="shared" si="250"/>
        <v>0.01</v>
      </c>
      <c r="BL363" s="78">
        <f t="shared" si="251"/>
        <v>0.01</v>
      </c>
      <c r="BM363" s="78">
        <f t="shared" si="252"/>
        <v>0.01</v>
      </c>
      <c r="BN363" s="78">
        <f t="shared" si="253"/>
        <v>0.01</v>
      </c>
      <c r="BO363" s="78">
        <f t="shared" si="254"/>
        <v>0.01</v>
      </c>
      <c r="BP363" s="78">
        <f t="shared" si="255"/>
        <v>0.01</v>
      </c>
      <c r="BQ363" s="78">
        <f t="shared" si="256"/>
        <v>0.01</v>
      </c>
      <c r="BR363" s="78">
        <f t="shared" si="257"/>
        <v>0.01</v>
      </c>
      <c r="BS363" s="77"/>
      <c r="BT363" s="77"/>
    </row>
    <row r="364" spans="1:72" ht="14.1" customHeight="1" x14ac:dyDescent="0.2">
      <c r="A364" s="55" t="str">
        <f t="shared" si="228"/>
        <v>DS-6 (DS-3) Temp. Sensitive DS_Rider EE - Energy Efficiency Programs Charge</v>
      </c>
      <c r="B364" s="80" t="s">
        <v>643</v>
      </c>
      <c r="C364" s="71" t="s">
        <v>837</v>
      </c>
      <c r="D364" s="150"/>
      <c r="E364" s="81"/>
      <c r="F364" s="73" t="s">
        <v>649</v>
      </c>
      <c r="G364" s="73">
        <v>0</v>
      </c>
      <c r="H364" s="73">
        <v>6</v>
      </c>
      <c r="I364" s="74" t="s">
        <v>641</v>
      </c>
      <c r="J364" s="75" t="s">
        <v>634</v>
      </c>
      <c r="K364" s="74"/>
      <c r="L364" s="82">
        <v>2.2200000000000002E-3</v>
      </c>
      <c r="M364" s="138">
        <v>2.9299999999999999E-3</v>
      </c>
      <c r="N364" s="138">
        <v>2.9299999999999999E-3</v>
      </c>
      <c r="O364" s="138">
        <v>2.9299999999999999E-3</v>
      </c>
      <c r="P364" s="138">
        <v>2.9299999999999999E-3</v>
      </c>
      <c r="Q364" s="138">
        <v>2.9299999999999999E-3</v>
      </c>
      <c r="R364" s="138">
        <v>2.9299999999999999E-3</v>
      </c>
      <c r="S364" s="138">
        <v>2.9299999999999999E-3</v>
      </c>
      <c r="T364" s="138">
        <v>2.9299999999999999E-3</v>
      </c>
      <c r="U364" s="138">
        <v>2.9299999999999999E-3</v>
      </c>
      <c r="V364" s="138">
        <v>2.9299999999999999E-3</v>
      </c>
      <c r="W364" s="138">
        <v>2.9299999999999999E-3</v>
      </c>
      <c r="X364" s="138">
        <v>2.9299999999999999E-3</v>
      </c>
      <c r="Y364" s="138">
        <f t="shared" si="258"/>
        <v>2.9299999999999999E-3</v>
      </c>
      <c r="Z364" s="138">
        <f t="shared" si="259"/>
        <v>2.9299999999999999E-3</v>
      </c>
      <c r="AA364" s="138">
        <f t="shared" si="260"/>
        <v>2.9299999999999999E-3</v>
      </c>
      <c r="AB364" s="138">
        <f t="shared" si="261"/>
        <v>2.9299999999999999E-3</v>
      </c>
      <c r="AC364" s="138">
        <f t="shared" si="262"/>
        <v>2.9299999999999999E-3</v>
      </c>
      <c r="AD364" s="138">
        <f t="shared" si="263"/>
        <v>2.9299999999999999E-3</v>
      </c>
      <c r="AE364" s="138">
        <f t="shared" si="264"/>
        <v>2.9299999999999999E-3</v>
      </c>
      <c r="AF364" s="138">
        <f t="shared" si="265"/>
        <v>2.9299999999999999E-3</v>
      </c>
      <c r="AG364" s="138">
        <f t="shared" si="266"/>
        <v>2.9299999999999999E-3</v>
      </c>
      <c r="AH364" s="138">
        <f t="shared" si="267"/>
        <v>2.9299999999999999E-3</v>
      </c>
      <c r="AI364" s="138">
        <f t="shared" si="268"/>
        <v>2.9299999999999999E-3</v>
      </c>
      <c r="AJ364" s="138">
        <f t="shared" si="269"/>
        <v>2.9299999999999999E-3</v>
      </c>
      <c r="AK364" s="138">
        <f t="shared" si="270"/>
        <v>2.9299999999999999E-3</v>
      </c>
      <c r="AL364" s="138">
        <f t="shared" si="271"/>
        <v>2.9299999999999999E-3</v>
      </c>
      <c r="AM364" s="138">
        <f t="shared" si="272"/>
        <v>2.9300000000000007E-3</v>
      </c>
      <c r="AO364" s="77" t="str">
        <f t="shared" si="229"/>
        <v>DS-6 (DS-3) Temp. Sensitive DS</v>
      </c>
      <c r="AP364" s="78" t="s">
        <v>644</v>
      </c>
      <c r="AQ364" s="77" t="str">
        <f t="shared" si="230"/>
        <v>Rider EE - Energy Efficiency Programs Charge</v>
      </c>
      <c r="AR364" s="78" t="str">
        <f t="shared" si="231"/>
        <v>Billing Cycle</v>
      </c>
      <c r="AS364" s="79">
        <f t="shared" si="232"/>
        <v>6</v>
      </c>
      <c r="AT364" s="78">
        <f t="shared" si="233"/>
        <v>0</v>
      </c>
      <c r="AU364" s="78">
        <f t="shared" si="234"/>
        <v>2.9299999999999999E-3</v>
      </c>
      <c r="AV364" s="78">
        <f t="shared" si="235"/>
        <v>2.9299999999999999E-3</v>
      </c>
      <c r="AW364" s="78">
        <f t="shared" si="236"/>
        <v>2.9299999999999999E-3</v>
      </c>
      <c r="AX364" s="78">
        <f t="shared" si="237"/>
        <v>2.9299999999999999E-3</v>
      </c>
      <c r="AY364" s="78">
        <f t="shared" si="238"/>
        <v>2.9299999999999999E-3</v>
      </c>
      <c r="AZ364" s="78">
        <f t="shared" si="239"/>
        <v>2.9299999999999999E-3</v>
      </c>
      <c r="BA364" s="78">
        <f t="shared" si="240"/>
        <v>2.9299999999999999E-3</v>
      </c>
      <c r="BB364" s="78">
        <f t="shared" si="241"/>
        <v>2.9299999999999999E-3</v>
      </c>
      <c r="BC364" s="78">
        <f t="shared" si="242"/>
        <v>2.9299999999999999E-3</v>
      </c>
      <c r="BD364" s="78">
        <f t="shared" si="243"/>
        <v>2.9299999999999999E-3</v>
      </c>
      <c r="BE364" s="78">
        <f t="shared" si="244"/>
        <v>2.9299999999999999E-3</v>
      </c>
      <c r="BF364" s="78">
        <f t="shared" si="245"/>
        <v>2.9299999999999999E-3</v>
      </c>
      <c r="BG364" s="78">
        <f t="shared" si="246"/>
        <v>2.9299999999999999E-3</v>
      </c>
      <c r="BH364" s="78">
        <f t="shared" si="247"/>
        <v>2.9299999999999999E-3</v>
      </c>
      <c r="BI364" s="78">
        <f t="shared" si="248"/>
        <v>2.9299999999999999E-3</v>
      </c>
      <c r="BJ364" s="78">
        <f t="shared" si="249"/>
        <v>2.9299999999999999E-3</v>
      </c>
      <c r="BK364" s="78">
        <f t="shared" si="250"/>
        <v>2.9299999999999999E-3</v>
      </c>
      <c r="BL364" s="78">
        <f t="shared" si="251"/>
        <v>2.9299999999999999E-3</v>
      </c>
      <c r="BM364" s="78">
        <f t="shared" si="252"/>
        <v>2.9299999999999999E-3</v>
      </c>
      <c r="BN364" s="78">
        <f t="shared" si="253"/>
        <v>2.9299999999999999E-3</v>
      </c>
      <c r="BO364" s="78">
        <f t="shared" si="254"/>
        <v>2.9299999999999999E-3</v>
      </c>
      <c r="BP364" s="78">
        <f t="shared" si="255"/>
        <v>2.9299999999999999E-3</v>
      </c>
      <c r="BQ364" s="78">
        <f t="shared" si="256"/>
        <v>2.9299999999999999E-3</v>
      </c>
      <c r="BR364" s="78">
        <f t="shared" si="257"/>
        <v>2.9299999999999999E-3</v>
      </c>
      <c r="BS364" s="77"/>
      <c r="BT364" s="77"/>
    </row>
    <row r="365" spans="1:72" ht="14.1" customHeight="1" x14ac:dyDescent="0.2">
      <c r="A365" s="55" t="str">
        <f t="shared" si="228"/>
        <v>DS-6 (DS-4) Temp. Sensitive DS_Rider EE - Energy Efficiency Programs Charge</v>
      </c>
      <c r="B365" s="80" t="s">
        <v>645</v>
      </c>
      <c r="C365" s="71" t="s">
        <v>837</v>
      </c>
      <c r="D365" s="150"/>
      <c r="E365" s="81"/>
      <c r="F365" s="73" t="s">
        <v>649</v>
      </c>
      <c r="G365" s="73">
        <v>0</v>
      </c>
      <c r="H365" s="73">
        <v>6</v>
      </c>
      <c r="I365" s="74" t="s">
        <v>641</v>
      </c>
      <c r="J365" s="75" t="s">
        <v>634</v>
      </c>
      <c r="K365" s="74"/>
      <c r="L365" s="82">
        <v>9.8999999999999999E-4</v>
      </c>
      <c r="M365" s="138">
        <v>1.3699999999999999E-3</v>
      </c>
      <c r="N365" s="138">
        <v>1.3699999999999999E-3</v>
      </c>
      <c r="O365" s="138">
        <v>1.3699999999999999E-3</v>
      </c>
      <c r="P365" s="138">
        <v>1.3699999999999999E-3</v>
      </c>
      <c r="Q365" s="138">
        <v>1.3699999999999999E-3</v>
      </c>
      <c r="R365" s="138">
        <v>1.3699999999999999E-3</v>
      </c>
      <c r="S365" s="138">
        <v>1.3699999999999999E-3</v>
      </c>
      <c r="T365" s="138">
        <v>1.3699999999999999E-3</v>
      </c>
      <c r="U365" s="138">
        <v>1.3699999999999999E-3</v>
      </c>
      <c r="V365" s="138">
        <v>1.3699999999999999E-3</v>
      </c>
      <c r="W365" s="138">
        <v>1.3699999999999999E-3</v>
      </c>
      <c r="X365" s="138">
        <v>1.3699999999999999E-3</v>
      </c>
      <c r="Y365" s="138">
        <f t="shared" si="258"/>
        <v>1.3699999999999999E-3</v>
      </c>
      <c r="Z365" s="138">
        <f t="shared" si="259"/>
        <v>1.3699999999999999E-3</v>
      </c>
      <c r="AA365" s="138">
        <f t="shared" si="260"/>
        <v>1.3699999999999999E-3</v>
      </c>
      <c r="AB365" s="138">
        <f t="shared" si="261"/>
        <v>1.3699999999999999E-3</v>
      </c>
      <c r="AC365" s="138">
        <f t="shared" si="262"/>
        <v>1.3699999999999999E-3</v>
      </c>
      <c r="AD365" s="138">
        <f t="shared" si="263"/>
        <v>1.3699999999999999E-3</v>
      </c>
      <c r="AE365" s="138">
        <f t="shared" si="264"/>
        <v>1.3699999999999999E-3</v>
      </c>
      <c r="AF365" s="138">
        <f t="shared" si="265"/>
        <v>1.3699999999999999E-3</v>
      </c>
      <c r="AG365" s="138">
        <f t="shared" si="266"/>
        <v>1.3699999999999999E-3</v>
      </c>
      <c r="AH365" s="138">
        <f t="shared" si="267"/>
        <v>1.3699999999999999E-3</v>
      </c>
      <c r="AI365" s="138">
        <f t="shared" si="268"/>
        <v>1.3699999999999999E-3</v>
      </c>
      <c r="AJ365" s="138">
        <f t="shared" si="269"/>
        <v>1.3699999999999999E-3</v>
      </c>
      <c r="AK365" s="138">
        <f t="shared" si="270"/>
        <v>1.3699999999999999E-3</v>
      </c>
      <c r="AL365" s="138">
        <f t="shared" si="271"/>
        <v>1.3699999999999999E-3</v>
      </c>
      <c r="AM365" s="138">
        <f t="shared" si="272"/>
        <v>1.3699999999999999E-3</v>
      </c>
      <c r="AO365" s="77" t="str">
        <f t="shared" si="229"/>
        <v>DS-6 (DS-4) Temp. Sensitive DS</v>
      </c>
      <c r="AP365" s="78" t="s">
        <v>646</v>
      </c>
      <c r="AQ365" s="77" t="str">
        <f t="shared" si="230"/>
        <v>Rider EE - Energy Efficiency Programs Charge</v>
      </c>
      <c r="AR365" s="78" t="str">
        <f t="shared" si="231"/>
        <v>Billing Cycle</v>
      </c>
      <c r="AS365" s="79">
        <f t="shared" si="232"/>
        <v>6</v>
      </c>
      <c r="AT365" s="78">
        <f t="shared" si="233"/>
        <v>0</v>
      </c>
      <c r="AU365" s="78">
        <f t="shared" si="234"/>
        <v>1.3699999999999999E-3</v>
      </c>
      <c r="AV365" s="78">
        <f t="shared" si="235"/>
        <v>1.3699999999999999E-3</v>
      </c>
      <c r="AW365" s="78">
        <f t="shared" si="236"/>
        <v>1.3699999999999999E-3</v>
      </c>
      <c r="AX365" s="78">
        <f t="shared" si="237"/>
        <v>1.3699999999999999E-3</v>
      </c>
      <c r="AY365" s="78">
        <f t="shared" si="238"/>
        <v>1.3699999999999999E-3</v>
      </c>
      <c r="AZ365" s="78">
        <f t="shared" si="239"/>
        <v>1.3699999999999999E-3</v>
      </c>
      <c r="BA365" s="78">
        <f t="shared" si="240"/>
        <v>1.3699999999999999E-3</v>
      </c>
      <c r="BB365" s="78">
        <f t="shared" si="241"/>
        <v>1.3699999999999999E-3</v>
      </c>
      <c r="BC365" s="78">
        <f t="shared" si="242"/>
        <v>1.3699999999999999E-3</v>
      </c>
      <c r="BD365" s="78">
        <f t="shared" si="243"/>
        <v>1.3699999999999999E-3</v>
      </c>
      <c r="BE365" s="78">
        <f t="shared" si="244"/>
        <v>1.3699999999999999E-3</v>
      </c>
      <c r="BF365" s="78">
        <f t="shared" si="245"/>
        <v>1.3699999999999999E-3</v>
      </c>
      <c r="BG365" s="78">
        <f t="shared" si="246"/>
        <v>1.3699999999999999E-3</v>
      </c>
      <c r="BH365" s="78">
        <f t="shared" si="247"/>
        <v>1.3699999999999999E-3</v>
      </c>
      <c r="BI365" s="78">
        <f t="shared" si="248"/>
        <v>1.3699999999999999E-3</v>
      </c>
      <c r="BJ365" s="78">
        <f t="shared" si="249"/>
        <v>1.3699999999999999E-3</v>
      </c>
      <c r="BK365" s="78">
        <f t="shared" si="250"/>
        <v>1.3699999999999999E-3</v>
      </c>
      <c r="BL365" s="78">
        <f t="shared" si="251"/>
        <v>1.3699999999999999E-3</v>
      </c>
      <c r="BM365" s="78">
        <f t="shared" si="252"/>
        <v>1.3699999999999999E-3</v>
      </c>
      <c r="BN365" s="78">
        <f t="shared" si="253"/>
        <v>1.3699999999999999E-3</v>
      </c>
      <c r="BO365" s="78">
        <f t="shared" si="254"/>
        <v>1.3699999999999999E-3</v>
      </c>
      <c r="BP365" s="78">
        <f t="shared" si="255"/>
        <v>1.3699999999999999E-3</v>
      </c>
      <c r="BQ365" s="78">
        <f t="shared" si="256"/>
        <v>1.3699999999999999E-3</v>
      </c>
      <c r="BR365" s="78">
        <f t="shared" si="257"/>
        <v>1.3699999999999999E-3</v>
      </c>
      <c r="BS365" s="77"/>
      <c r="BT365" s="77"/>
    </row>
    <row r="366" spans="1:72" ht="14.1" customHeight="1" x14ac:dyDescent="0.2">
      <c r="A366" s="55" t="str">
        <f t="shared" si="228"/>
        <v>DS-1 (Residential)_Rider EUA-DS (Added to Customer Charge)</v>
      </c>
      <c r="B366" s="80" t="s">
        <v>90</v>
      </c>
      <c r="C366" s="83" t="s">
        <v>838</v>
      </c>
      <c r="D366" s="150" t="s">
        <v>557</v>
      </c>
      <c r="E366" s="81"/>
      <c r="F366" s="73" t="s">
        <v>649</v>
      </c>
      <c r="G366" s="73">
        <v>0</v>
      </c>
      <c r="H366" s="73">
        <v>6</v>
      </c>
      <c r="I366" s="74" t="s">
        <v>641</v>
      </c>
      <c r="J366" s="75" t="s">
        <v>634</v>
      </c>
      <c r="K366" s="74"/>
      <c r="L366" s="82">
        <v>-0.21</v>
      </c>
      <c r="M366" s="138">
        <v>-0.21</v>
      </c>
      <c r="N366" s="138">
        <v>-0.21</v>
      </c>
      <c r="O366" s="138">
        <v>-0.21</v>
      </c>
      <c r="P366" s="138">
        <v>-0.21</v>
      </c>
      <c r="Q366" s="138">
        <v>-0.21</v>
      </c>
      <c r="R366" s="138">
        <v>1.22</v>
      </c>
      <c r="S366" s="138">
        <v>1.22</v>
      </c>
      <c r="T366" s="138">
        <v>1.22</v>
      </c>
      <c r="U366" s="138">
        <v>1.22</v>
      </c>
      <c r="V366" s="138">
        <v>1.22</v>
      </c>
      <c r="W366" s="138">
        <v>1.22</v>
      </c>
      <c r="X366" s="138">
        <v>1.22</v>
      </c>
      <c r="Y366" s="138">
        <f t="shared" si="258"/>
        <v>1.22</v>
      </c>
      <c r="Z366" s="138">
        <f t="shared" si="259"/>
        <v>1.22</v>
      </c>
      <c r="AA366" s="138">
        <f t="shared" si="260"/>
        <v>1.22</v>
      </c>
      <c r="AB366" s="138">
        <f t="shared" si="261"/>
        <v>1.22</v>
      </c>
      <c r="AC366" s="138">
        <f t="shared" si="262"/>
        <v>1.22</v>
      </c>
      <c r="AD366" s="138">
        <f t="shared" si="263"/>
        <v>1.22</v>
      </c>
      <c r="AE366" s="138">
        <f t="shared" si="264"/>
        <v>1.22</v>
      </c>
      <c r="AF366" s="138">
        <f t="shared" si="265"/>
        <v>1.22</v>
      </c>
      <c r="AG366" s="138">
        <f t="shared" si="266"/>
        <v>1.22</v>
      </c>
      <c r="AH366" s="138">
        <f t="shared" si="267"/>
        <v>1.22</v>
      </c>
      <c r="AI366" s="138">
        <f t="shared" si="268"/>
        <v>1.22</v>
      </c>
      <c r="AJ366" s="138">
        <f t="shared" si="269"/>
        <v>1.22</v>
      </c>
      <c r="AK366" s="138">
        <f t="shared" si="270"/>
        <v>1.22</v>
      </c>
      <c r="AL366" s="138">
        <f t="shared" si="271"/>
        <v>1.2200000000000002</v>
      </c>
      <c r="AM366" s="138">
        <f t="shared" si="272"/>
        <v>0.98166666666666647</v>
      </c>
      <c r="AO366" s="77" t="str">
        <f t="shared" si="229"/>
        <v>DS-1 (Residential)</v>
      </c>
      <c r="AP366" s="78" t="s">
        <v>662</v>
      </c>
      <c r="AQ366" s="77" t="str">
        <f t="shared" si="230"/>
        <v>Rider EUA-DS (Added to Customer Charge)</v>
      </c>
      <c r="AR366" s="78" t="str">
        <f t="shared" si="231"/>
        <v>Billing Cycle</v>
      </c>
      <c r="AS366" s="79">
        <f t="shared" si="232"/>
        <v>6</v>
      </c>
      <c r="AT366" s="78">
        <f t="shared" si="233"/>
        <v>0</v>
      </c>
      <c r="AU366" s="78">
        <f t="shared" si="234"/>
        <v>-0.21</v>
      </c>
      <c r="AV366" s="78">
        <f t="shared" si="235"/>
        <v>-0.21</v>
      </c>
      <c r="AW366" s="78">
        <f t="shared" si="236"/>
        <v>-0.21</v>
      </c>
      <c r="AX366" s="78">
        <f t="shared" si="237"/>
        <v>-0.21</v>
      </c>
      <c r="AY366" s="78">
        <f t="shared" si="238"/>
        <v>-0.21</v>
      </c>
      <c r="AZ366" s="78">
        <f t="shared" si="239"/>
        <v>1.22</v>
      </c>
      <c r="BA366" s="78">
        <f t="shared" si="240"/>
        <v>1.22</v>
      </c>
      <c r="BB366" s="78">
        <f t="shared" si="241"/>
        <v>1.22</v>
      </c>
      <c r="BC366" s="78">
        <f t="shared" si="242"/>
        <v>1.22</v>
      </c>
      <c r="BD366" s="78">
        <f t="shared" si="243"/>
        <v>1.22</v>
      </c>
      <c r="BE366" s="78">
        <f t="shared" si="244"/>
        <v>1.22</v>
      </c>
      <c r="BF366" s="78">
        <f t="shared" si="245"/>
        <v>1.22</v>
      </c>
      <c r="BG366" s="78">
        <f t="shared" si="246"/>
        <v>1.22</v>
      </c>
      <c r="BH366" s="78">
        <f t="shared" si="247"/>
        <v>1.22</v>
      </c>
      <c r="BI366" s="78">
        <f t="shared" si="248"/>
        <v>1.22</v>
      </c>
      <c r="BJ366" s="78">
        <f t="shared" si="249"/>
        <v>1.22</v>
      </c>
      <c r="BK366" s="78">
        <f t="shared" si="250"/>
        <v>1.22</v>
      </c>
      <c r="BL366" s="78">
        <f t="shared" si="251"/>
        <v>1.22</v>
      </c>
      <c r="BM366" s="78">
        <f t="shared" si="252"/>
        <v>1.22</v>
      </c>
      <c r="BN366" s="78">
        <f t="shared" si="253"/>
        <v>1.22</v>
      </c>
      <c r="BO366" s="78">
        <f t="shared" si="254"/>
        <v>1.22</v>
      </c>
      <c r="BP366" s="78">
        <f t="shared" si="255"/>
        <v>1.22</v>
      </c>
      <c r="BQ366" s="78">
        <f t="shared" si="256"/>
        <v>1.22</v>
      </c>
      <c r="BR366" s="78">
        <f t="shared" si="257"/>
        <v>1.22</v>
      </c>
      <c r="BS366" s="77"/>
      <c r="BT366" s="77"/>
    </row>
    <row r="367" spans="1:72" ht="14.1" customHeight="1" x14ac:dyDescent="0.2">
      <c r="A367" s="55" t="str">
        <f t="shared" si="228"/>
        <v>DS-2 (Small General Service)_Rider EUA-DS (Added to Customer Charge)</v>
      </c>
      <c r="B367" s="80" t="s">
        <v>665</v>
      </c>
      <c r="C367" s="83" t="s">
        <v>838</v>
      </c>
      <c r="D367" s="150"/>
      <c r="E367" s="81"/>
      <c r="F367" s="73" t="s">
        <v>649</v>
      </c>
      <c r="G367" s="73">
        <v>0</v>
      </c>
      <c r="H367" s="73">
        <v>6</v>
      </c>
      <c r="I367" s="74" t="s">
        <v>641</v>
      </c>
      <c r="J367" s="75" t="s">
        <v>634</v>
      </c>
      <c r="K367" s="74"/>
      <c r="L367" s="82">
        <v>0.03</v>
      </c>
      <c r="M367" s="138">
        <v>0.03</v>
      </c>
      <c r="N367" s="138">
        <v>0.03</v>
      </c>
      <c r="O367" s="138">
        <v>0.03</v>
      </c>
      <c r="P367" s="138">
        <v>0.03</v>
      </c>
      <c r="Q367" s="138">
        <v>0.03</v>
      </c>
      <c r="R367" s="138">
        <v>0.72</v>
      </c>
      <c r="S367" s="138">
        <v>0.72</v>
      </c>
      <c r="T367" s="138">
        <v>0.72</v>
      </c>
      <c r="U367" s="138">
        <v>0.72</v>
      </c>
      <c r="V367" s="138">
        <v>0.72</v>
      </c>
      <c r="W367" s="138">
        <v>0.72</v>
      </c>
      <c r="X367" s="138">
        <v>0.72</v>
      </c>
      <c r="Y367" s="138">
        <f t="shared" si="258"/>
        <v>0.72</v>
      </c>
      <c r="Z367" s="138">
        <f t="shared" si="259"/>
        <v>0.72</v>
      </c>
      <c r="AA367" s="138">
        <f t="shared" si="260"/>
        <v>0.72</v>
      </c>
      <c r="AB367" s="138">
        <f t="shared" si="261"/>
        <v>0.72</v>
      </c>
      <c r="AC367" s="138">
        <f t="shared" si="262"/>
        <v>0.72</v>
      </c>
      <c r="AD367" s="138">
        <f t="shared" si="263"/>
        <v>0.72</v>
      </c>
      <c r="AE367" s="138">
        <f t="shared" si="264"/>
        <v>0.72</v>
      </c>
      <c r="AF367" s="138">
        <f t="shared" si="265"/>
        <v>0.72</v>
      </c>
      <c r="AG367" s="138">
        <f t="shared" si="266"/>
        <v>0.72</v>
      </c>
      <c r="AH367" s="138">
        <f t="shared" si="267"/>
        <v>0.72</v>
      </c>
      <c r="AI367" s="138">
        <f t="shared" si="268"/>
        <v>0.72</v>
      </c>
      <c r="AJ367" s="138">
        <f t="shared" si="269"/>
        <v>0.72</v>
      </c>
      <c r="AK367" s="138">
        <f t="shared" si="270"/>
        <v>0.72</v>
      </c>
      <c r="AL367" s="138">
        <f t="shared" si="271"/>
        <v>0.71999999999999986</v>
      </c>
      <c r="AM367" s="138">
        <f t="shared" si="272"/>
        <v>0.6050000000000002</v>
      </c>
      <c r="AO367" s="77" t="str">
        <f t="shared" si="229"/>
        <v>DS-2 (Small General Service)</v>
      </c>
      <c r="AP367" s="78" t="s">
        <v>664</v>
      </c>
      <c r="AQ367" s="77" t="str">
        <f t="shared" si="230"/>
        <v>Rider EUA-DS (Added to Customer Charge)</v>
      </c>
      <c r="AR367" s="78" t="str">
        <f t="shared" si="231"/>
        <v>Billing Cycle</v>
      </c>
      <c r="AS367" s="79">
        <f t="shared" si="232"/>
        <v>6</v>
      </c>
      <c r="AT367" s="78">
        <f t="shared" si="233"/>
        <v>0</v>
      </c>
      <c r="AU367" s="78">
        <f t="shared" si="234"/>
        <v>0.03</v>
      </c>
      <c r="AV367" s="78">
        <f t="shared" si="235"/>
        <v>0.03</v>
      </c>
      <c r="AW367" s="78">
        <f t="shared" si="236"/>
        <v>0.03</v>
      </c>
      <c r="AX367" s="78">
        <f t="shared" si="237"/>
        <v>0.03</v>
      </c>
      <c r="AY367" s="78">
        <f t="shared" si="238"/>
        <v>0.03</v>
      </c>
      <c r="AZ367" s="78">
        <f t="shared" si="239"/>
        <v>0.72</v>
      </c>
      <c r="BA367" s="78">
        <f t="shared" si="240"/>
        <v>0.72</v>
      </c>
      <c r="BB367" s="78">
        <f t="shared" si="241"/>
        <v>0.72</v>
      </c>
      <c r="BC367" s="78">
        <f t="shared" si="242"/>
        <v>0.72</v>
      </c>
      <c r="BD367" s="78">
        <f t="shared" si="243"/>
        <v>0.72</v>
      </c>
      <c r="BE367" s="78">
        <f t="shared" si="244"/>
        <v>0.72</v>
      </c>
      <c r="BF367" s="78">
        <f t="shared" si="245"/>
        <v>0.72</v>
      </c>
      <c r="BG367" s="78">
        <f t="shared" si="246"/>
        <v>0.72</v>
      </c>
      <c r="BH367" s="78">
        <f t="shared" si="247"/>
        <v>0.72</v>
      </c>
      <c r="BI367" s="78">
        <f t="shared" si="248"/>
        <v>0.72</v>
      </c>
      <c r="BJ367" s="78">
        <f t="shared" si="249"/>
        <v>0.72</v>
      </c>
      <c r="BK367" s="78">
        <f t="shared" si="250"/>
        <v>0.72</v>
      </c>
      <c r="BL367" s="78">
        <f t="shared" si="251"/>
        <v>0.72</v>
      </c>
      <c r="BM367" s="78">
        <f t="shared" si="252"/>
        <v>0.72</v>
      </c>
      <c r="BN367" s="78">
        <f t="shared" si="253"/>
        <v>0.72</v>
      </c>
      <c r="BO367" s="78">
        <f t="shared" si="254"/>
        <v>0.72</v>
      </c>
      <c r="BP367" s="78">
        <f t="shared" si="255"/>
        <v>0.72</v>
      </c>
      <c r="BQ367" s="78">
        <f t="shared" si="256"/>
        <v>0.72</v>
      </c>
      <c r="BR367" s="78">
        <f t="shared" si="257"/>
        <v>0.72</v>
      </c>
      <c r="BS367" s="77"/>
      <c r="BT367" s="77"/>
    </row>
    <row r="368" spans="1:72" ht="14.1" customHeight="1" x14ac:dyDescent="0.2">
      <c r="A368" s="55" t="str">
        <f t="shared" si="228"/>
        <v>BGS-2 (Non-Residential)_Rider EUA-DS (Added to Customer Charge)</v>
      </c>
      <c r="B368" s="80" t="s">
        <v>685</v>
      </c>
      <c r="C368" s="71" t="s">
        <v>838</v>
      </c>
      <c r="D368" s="150"/>
      <c r="E368" s="81"/>
      <c r="F368" s="73" t="s">
        <v>649</v>
      </c>
      <c r="G368" s="73">
        <v>0</v>
      </c>
      <c r="H368" s="73">
        <v>6</v>
      </c>
      <c r="I368" s="74" t="s">
        <v>641</v>
      </c>
      <c r="J368" s="75" t="s">
        <v>634</v>
      </c>
      <c r="K368" s="74"/>
      <c r="L368" s="82">
        <v>0.03</v>
      </c>
      <c r="M368" s="138">
        <v>0.03</v>
      </c>
      <c r="N368" s="138">
        <v>0.03</v>
      </c>
      <c r="O368" s="138">
        <v>0.03</v>
      </c>
      <c r="P368" s="138">
        <v>0.03</v>
      </c>
      <c r="Q368" s="138">
        <v>0.03</v>
      </c>
      <c r="R368" s="138">
        <v>0.72</v>
      </c>
      <c r="S368" s="138">
        <v>0.72</v>
      </c>
      <c r="T368" s="138">
        <v>0.72</v>
      </c>
      <c r="U368" s="138">
        <v>0.72</v>
      </c>
      <c r="V368" s="138">
        <v>0.72</v>
      </c>
      <c r="W368" s="138">
        <v>0.72</v>
      </c>
      <c r="X368" s="138">
        <v>0.72</v>
      </c>
      <c r="Y368" s="138">
        <f t="shared" si="258"/>
        <v>0.72</v>
      </c>
      <c r="Z368" s="138">
        <f t="shared" si="259"/>
        <v>0.72</v>
      </c>
      <c r="AA368" s="138">
        <f t="shared" si="260"/>
        <v>0.72</v>
      </c>
      <c r="AB368" s="138">
        <f t="shared" si="261"/>
        <v>0.72</v>
      </c>
      <c r="AC368" s="138">
        <f t="shared" si="262"/>
        <v>0.72</v>
      </c>
      <c r="AD368" s="138">
        <f t="shared" si="263"/>
        <v>0.72</v>
      </c>
      <c r="AE368" s="138">
        <f t="shared" si="264"/>
        <v>0.72</v>
      </c>
      <c r="AF368" s="138">
        <f t="shared" si="265"/>
        <v>0.72</v>
      </c>
      <c r="AG368" s="138">
        <f t="shared" si="266"/>
        <v>0.72</v>
      </c>
      <c r="AH368" s="138">
        <f t="shared" si="267"/>
        <v>0.72</v>
      </c>
      <c r="AI368" s="138">
        <f t="shared" si="268"/>
        <v>0.72</v>
      </c>
      <c r="AJ368" s="138">
        <f t="shared" si="269"/>
        <v>0.72</v>
      </c>
      <c r="AK368" s="138">
        <f t="shared" si="270"/>
        <v>0.72</v>
      </c>
      <c r="AL368" s="138">
        <f t="shared" si="271"/>
        <v>0.71999999999999986</v>
      </c>
      <c r="AM368" s="138">
        <f t="shared" si="272"/>
        <v>0.6050000000000002</v>
      </c>
      <c r="AO368" s="77" t="str">
        <f t="shared" si="229"/>
        <v>BGS-2 (Non-Residential)</v>
      </c>
      <c r="AP368" s="78" t="s">
        <v>687</v>
      </c>
      <c r="AQ368" s="77" t="str">
        <f t="shared" si="230"/>
        <v>Rider EUA-DS (Added to Customer Charge)</v>
      </c>
      <c r="AR368" s="78" t="str">
        <f t="shared" si="231"/>
        <v>Billing Cycle</v>
      </c>
      <c r="AS368" s="79">
        <f t="shared" si="232"/>
        <v>6</v>
      </c>
      <c r="AT368" s="78">
        <f t="shared" si="233"/>
        <v>0</v>
      </c>
      <c r="AU368" s="78">
        <f t="shared" si="234"/>
        <v>0.03</v>
      </c>
      <c r="AV368" s="78">
        <f t="shared" si="235"/>
        <v>0.03</v>
      </c>
      <c r="AW368" s="78">
        <f t="shared" si="236"/>
        <v>0.03</v>
      </c>
      <c r="AX368" s="78">
        <f t="shared" si="237"/>
        <v>0.03</v>
      </c>
      <c r="AY368" s="78">
        <f t="shared" si="238"/>
        <v>0.03</v>
      </c>
      <c r="AZ368" s="78">
        <f t="shared" si="239"/>
        <v>0.72</v>
      </c>
      <c r="BA368" s="78">
        <f t="shared" si="240"/>
        <v>0.72</v>
      </c>
      <c r="BB368" s="78">
        <f t="shared" si="241"/>
        <v>0.72</v>
      </c>
      <c r="BC368" s="78">
        <f t="shared" si="242"/>
        <v>0.72</v>
      </c>
      <c r="BD368" s="78">
        <f t="shared" si="243"/>
        <v>0.72</v>
      </c>
      <c r="BE368" s="78">
        <f t="shared" si="244"/>
        <v>0.72</v>
      </c>
      <c r="BF368" s="78">
        <f t="shared" si="245"/>
        <v>0.72</v>
      </c>
      <c r="BG368" s="78">
        <f t="shared" si="246"/>
        <v>0.72</v>
      </c>
      <c r="BH368" s="78">
        <f t="shared" si="247"/>
        <v>0.72</v>
      </c>
      <c r="BI368" s="78">
        <f t="shared" si="248"/>
        <v>0.72</v>
      </c>
      <c r="BJ368" s="78">
        <f t="shared" si="249"/>
        <v>0.72</v>
      </c>
      <c r="BK368" s="78">
        <f t="shared" si="250"/>
        <v>0.72</v>
      </c>
      <c r="BL368" s="78">
        <f t="shared" si="251"/>
        <v>0.72</v>
      </c>
      <c r="BM368" s="78">
        <f t="shared" si="252"/>
        <v>0.72</v>
      </c>
      <c r="BN368" s="78">
        <f t="shared" si="253"/>
        <v>0.72</v>
      </c>
      <c r="BO368" s="78">
        <f t="shared" si="254"/>
        <v>0.72</v>
      </c>
      <c r="BP368" s="78">
        <f t="shared" si="255"/>
        <v>0.72</v>
      </c>
      <c r="BQ368" s="78">
        <f t="shared" si="256"/>
        <v>0.72</v>
      </c>
      <c r="BR368" s="78">
        <f t="shared" si="257"/>
        <v>0.72</v>
      </c>
      <c r="BS368" s="77"/>
      <c r="BT368" s="77"/>
    </row>
    <row r="369" spans="1:72" ht="15" x14ac:dyDescent="0.2">
      <c r="A369" s="55" t="str">
        <f t="shared" si="228"/>
        <v>RTP-2 (Non-Residential)_Rider EUA-DS (Added to Customer Charge)</v>
      </c>
      <c r="B369" s="80" t="s">
        <v>830</v>
      </c>
      <c r="C369" s="71" t="s">
        <v>838</v>
      </c>
      <c r="D369" s="150"/>
      <c r="E369" s="81"/>
      <c r="F369" s="73" t="s">
        <v>649</v>
      </c>
      <c r="G369" s="73">
        <v>0</v>
      </c>
      <c r="H369" s="73">
        <v>6</v>
      </c>
      <c r="I369" s="74" t="s">
        <v>641</v>
      </c>
      <c r="J369" s="75" t="s">
        <v>634</v>
      </c>
      <c r="K369" s="74"/>
      <c r="L369" s="82">
        <v>0.03</v>
      </c>
      <c r="M369" s="138">
        <v>0.03</v>
      </c>
      <c r="N369" s="138">
        <v>0.03</v>
      </c>
      <c r="O369" s="138">
        <v>0.03</v>
      </c>
      <c r="P369" s="138">
        <v>0.03</v>
      </c>
      <c r="Q369" s="138">
        <v>0.03</v>
      </c>
      <c r="R369" s="138">
        <v>0.72</v>
      </c>
      <c r="S369" s="138">
        <v>0.72</v>
      </c>
      <c r="T369" s="138">
        <v>0.72</v>
      </c>
      <c r="U369" s="138">
        <v>0.72</v>
      </c>
      <c r="V369" s="138">
        <v>0.72</v>
      </c>
      <c r="W369" s="138">
        <v>0.72</v>
      </c>
      <c r="X369" s="138">
        <v>0.72</v>
      </c>
      <c r="Y369" s="138">
        <f t="shared" si="258"/>
        <v>0.72</v>
      </c>
      <c r="Z369" s="138">
        <f t="shared" si="259"/>
        <v>0.72</v>
      </c>
      <c r="AA369" s="138">
        <f t="shared" si="260"/>
        <v>0.72</v>
      </c>
      <c r="AB369" s="138">
        <f t="shared" si="261"/>
        <v>0.72</v>
      </c>
      <c r="AC369" s="138">
        <f t="shared" si="262"/>
        <v>0.72</v>
      </c>
      <c r="AD369" s="138">
        <f t="shared" si="263"/>
        <v>0.72</v>
      </c>
      <c r="AE369" s="138">
        <f t="shared" si="264"/>
        <v>0.72</v>
      </c>
      <c r="AF369" s="138">
        <f t="shared" si="265"/>
        <v>0.72</v>
      </c>
      <c r="AG369" s="138">
        <f t="shared" si="266"/>
        <v>0.72</v>
      </c>
      <c r="AH369" s="138">
        <f t="shared" si="267"/>
        <v>0.72</v>
      </c>
      <c r="AI369" s="138">
        <f t="shared" si="268"/>
        <v>0.72</v>
      </c>
      <c r="AJ369" s="138">
        <f t="shared" si="269"/>
        <v>0.72</v>
      </c>
      <c r="AK369" s="138">
        <f t="shared" si="270"/>
        <v>0.72</v>
      </c>
      <c r="AL369" s="138">
        <f t="shared" si="271"/>
        <v>0.71999999999999986</v>
      </c>
      <c r="AM369" s="138">
        <f t="shared" si="272"/>
        <v>0.6050000000000002</v>
      </c>
      <c r="AO369" s="77" t="str">
        <f t="shared" si="229"/>
        <v>RTP-2 (Non-Residential)</v>
      </c>
      <c r="AP369" s="78" t="s">
        <v>831</v>
      </c>
      <c r="AQ369" s="77" t="str">
        <f t="shared" si="230"/>
        <v>Rider EUA-DS (Added to Customer Charge)</v>
      </c>
      <c r="AR369" s="78" t="str">
        <f t="shared" si="231"/>
        <v>Billing Cycle</v>
      </c>
      <c r="AS369" s="79">
        <f t="shared" si="232"/>
        <v>6</v>
      </c>
      <c r="AT369" s="78">
        <f t="shared" si="233"/>
        <v>0</v>
      </c>
      <c r="AU369" s="78">
        <f t="shared" si="234"/>
        <v>0.03</v>
      </c>
      <c r="AV369" s="78">
        <f t="shared" si="235"/>
        <v>0.03</v>
      </c>
      <c r="AW369" s="78">
        <f t="shared" si="236"/>
        <v>0.03</v>
      </c>
      <c r="AX369" s="78">
        <f t="shared" si="237"/>
        <v>0.03</v>
      </c>
      <c r="AY369" s="78">
        <f t="shared" si="238"/>
        <v>0.03</v>
      </c>
      <c r="AZ369" s="78">
        <f t="shared" si="239"/>
        <v>0.72</v>
      </c>
      <c r="BA369" s="78">
        <f t="shared" si="240"/>
        <v>0.72</v>
      </c>
      <c r="BB369" s="78">
        <f t="shared" si="241"/>
        <v>0.72</v>
      </c>
      <c r="BC369" s="78">
        <f t="shared" si="242"/>
        <v>0.72</v>
      </c>
      <c r="BD369" s="78">
        <f t="shared" si="243"/>
        <v>0.72</v>
      </c>
      <c r="BE369" s="78">
        <f t="shared" si="244"/>
        <v>0.72</v>
      </c>
      <c r="BF369" s="78">
        <f t="shared" si="245"/>
        <v>0.72</v>
      </c>
      <c r="BG369" s="78">
        <f t="shared" si="246"/>
        <v>0.72</v>
      </c>
      <c r="BH369" s="78">
        <f t="shared" si="247"/>
        <v>0.72</v>
      </c>
      <c r="BI369" s="78">
        <f t="shared" si="248"/>
        <v>0.72</v>
      </c>
      <c r="BJ369" s="78">
        <f t="shared" si="249"/>
        <v>0.72</v>
      </c>
      <c r="BK369" s="78">
        <f t="shared" si="250"/>
        <v>0.72</v>
      </c>
      <c r="BL369" s="78">
        <f t="shared" si="251"/>
        <v>0.72</v>
      </c>
      <c r="BM369" s="78">
        <f t="shared" si="252"/>
        <v>0.72</v>
      </c>
      <c r="BN369" s="78">
        <f t="shared" si="253"/>
        <v>0.72</v>
      </c>
      <c r="BO369" s="78">
        <f t="shared" si="254"/>
        <v>0.72</v>
      </c>
      <c r="BP369" s="78">
        <f t="shared" si="255"/>
        <v>0.72</v>
      </c>
      <c r="BQ369" s="78">
        <f t="shared" si="256"/>
        <v>0.72</v>
      </c>
      <c r="BR369" s="78">
        <f t="shared" si="257"/>
        <v>0.72</v>
      </c>
      <c r="BS369" s="77"/>
      <c r="BT369" s="77"/>
    </row>
    <row r="370" spans="1:72" ht="14.1" customHeight="1" x14ac:dyDescent="0.2">
      <c r="A370" s="55" t="str">
        <f t="shared" si="228"/>
        <v>DS-3 (General Delivery Service)_Rider EUA-DS (Added to Customer Charge)</v>
      </c>
      <c r="B370" s="80" t="s">
        <v>666</v>
      </c>
      <c r="C370" s="83" t="s">
        <v>838</v>
      </c>
      <c r="D370" s="150"/>
      <c r="E370" s="81"/>
      <c r="F370" s="73" t="s">
        <v>649</v>
      </c>
      <c r="G370" s="73">
        <v>0</v>
      </c>
      <c r="H370" s="73">
        <v>6</v>
      </c>
      <c r="I370" s="74" t="s">
        <v>641</v>
      </c>
      <c r="J370" s="75" t="s">
        <v>634</v>
      </c>
      <c r="K370" s="74"/>
      <c r="L370" s="82">
        <v>0.03</v>
      </c>
      <c r="M370" s="138">
        <v>0.03</v>
      </c>
      <c r="N370" s="138">
        <v>0.03</v>
      </c>
      <c r="O370" s="138">
        <v>0.03</v>
      </c>
      <c r="P370" s="138">
        <v>0.03</v>
      </c>
      <c r="Q370" s="138">
        <v>0.03</v>
      </c>
      <c r="R370" s="138">
        <v>0.72</v>
      </c>
      <c r="S370" s="138">
        <v>0.72</v>
      </c>
      <c r="T370" s="138">
        <v>0.72</v>
      </c>
      <c r="U370" s="138">
        <v>0.72</v>
      </c>
      <c r="V370" s="138">
        <v>0.72</v>
      </c>
      <c r="W370" s="138">
        <v>0.72</v>
      </c>
      <c r="X370" s="138">
        <v>0.72</v>
      </c>
      <c r="Y370" s="138">
        <f t="shared" si="258"/>
        <v>0.72</v>
      </c>
      <c r="Z370" s="138">
        <f t="shared" si="259"/>
        <v>0.72</v>
      </c>
      <c r="AA370" s="138">
        <f t="shared" si="260"/>
        <v>0.72</v>
      </c>
      <c r="AB370" s="138">
        <f t="shared" si="261"/>
        <v>0.72</v>
      </c>
      <c r="AC370" s="138">
        <f t="shared" si="262"/>
        <v>0.72</v>
      </c>
      <c r="AD370" s="138">
        <f t="shared" si="263"/>
        <v>0.72</v>
      </c>
      <c r="AE370" s="138">
        <f t="shared" si="264"/>
        <v>0.72</v>
      </c>
      <c r="AF370" s="138">
        <f t="shared" si="265"/>
        <v>0.72</v>
      </c>
      <c r="AG370" s="138">
        <f t="shared" si="266"/>
        <v>0.72</v>
      </c>
      <c r="AH370" s="138">
        <f t="shared" si="267"/>
        <v>0.72</v>
      </c>
      <c r="AI370" s="138">
        <f t="shared" si="268"/>
        <v>0.72</v>
      </c>
      <c r="AJ370" s="138">
        <f t="shared" si="269"/>
        <v>0.72</v>
      </c>
      <c r="AK370" s="138">
        <f t="shared" si="270"/>
        <v>0.72</v>
      </c>
      <c r="AL370" s="138">
        <f t="shared" si="271"/>
        <v>0.71999999999999986</v>
      </c>
      <c r="AM370" s="138">
        <f t="shared" si="272"/>
        <v>0.6050000000000002</v>
      </c>
      <c r="AO370" s="77" t="str">
        <f t="shared" si="229"/>
        <v>DS-3 (General Delivery Service)</v>
      </c>
      <c r="AP370" s="78" t="s">
        <v>667</v>
      </c>
      <c r="AQ370" s="77" t="str">
        <f t="shared" si="230"/>
        <v>Rider EUA-DS (Added to Customer Charge)</v>
      </c>
      <c r="AR370" s="78" t="str">
        <f t="shared" si="231"/>
        <v>Billing Cycle</v>
      </c>
      <c r="AS370" s="79">
        <f t="shared" si="232"/>
        <v>6</v>
      </c>
      <c r="AT370" s="78">
        <f t="shared" si="233"/>
        <v>0</v>
      </c>
      <c r="AU370" s="78">
        <f t="shared" si="234"/>
        <v>0.03</v>
      </c>
      <c r="AV370" s="78">
        <f t="shared" si="235"/>
        <v>0.03</v>
      </c>
      <c r="AW370" s="78">
        <f t="shared" si="236"/>
        <v>0.03</v>
      </c>
      <c r="AX370" s="78">
        <f t="shared" si="237"/>
        <v>0.03</v>
      </c>
      <c r="AY370" s="78">
        <f t="shared" si="238"/>
        <v>0.03</v>
      </c>
      <c r="AZ370" s="78">
        <f t="shared" si="239"/>
        <v>0.72</v>
      </c>
      <c r="BA370" s="78">
        <f t="shared" si="240"/>
        <v>0.72</v>
      </c>
      <c r="BB370" s="78">
        <f t="shared" si="241"/>
        <v>0.72</v>
      </c>
      <c r="BC370" s="78">
        <f t="shared" si="242"/>
        <v>0.72</v>
      </c>
      <c r="BD370" s="78">
        <f t="shared" si="243"/>
        <v>0.72</v>
      </c>
      <c r="BE370" s="78">
        <f t="shared" si="244"/>
        <v>0.72</v>
      </c>
      <c r="BF370" s="78">
        <f t="shared" si="245"/>
        <v>0.72</v>
      </c>
      <c r="BG370" s="78">
        <f t="shared" si="246"/>
        <v>0.72</v>
      </c>
      <c r="BH370" s="78">
        <f t="shared" si="247"/>
        <v>0.72</v>
      </c>
      <c r="BI370" s="78">
        <f t="shared" si="248"/>
        <v>0.72</v>
      </c>
      <c r="BJ370" s="78">
        <f t="shared" si="249"/>
        <v>0.72</v>
      </c>
      <c r="BK370" s="78">
        <f t="shared" si="250"/>
        <v>0.72</v>
      </c>
      <c r="BL370" s="78">
        <f t="shared" si="251"/>
        <v>0.72</v>
      </c>
      <c r="BM370" s="78">
        <f t="shared" si="252"/>
        <v>0.72</v>
      </c>
      <c r="BN370" s="78">
        <f t="shared" si="253"/>
        <v>0.72</v>
      </c>
      <c r="BO370" s="78">
        <f t="shared" si="254"/>
        <v>0.72</v>
      </c>
      <c r="BP370" s="78">
        <f t="shared" si="255"/>
        <v>0.72</v>
      </c>
      <c r="BQ370" s="78">
        <f t="shared" si="256"/>
        <v>0.72</v>
      </c>
      <c r="BR370" s="78">
        <f t="shared" si="257"/>
        <v>0.72</v>
      </c>
      <c r="BS370" s="77"/>
      <c r="BT370" s="77"/>
    </row>
    <row r="371" spans="1:72" ht="14.1" customHeight="1" x14ac:dyDescent="0.2">
      <c r="A371" s="55" t="str">
        <f t="shared" si="228"/>
        <v>DS-4 (Large General Service)_Rider EUA-DS (Added to Customer Charge)</v>
      </c>
      <c r="B371" s="80" t="s">
        <v>639</v>
      </c>
      <c r="C371" s="83" t="s">
        <v>838</v>
      </c>
      <c r="D371" s="150"/>
      <c r="E371" s="81"/>
      <c r="F371" s="73" t="s">
        <v>649</v>
      </c>
      <c r="G371" s="73">
        <v>0</v>
      </c>
      <c r="H371" s="73">
        <v>6</v>
      </c>
      <c r="I371" s="74" t="s">
        <v>641</v>
      </c>
      <c r="J371" s="75" t="s">
        <v>634</v>
      </c>
      <c r="K371" s="74"/>
      <c r="L371" s="82">
        <v>0.03</v>
      </c>
      <c r="M371" s="138">
        <v>0.03</v>
      </c>
      <c r="N371" s="138">
        <v>0.03</v>
      </c>
      <c r="O371" s="138">
        <v>0.03</v>
      </c>
      <c r="P371" s="138">
        <v>0.03</v>
      </c>
      <c r="Q371" s="138">
        <v>0.03</v>
      </c>
      <c r="R371" s="138">
        <v>0.72</v>
      </c>
      <c r="S371" s="138">
        <v>0.72</v>
      </c>
      <c r="T371" s="138">
        <v>0.72</v>
      </c>
      <c r="U371" s="138">
        <v>0.72</v>
      </c>
      <c r="V371" s="138">
        <v>0.72</v>
      </c>
      <c r="W371" s="138">
        <v>0.72</v>
      </c>
      <c r="X371" s="138">
        <v>0.72</v>
      </c>
      <c r="Y371" s="138">
        <f t="shared" si="258"/>
        <v>0.72</v>
      </c>
      <c r="Z371" s="138">
        <f t="shared" si="259"/>
        <v>0.72</v>
      </c>
      <c r="AA371" s="138">
        <f t="shared" si="260"/>
        <v>0.72</v>
      </c>
      <c r="AB371" s="138">
        <f t="shared" si="261"/>
        <v>0.72</v>
      </c>
      <c r="AC371" s="138">
        <f t="shared" si="262"/>
        <v>0.72</v>
      </c>
      <c r="AD371" s="138">
        <f t="shared" si="263"/>
        <v>0.72</v>
      </c>
      <c r="AE371" s="138">
        <f t="shared" si="264"/>
        <v>0.72</v>
      </c>
      <c r="AF371" s="138">
        <f t="shared" si="265"/>
        <v>0.72</v>
      </c>
      <c r="AG371" s="138">
        <f t="shared" si="266"/>
        <v>0.72</v>
      </c>
      <c r="AH371" s="138">
        <f t="shared" si="267"/>
        <v>0.72</v>
      </c>
      <c r="AI371" s="138">
        <f t="shared" si="268"/>
        <v>0.72</v>
      </c>
      <c r="AJ371" s="138">
        <f t="shared" si="269"/>
        <v>0.72</v>
      </c>
      <c r="AK371" s="138">
        <f t="shared" si="270"/>
        <v>0.72</v>
      </c>
      <c r="AL371" s="138">
        <f t="shared" si="271"/>
        <v>0.71999999999999986</v>
      </c>
      <c r="AM371" s="138">
        <f t="shared" si="272"/>
        <v>0.6050000000000002</v>
      </c>
      <c r="AO371" s="77" t="str">
        <f t="shared" si="229"/>
        <v>DS-4 (Large General Service)</v>
      </c>
      <c r="AP371" s="78" t="s">
        <v>642</v>
      </c>
      <c r="AQ371" s="77" t="str">
        <f t="shared" si="230"/>
        <v>Rider EUA-DS (Added to Customer Charge)</v>
      </c>
      <c r="AR371" s="78" t="str">
        <f t="shared" si="231"/>
        <v>Billing Cycle</v>
      </c>
      <c r="AS371" s="79">
        <f t="shared" si="232"/>
        <v>6</v>
      </c>
      <c r="AT371" s="78">
        <f t="shared" si="233"/>
        <v>0</v>
      </c>
      <c r="AU371" s="78">
        <f t="shared" si="234"/>
        <v>0.03</v>
      </c>
      <c r="AV371" s="78">
        <f t="shared" si="235"/>
        <v>0.03</v>
      </c>
      <c r="AW371" s="78">
        <f t="shared" si="236"/>
        <v>0.03</v>
      </c>
      <c r="AX371" s="78">
        <f t="shared" si="237"/>
        <v>0.03</v>
      </c>
      <c r="AY371" s="78">
        <f t="shared" si="238"/>
        <v>0.03</v>
      </c>
      <c r="AZ371" s="78">
        <f t="shared" si="239"/>
        <v>0.72</v>
      </c>
      <c r="BA371" s="78">
        <f t="shared" si="240"/>
        <v>0.72</v>
      </c>
      <c r="BB371" s="78">
        <f t="shared" si="241"/>
        <v>0.72</v>
      </c>
      <c r="BC371" s="78">
        <f t="shared" si="242"/>
        <v>0.72</v>
      </c>
      <c r="BD371" s="78">
        <f t="shared" si="243"/>
        <v>0.72</v>
      </c>
      <c r="BE371" s="78">
        <f t="shared" si="244"/>
        <v>0.72</v>
      </c>
      <c r="BF371" s="78">
        <f t="shared" si="245"/>
        <v>0.72</v>
      </c>
      <c r="BG371" s="78">
        <f t="shared" si="246"/>
        <v>0.72</v>
      </c>
      <c r="BH371" s="78">
        <f t="shared" si="247"/>
        <v>0.72</v>
      </c>
      <c r="BI371" s="78">
        <f t="shared" si="248"/>
        <v>0.72</v>
      </c>
      <c r="BJ371" s="78">
        <f t="shared" si="249"/>
        <v>0.72</v>
      </c>
      <c r="BK371" s="78">
        <f t="shared" si="250"/>
        <v>0.72</v>
      </c>
      <c r="BL371" s="78">
        <f t="shared" si="251"/>
        <v>0.72</v>
      </c>
      <c r="BM371" s="78">
        <f t="shared" si="252"/>
        <v>0.72</v>
      </c>
      <c r="BN371" s="78">
        <f t="shared" si="253"/>
        <v>0.72</v>
      </c>
      <c r="BO371" s="78">
        <f t="shared" si="254"/>
        <v>0.72</v>
      </c>
      <c r="BP371" s="78">
        <f t="shared" si="255"/>
        <v>0.72</v>
      </c>
      <c r="BQ371" s="78">
        <f t="shared" si="256"/>
        <v>0.72</v>
      </c>
      <c r="BR371" s="78">
        <f t="shared" si="257"/>
        <v>0.72</v>
      </c>
      <c r="BS371" s="77"/>
      <c r="BT371" s="77"/>
    </row>
    <row r="372" spans="1:72" ht="14.1" customHeight="1" x14ac:dyDescent="0.2">
      <c r="A372" s="55" t="str">
        <f t="shared" si="228"/>
        <v>DS-6 (DS-3) Temp. Sensitive DS_Rider EUA-DS (Added to Customer Charge)</v>
      </c>
      <c r="B372" s="80" t="s">
        <v>643</v>
      </c>
      <c r="C372" s="83" t="s">
        <v>838</v>
      </c>
      <c r="D372" s="150"/>
      <c r="E372" s="81"/>
      <c r="F372" s="73" t="s">
        <v>649</v>
      </c>
      <c r="G372" s="73">
        <v>0</v>
      </c>
      <c r="H372" s="73">
        <v>6</v>
      </c>
      <c r="I372" s="74" t="s">
        <v>641</v>
      </c>
      <c r="J372" s="75" t="s">
        <v>634</v>
      </c>
      <c r="K372" s="74"/>
      <c r="L372" s="82">
        <v>0.03</v>
      </c>
      <c r="M372" s="138">
        <v>0.03</v>
      </c>
      <c r="N372" s="138">
        <v>0.03</v>
      </c>
      <c r="O372" s="138">
        <v>0.03</v>
      </c>
      <c r="P372" s="138">
        <v>0.03</v>
      </c>
      <c r="Q372" s="138">
        <v>0.03</v>
      </c>
      <c r="R372" s="138">
        <v>0.72</v>
      </c>
      <c r="S372" s="138">
        <v>0.72</v>
      </c>
      <c r="T372" s="138">
        <v>0.72</v>
      </c>
      <c r="U372" s="138">
        <v>0.72</v>
      </c>
      <c r="V372" s="138">
        <v>0.72</v>
      </c>
      <c r="W372" s="138">
        <v>0.72</v>
      </c>
      <c r="X372" s="138">
        <v>0.72</v>
      </c>
      <c r="Y372" s="138">
        <f t="shared" si="258"/>
        <v>0.72</v>
      </c>
      <c r="Z372" s="138">
        <f t="shared" si="259"/>
        <v>0.72</v>
      </c>
      <c r="AA372" s="138">
        <f t="shared" si="260"/>
        <v>0.72</v>
      </c>
      <c r="AB372" s="138">
        <f t="shared" si="261"/>
        <v>0.72</v>
      </c>
      <c r="AC372" s="138">
        <f t="shared" si="262"/>
        <v>0.72</v>
      </c>
      <c r="AD372" s="138">
        <f t="shared" si="263"/>
        <v>0.72</v>
      </c>
      <c r="AE372" s="138">
        <f t="shared" si="264"/>
        <v>0.72</v>
      </c>
      <c r="AF372" s="138">
        <f t="shared" si="265"/>
        <v>0.72</v>
      </c>
      <c r="AG372" s="138">
        <f t="shared" si="266"/>
        <v>0.72</v>
      </c>
      <c r="AH372" s="138">
        <f t="shared" si="267"/>
        <v>0.72</v>
      </c>
      <c r="AI372" s="138">
        <f t="shared" si="268"/>
        <v>0.72</v>
      </c>
      <c r="AJ372" s="138">
        <f t="shared" si="269"/>
        <v>0.72</v>
      </c>
      <c r="AK372" s="138">
        <f t="shared" si="270"/>
        <v>0.72</v>
      </c>
      <c r="AL372" s="138">
        <f t="shared" si="271"/>
        <v>0.71999999999999986</v>
      </c>
      <c r="AM372" s="138">
        <f t="shared" si="272"/>
        <v>0.6050000000000002</v>
      </c>
      <c r="AO372" s="77" t="str">
        <f t="shared" si="229"/>
        <v>DS-6 (DS-3) Temp. Sensitive DS</v>
      </c>
      <c r="AP372" s="78" t="s">
        <v>644</v>
      </c>
      <c r="AQ372" s="77" t="str">
        <f t="shared" si="230"/>
        <v>Rider EUA-DS (Added to Customer Charge)</v>
      </c>
      <c r="AR372" s="78" t="str">
        <f t="shared" si="231"/>
        <v>Billing Cycle</v>
      </c>
      <c r="AS372" s="79">
        <f t="shared" si="232"/>
        <v>6</v>
      </c>
      <c r="AT372" s="78">
        <f t="shared" si="233"/>
        <v>0</v>
      </c>
      <c r="AU372" s="78">
        <f t="shared" si="234"/>
        <v>0.03</v>
      </c>
      <c r="AV372" s="78">
        <f t="shared" si="235"/>
        <v>0.03</v>
      </c>
      <c r="AW372" s="78">
        <f t="shared" si="236"/>
        <v>0.03</v>
      </c>
      <c r="AX372" s="78">
        <f t="shared" si="237"/>
        <v>0.03</v>
      </c>
      <c r="AY372" s="78">
        <f t="shared" si="238"/>
        <v>0.03</v>
      </c>
      <c r="AZ372" s="78">
        <f t="shared" si="239"/>
        <v>0.72</v>
      </c>
      <c r="BA372" s="78">
        <f t="shared" si="240"/>
        <v>0.72</v>
      </c>
      <c r="BB372" s="78">
        <f t="shared" si="241"/>
        <v>0.72</v>
      </c>
      <c r="BC372" s="78">
        <f t="shared" si="242"/>
        <v>0.72</v>
      </c>
      <c r="BD372" s="78">
        <f t="shared" si="243"/>
        <v>0.72</v>
      </c>
      <c r="BE372" s="78">
        <f t="shared" si="244"/>
        <v>0.72</v>
      </c>
      <c r="BF372" s="78">
        <f t="shared" si="245"/>
        <v>0.72</v>
      </c>
      <c r="BG372" s="78">
        <f t="shared" si="246"/>
        <v>0.72</v>
      </c>
      <c r="BH372" s="78">
        <f t="shared" si="247"/>
        <v>0.72</v>
      </c>
      <c r="BI372" s="78">
        <f t="shared" si="248"/>
        <v>0.72</v>
      </c>
      <c r="BJ372" s="78">
        <f t="shared" si="249"/>
        <v>0.72</v>
      </c>
      <c r="BK372" s="78">
        <f t="shared" si="250"/>
        <v>0.72</v>
      </c>
      <c r="BL372" s="78">
        <f t="shared" si="251"/>
        <v>0.72</v>
      </c>
      <c r="BM372" s="78">
        <f t="shared" si="252"/>
        <v>0.72</v>
      </c>
      <c r="BN372" s="78">
        <f t="shared" si="253"/>
        <v>0.72</v>
      </c>
      <c r="BO372" s="78">
        <f t="shared" si="254"/>
        <v>0.72</v>
      </c>
      <c r="BP372" s="78">
        <f t="shared" si="255"/>
        <v>0.72</v>
      </c>
      <c r="BQ372" s="78">
        <f t="shared" si="256"/>
        <v>0.72</v>
      </c>
      <c r="BR372" s="78">
        <f t="shared" si="257"/>
        <v>0.72</v>
      </c>
      <c r="BS372" s="77"/>
      <c r="BT372" s="77"/>
    </row>
    <row r="373" spans="1:72" ht="14.1" customHeight="1" x14ac:dyDescent="0.2">
      <c r="A373" s="55" t="str">
        <f t="shared" si="228"/>
        <v>DS-6 (DS-4) Temp. Sensitive DS_Rider EUA-DS (Added to Customer Charge)</v>
      </c>
      <c r="B373" s="80" t="s">
        <v>645</v>
      </c>
      <c r="C373" s="83" t="s">
        <v>838</v>
      </c>
      <c r="D373" s="150"/>
      <c r="E373" s="81"/>
      <c r="F373" s="73" t="s">
        <v>649</v>
      </c>
      <c r="G373" s="73">
        <v>0</v>
      </c>
      <c r="H373" s="73">
        <v>6</v>
      </c>
      <c r="I373" s="74" t="s">
        <v>641</v>
      </c>
      <c r="J373" s="75" t="s">
        <v>634</v>
      </c>
      <c r="K373" s="74"/>
      <c r="L373" s="82">
        <v>0.03</v>
      </c>
      <c r="M373" s="138">
        <v>0.03</v>
      </c>
      <c r="N373" s="138">
        <v>0.03</v>
      </c>
      <c r="O373" s="138">
        <v>0.03</v>
      </c>
      <c r="P373" s="138">
        <v>0.03</v>
      </c>
      <c r="Q373" s="138">
        <v>0.03</v>
      </c>
      <c r="R373" s="138">
        <v>0.72</v>
      </c>
      <c r="S373" s="138">
        <v>0.72</v>
      </c>
      <c r="T373" s="138">
        <v>0.72</v>
      </c>
      <c r="U373" s="138">
        <v>0.72</v>
      </c>
      <c r="V373" s="138">
        <v>0.72</v>
      </c>
      <c r="W373" s="138">
        <v>0.72</v>
      </c>
      <c r="X373" s="138">
        <v>0.72</v>
      </c>
      <c r="Y373" s="138">
        <f t="shared" si="258"/>
        <v>0.72</v>
      </c>
      <c r="Z373" s="138">
        <f t="shared" si="259"/>
        <v>0.72</v>
      </c>
      <c r="AA373" s="138">
        <f t="shared" si="260"/>
        <v>0.72</v>
      </c>
      <c r="AB373" s="138">
        <f t="shared" si="261"/>
        <v>0.72</v>
      </c>
      <c r="AC373" s="138">
        <f t="shared" si="262"/>
        <v>0.72</v>
      </c>
      <c r="AD373" s="138">
        <f t="shared" si="263"/>
        <v>0.72</v>
      </c>
      <c r="AE373" s="138">
        <f t="shared" si="264"/>
        <v>0.72</v>
      </c>
      <c r="AF373" s="138">
        <f t="shared" si="265"/>
        <v>0.72</v>
      </c>
      <c r="AG373" s="138">
        <f t="shared" si="266"/>
        <v>0.72</v>
      </c>
      <c r="AH373" s="138">
        <f t="shared" si="267"/>
        <v>0.72</v>
      </c>
      <c r="AI373" s="138">
        <f t="shared" si="268"/>
        <v>0.72</v>
      </c>
      <c r="AJ373" s="138">
        <f t="shared" si="269"/>
        <v>0.72</v>
      </c>
      <c r="AK373" s="138">
        <f t="shared" si="270"/>
        <v>0.72</v>
      </c>
      <c r="AL373" s="138">
        <f t="shared" si="271"/>
        <v>0.71999999999999986</v>
      </c>
      <c r="AM373" s="138">
        <f t="shared" si="272"/>
        <v>0.6050000000000002</v>
      </c>
      <c r="AO373" s="77" t="str">
        <f t="shared" si="229"/>
        <v>DS-6 (DS-4) Temp. Sensitive DS</v>
      </c>
      <c r="AP373" s="78" t="s">
        <v>646</v>
      </c>
      <c r="AQ373" s="77" t="str">
        <f t="shared" si="230"/>
        <v>Rider EUA-DS (Added to Customer Charge)</v>
      </c>
      <c r="AR373" s="78" t="str">
        <f t="shared" si="231"/>
        <v>Billing Cycle</v>
      </c>
      <c r="AS373" s="79">
        <f t="shared" si="232"/>
        <v>6</v>
      </c>
      <c r="AT373" s="78">
        <f t="shared" si="233"/>
        <v>0</v>
      </c>
      <c r="AU373" s="78">
        <f t="shared" si="234"/>
        <v>0.03</v>
      </c>
      <c r="AV373" s="78">
        <f t="shared" si="235"/>
        <v>0.03</v>
      </c>
      <c r="AW373" s="78">
        <f t="shared" si="236"/>
        <v>0.03</v>
      </c>
      <c r="AX373" s="78">
        <f t="shared" si="237"/>
        <v>0.03</v>
      </c>
      <c r="AY373" s="78">
        <f t="shared" si="238"/>
        <v>0.03</v>
      </c>
      <c r="AZ373" s="78">
        <f t="shared" si="239"/>
        <v>0.72</v>
      </c>
      <c r="BA373" s="78">
        <f t="shared" si="240"/>
        <v>0.72</v>
      </c>
      <c r="BB373" s="78">
        <f t="shared" si="241"/>
        <v>0.72</v>
      </c>
      <c r="BC373" s="78">
        <f t="shared" si="242"/>
        <v>0.72</v>
      </c>
      <c r="BD373" s="78">
        <f t="shared" si="243"/>
        <v>0.72</v>
      </c>
      <c r="BE373" s="78">
        <f t="shared" si="244"/>
        <v>0.72</v>
      </c>
      <c r="BF373" s="78">
        <f t="shared" si="245"/>
        <v>0.72</v>
      </c>
      <c r="BG373" s="78">
        <f t="shared" si="246"/>
        <v>0.72</v>
      </c>
      <c r="BH373" s="78">
        <f t="shared" si="247"/>
        <v>0.72</v>
      </c>
      <c r="BI373" s="78">
        <f t="shared" si="248"/>
        <v>0.72</v>
      </c>
      <c r="BJ373" s="78">
        <f t="shared" si="249"/>
        <v>0.72</v>
      </c>
      <c r="BK373" s="78">
        <f t="shared" si="250"/>
        <v>0.72</v>
      </c>
      <c r="BL373" s="78">
        <f t="shared" si="251"/>
        <v>0.72</v>
      </c>
      <c r="BM373" s="78">
        <f t="shared" si="252"/>
        <v>0.72</v>
      </c>
      <c r="BN373" s="78">
        <f t="shared" si="253"/>
        <v>0.72</v>
      </c>
      <c r="BO373" s="78">
        <f t="shared" si="254"/>
        <v>0.72</v>
      </c>
      <c r="BP373" s="78">
        <f t="shared" si="255"/>
        <v>0.72</v>
      </c>
      <c r="BQ373" s="78">
        <f t="shared" si="256"/>
        <v>0.72</v>
      </c>
      <c r="BR373" s="78">
        <f t="shared" si="257"/>
        <v>0.72</v>
      </c>
      <c r="BS373" s="77"/>
      <c r="BT373" s="77"/>
    </row>
    <row r="374" spans="1:72" ht="14.1" customHeight="1" x14ac:dyDescent="0.2">
      <c r="A374" s="55" t="str">
        <f t="shared" si="228"/>
        <v>BGS-1 (Residential)_Rider EUA-Supply</v>
      </c>
      <c r="B374" s="80" t="s">
        <v>677</v>
      </c>
      <c r="C374" s="71" t="s">
        <v>839</v>
      </c>
      <c r="D374" s="150" t="s">
        <v>578</v>
      </c>
      <c r="E374" s="81"/>
      <c r="F374" s="73" t="s">
        <v>649</v>
      </c>
      <c r="G374" s="73">
        <v>0</v>
      </c>
      <c r="H374" s="73">
        <v>6</v>
      </c>
      <c r="I374" s="74" t="s">
        <v>641</v>
      </c>
      <c r="J374" s="75" t="s">
        <v>634</v>
      </c>
      <c r="K374" s="74"/>
      <c r="L374" s="82">
        <v>0</v>
      </c>
      <c r="M374" s="138">
        <v>0</v>
      </c>
      <c r="N374" s="138">
        <v>0</v>
      </c>
      <c r="O374" s="138">
        <v>0</v>
      </c>
      <c r="P374" s="138">
        <v>0</v>
      </c>
      <c r="Q374" s="138">
        <v>0</v>
      </c>
      <c r="R374" s="138">
        <v>0</v>
      </c>
      <c r="S374" s="138">
        <v>0</v>
      </c>
      <c r="T374" s="138">
        <v>0</v>
      </c>
      <c r="U374" s="138">
        <v>0</v>
      </c>
      <c r="V374" s="138">
        <v>0</v>
      </c>
      <c r="W374" s="138">
        <v>0</v>
      </c>
      <c r="X374" s="138">
        <v>0</v>
      </c>
      <c r="Y374" s="138">
        <f t="shared" si="258"/>
        <v>0</v>
      </c>
      <c r="Z374" s="138">
        <f t="shared" si="259"/>
        <v>0</v>
      </c>
      <c r="AA374" s="138">
        <f t="shared" si="260"/>
        <v>0</v>
      </c>
      <c r="AB374" s="138">
        <f t="shared" si="261"/>
        <v>0</v>
      </c>
      <c r="AC374" s="138">
        <f t="shared" si="262"/>
        <v>0</v>
      </c>
      <c r="AD374" s="138">
        <f t="shared" si="263"/>
        <v>0</v>
      </c>
      <c r="AE374" s="138">
        <f t="shared" si="264"/>
        <v>0</v>
      </c>
      <c r="AF374" s="138">
        <f t="shared" si="265"/>
        <v>0</v>
      </c>
      <c r="AG374" s="138">
        <f t="shared" si="266"/>
        <v>0</v>
      </c>
      <c r="AH374" s="138">
        <f t="shared" si="267"/>
        <v>0</v>
      </c>
      <c r="AI374" s="138">
        <f t="shared" si="268"/>
        <v>0</v>
      </c>
      <c r="AJ374" s="138">
        <f t="shared" si="269"/>
        <v>0</v>
      </c>
      <c r="AK374" s="138">
        <f t="shared" si="270"/>
        <v>0</v>
      </c>
      <c r="AL374" s="138">
        <f t="shared" si="271"/>
        <v>0</v>
      </c>
      <c r="AM374" s="138">
        <f t="shared" si="272"/>
        <v>0</v>
      </c>
      <c r="AO374" s="77" t="str">
        <f t="shared" si="229"/>
        <v>BGS-1 (Residential)</v>
      </c>
      <c r="AP374" s="78" t="s">
        <v>679</v>
      </c>
      <c r="AQ374" s="77" t="str">
        <f t="shared" si="230"/>
        <v>Rider EUA-Supply</v>
      </c>
      <c r="AR374" s="78" t="str">
        <f t="shared" si="231"/>
        <v>Billing Cycle</v>
      </c>
      <c r="AS374" s="79">
        <f t="shared" si="232"/>
        <v>6</v>
      </c>
      <c r="AT374" s="78">
        <f t="shared" si="233"/>
        <v>0</v>
      </c>
      <c r="AU374" s="78">
        <f t="shared" si="234"/>
        <v>0</v>
      </c>
      <c r="AV374" s="78">
        <f t="shared" si="235"/>
        <v>0</v>
      </c>
      <c r="AW374" s="78">
        <f t="shared" si="236"/>
        <v>0</v>
      </c>
      <c r="AX374" s="78">
        <f t="shared" si="237"/>
        <v>0</v>
      </c>
      <c r="AY374" s="78">
        <f t="shared" si="238"/>
        <v>0</v>
      </c>
      <c r="AZ374" s="78">
        <f t="shared" si="239"/>
        <v>0</v>
      </c>
      <c r="BA374" s="78">
        <f t="shared" si="240"/>
        <v>0</v>
      </c>
      <c r="BB374" s="78">
        <f t="shared" si="241"/>
        <v>0</v>
      </c>
      <c r="BC374" s="78">
        <f t="shared" si="242"/>
        <v>0</v>
      </c>
      <c r="BD374" s="78">
        <f t="shared" si="243"/>
        <v>0</v>
      </c>
      <c r="BE374" s="78">
        <f t="shared" si="244"/>
        <v>0</v>
      </c>
      <c r="BF374" s="78">
        <f t="shared" si="245"/>
        <v>0</v>
      </c>
      <c r="BG374" s="78">
        <f t="shared" si="246"/>
        <v>0</v>
      </c>
      <c r="BH374" s="78">
        <f t="shared" si="247"/>
        <v>0</v>
      </c>
      <c r="BI374" s="78">
        <f t="shared" si="248"/>
        <v>0</v>
      </c>
      <c r="BJ374" s="78">
        <f t="shared" si="249"/>
        <v>0</v>
      </c>
      <c r="BK374" s="78">
        <f t="shared" si="250"/>
        <v>0</v>
      </c>
      <c r="BL374" s="78">
        <f t="shared" si="251"/>
        <v>0</v>
      </c>
      <c r="BM374" s="78">
        <f t="shared" si="252"/>
        <v>0</v>
      </c>
      <c r="BN374" s="78">
        <f t="shared" si="253"/>
        <v>0</v>
      </c>
      <c r="BO374" s="78">
        <f t="shared" si="254"/>
        <v>0</v>
      </c>
      <c r="BP374" s="78">
        <f t="shared" si="255"/>
        <v>0</v>
      </c>
      <c r="BQ374" s="78">
        <f t="shared" si="256"/>
        <v>0</v>
      </c>
      <c r="BR374" s="78">
        <f t="shared" si="257"/>
        <v>0</v>
      </c>
      <c r="BS374" s="77"/>
      <c r="BT374" s="77"/>
    </row>
    <row r="375" spans="1:72" ht="14.1" customHeight="1" x14ac:dyDescent="0.2">
      <c r="A375" s="55" t="str">
        <f t="shared" si="228"/>
        <v>RTP-1 (Residential)_Rider EUA-Supply</v>
      </c>
      <c r="B375" s="80" t="s">
        <v>828</v>
      </c>
      <c r="C375" s="71" t="s">
        <v>839</v>
      </c>
      <c r="D375" s="150"/>
      <c r="E375" s="81"/>
      <c r="F375" s="73" t="s">
        <v>649</v>
      </c>
      <c r="G375" s="73">
        <v>0</v>
      </c>
      <c r="H375" s="73">
        <v>6</v>
      </c>
      <c r="I375" s="74" t="s">
        <v>641</v>
      </c>
      <c r="J375" s="75" t="s">
        <v>634</v>
      </c>
      <c r="K375" s="74"/>
      <c r="L375" s="82">
        <v>0</v>
      </c>
      <c r="M375" s="138">
        <v>0</v>
      </c>
      <c r="N375" s="138">
        <v>0</v>
      </c>
      <c r="O375" s="138">
        <v>0</v>
      </c>
      <c r="P375" s="138">
        <v>0</v>
      </c>
      <c r="Q375" s="138">
        <v>0</v>
      </c>
      <c r="R375" s="138">
        <v>0</v>
      </c>
      <c r="S375" s="138">
        <v>0</v>
      </c>
      <c r="T375" s="138">
        <v>0</v>
      </c>
      <c r="U375" s="138">
        <v>0</v>
      </c>
      <c r="V375" s="138">
        <v>0</v>
      </c>
      <c r="W375" s="138">
        <v>0</v>
      </c>
      <c r="X375" s="138">
        <v>0</v>
      </c>
      <c r="Y375" s="138">
        <f t="shared" si="258"/>
        <v>0</v>
      </c>
      <c r="Z375" s="138">
        <f t="shared" si="259"/>
        <v>0</v>
      </c>
      <c r="AA375" s="138">
        <f t="shared" si="260"/>
        <v>0</v>
      </c>
      <c r="AB375" s="138">
        <f t="shared" si="261"/>
        <v>0</v>
      </c>
      <c r="AC375" s="138">
        <f t="shared" si="262"/>
        <v>0</v>
      </c>
      <c r="AD375" s="138">
        <f t="shared" si="263"/>
        <v>0</v>
      </c>
      <c r="AE375" s="138">
        <f t="shared" si="264"/>
        <v>0</v>
      </c>
      <c r="AF375" s="138">
        <f t="shared" si="265"/>
        <v>0</v>
      </c>
      <c r="AG375" s="138">
        <f t="shared" si="266"/>
        <v>0</v>
      </c>
      <c r="AH375" s="138">
        <f t="shared" si="267"/>
        <v>0</v>
      </c>
      <c r="AI375" s="138">
        <f t="shared" si="268"/>
        <v>0</v>
      </c>
      <c r="AJ375" s="138">
        <f t="shared" si="269"/>
        <v>0</v>
      </c>
      <c r="AK375" s="138">
        <f t="shared" si="270"/>
        <v>0</v>
      </c>
      <c r="AL375" s="138">
        <f t="shared" si="271"/>
        <v>0</v>
      </c>
      <c r="AM375" s="138">
        <f t="shared" si="272"/>
        <v>0</v>
      </c>
      <c r="AO375" s="77" t="str">
        <f t="shared" si="229"/>
        <v>RTP-1 (Residential)</v>
      </c>
      <c r="AP375" s="78" t="s">
        <v>829</v>
      </c>
      <c r="AQ375" s="77" t="str">
        <f t="shared" si="230"/>
        <v>Rider EUA-Supply</v>
      </c>
      <c r="AR375" s="78" t="str">
        <f t="shared" si="231"/>
        <v>Billing Cycle</v>
      </c>
      <c r="AS375" s="79">
        <f t="shared" si="232"/>
        <v>6</v>
      </c>
      <c r="AT375" s="78">
        <f t="shared" si="233"/>
        <v>0</v>
      </c>
      <c r="AU375" s="78">
        <f t="shared" si="234"/>
        <v>0</v>
      </c>
      <c r="AV375" s="78">
        <f t="shared" si="235"/>
        <v>0</v>
      </c>
      <c r="AW375" s="78">
        <f t="shared" si="236"/>
        <v>0</v>
      </c>
      <c r="AX375" s="78">
        <f t="shared" si="237"/>
        <v>0</v>
      </c>
      <c r="AY375" s="78">
        <f t="shared" si="238"/>
        <v>0</v>
      </c>
      <c r="AZ375" s="78">
        <f t="shared" si="239"/>
        <v>0</v>
      </c>
      <c r="BA375" s="78">
        <f t="shared" si="240"/>
        <v>0</v>
      </c>
      <c r="BB375" s="78">
        <f t="shared" si="241"/>
        <v>0</v>
      </c>
      <c r="BC375" s="78">
        <f t="shared" si="242"/>
        <v>0</v>
      </c>
      <c r="BD375" s="78">
        <f t="shared" si="243"/>
        <v>0</v>
      </c>
      <c r="BE375" s="78">
        <f t="shared" si="244"/>
        <v>0</v>
      </c>
      <c r="BF375" s="78">
        <f t="shared" si="245"/>
        <v>0</v>
      </c>
      <c r="BG375" s="78">
        <f t="shared" si="246"/>
        <v>0</v>
      </c>
      <c r="BH375" s="78">
        <f t="shared" si="247"/>
        <v>0</v>
      </c>
      <c r="BI375" s="78">
        <f t="shared" si="248"/>
        <v>0</v>
      </c>
      <c r="BJ375" s="78">
        <f t="shared" si="249"/>
        <v>0</v>
      </c>
      <c r="BK375" s="78">
        <f t="shared" si="250"/>
        <v>0</v>
      </c>
      <c r="BL375" s="78">
        <f t="shared" si="251"/>
        <v>0</v>
      </c>
      <c r="BM375" s="78">
        <f t="shared" si="252"/>
        <v>0</v>
      </c>
      <c r="BN375" s="78">
        <f t="shared" si="253"/>
        <v>0</v>
      </c>
      <c r="BO375" s="78">
        <f t="shared" si="254"/>
        <v>0</v>
      </c>
      <c r="BP375" s="78">
        <f t="shared" si="255"/>
        <v>0</v>
      </c>
      <c r="BQ375" s="78">
        <f t="shared" si="256"/>
        <v>0</v>
      </c>
      <c r="BR375" s="78">
        <f t="shared" si="257"/>
        <v>0</v>
      </c>
      <c r="BS375" s="77"/>
      <c r="BT375" s="77"/>
    </row>
    <row r="376" spans="1:72" ht="14.1" customHeight="1" x14ac:dyDescent="0.2">
      <c r="A376" s="55" t="str">
        <f t="shared" si="228"/>
        <v>BGS-2 (Non-Residential)_Rider EUA-Supply</v>
      </c>
      <c r="B376" s="80" t="s">
        <v>685</v>
      </c>
      <c r="C376" s="83" t="s">
        <v>839</v>
      </c>
      <c r="D376" s="150"/>
      <c r="E376" s="81"/>
      <c r="F376" s="73" t="s">
        <v>649</v>
      </c>
      <c r="G376" s="73">
        <v>0</v>
      </c>
      <c r="H376" s="73">
        <v>6</v>
      </c>
      <c r="I376" s="74" t="s">
        <v>641</v>
      </c>
      <c r="J376" s="75" t="s">
        <v>634</v>
      </c>
      <c r="K376" s="74"/>
      <c r="L376" s="82">
        <v>0</v>
      </c>
      <c r="M376" s="138">
        <v>0</v>
      </c>
      <c r="N376" s="138">
        <v>0</v>
      </c>
      <c r="O376" s="138">
        <v>0</v>
      </c>
      <c r="P376" s="138">
        <v>0</v>
      </c>
      <c r="Q376" s="138">
        <v>0</v>
      </c>
      <c r="R376" s="138">
        <v>0</v>
      </c>
      <c r="S376" s="138">
        <v>0</v>
      </c>
      <c r="T376" s="138">
        <v>0</v>
      </c>
      <c r="U376" s="138">
        <v>0</v>
      </c>
      <c r="V376" s="138">
        <v>0</v>
      </c>
      <c r="W376" s="138">
        <v>0</v>
      </c>
      <c r="X376" s="138">
        <v>0</v>
      </c>
      <c r="Y376" s="138">
        <f t="shared" si="258"/>
        <v>0</v>
      </c>
      <c r="Z376" s="138">
        <f t="shared" si="259"/>
        <v>0</v>
      </c>
      <c r="AA376" s="138">
        <f t="shared" si="260"/>
        <v>0</v>
      </c>
      <c r="AB376" s="138">
        <f t="shared" si="261"/>
        <v>0</v>
      </c>
      <c r="AC376" s="138">
        <f t="shared" si="262"/>
        <v>0</v>
      </c>
      <c r="AD376" s="138">
        <f t="shared" si="263"/>
        <v>0</v>
      </c>
      <c r="AE376" s="138">
        <f t="shared" si="264"/>
        <v>0</v>
      </c>
      <c r="AF376" s="138">
        <f t="shared" si="265"/>
        <v>0</v>
      </c>
      <c r="AG376" s="138">
        <f t="shared" si="266"/>
        <v>0</v>
      </c>
      <c r="AH376" s="138">
        <f t="shared" si="267"/>
        <v>0</v>
      </c>
      <c r="AI376" s="138">
        <f t="shared" si="268"/>
        <v>0</v>
      </c>
      <c r="AJ376" s="138">
        <f t="shared" si="269"/>
        <v>0</v>
      </c>
      <c r="AK376" s="138">
        <f t="shared" si="270"/>
        <v>0</v>
      </c>
      <c r="AL376" s="138">
        <f t="shared" si="271"/>
        <v>0</v>
      </c>
      <c r="AM376" s="138">
        <f t="shared" si="272"/>
        <v>0</v>
      </c>
      <c r="AO376" s="77" t="str">
        <f t="shared" si="229"/>
        <v>BGS-2 (Non-Residential)</v>
      </c>
      <c r="AP376" s="78" t="s">
        <v>687</v>
      </c>
      <c r="AQ376" s="77" t="str">
        <f t="shared" si="230"/>
        <v>Rider EUA-Supply</v>
      </c>
      <c r="AR376" s="78" t="str">
        <f t="shared" si="231"/>
        <v>Billing Cycle</v>
      </c>
      <c r="AS376" s="79">
        <f t="shared" si="232"/>
        <v>6</v>
      </c>
      <c r="AT376" s="78">
        <f t="shared" si="233"/>
        <v>0</v>
      </c>
      <c r="AU376" s="78">
        <f t="shared" si="234"/>
        <v>0</v>
      </c>
      <c r="AV376" s="78">
        <f t="shared" si="235"/>
        <v>0</v>
      </c>
      <c r="AW376" s="78">
        <f t="shared" si="236"/>
        <v>0</v>
      </c>
      <c r="AX376" s="78">
        <f t="shared" si="237"/>
        <v>0</v>
      </c>
      <c r="AY376" s="78">
        <f t="shared" si="238"/>
        <v>0</v>
      </c>
      <c r="AZ376" s="78">
        <f t="shared" si="239"/>
        <v>0</v>
      </c>
      <c r="BA376" s="78">
        <f t="shared" si="240"/>
        <v>0</v>
      </c>
      <c r="BB376" s="78">
        <f t="shared" si="241"/>
        <v>0</v>
      </c>
      <c r="BC376" s="78">
        <f t="shared" si="242"/>
        <v>0</v>
      </c>
      <c r="BD376" s="78">
        <f t="shared" si="243"/>
        <v>0</v>
      </c>
      <c r="BE376" s="78">
        <f t="shared" si="244"/>
        <v>0</v>
      </c>
      <c r="BF376" s="78">
        <f t="shared" si="245"/>
        <v>0</v>
      </c>
      <c r="BG376" s="78">
        <f t="shared" si="246"/>
        <v>0</v>
      </c>
      <c r="BH376" s="78">
        <f t="shared" si="247"/>
        <v>0</v>
      </c>
      <c r="BI376" s="78">
        <f t="shared" si="248"/>
        <v>0</v>
      </c>
      <c r="BJ376" s="78">
        <f t="shared" si="249"/>
        <v>0</v>
      </c>
      <c r="BK376" s="78">
        <f t="shared" si="250"/>
        <v>0</v>
      </c>
      <c r="BL376" s="78">
        <f t="shared" si="251"/>
        <v>0</v>
      </c>
      <c r="BM376" s="78">
        <f t="shared" si="252"/>
        <v>0</v>
      </c>
      <c r="BN376" s="78">
        <f t="shared" si="253"/>
        <v>0</v>
      </c>
      <c r="BO376" s="78">
        <f t="shared" si="254"/>
        <v>0</v>
      </c>
      <c r="BP376" s="78">
        <f t="shared" si="255"/>
        <v>0</v>
      </c>
      <c r="BQ376" s="78">
        <f t="shared" si="256"/>
        <v>0</v>
      </c>
      <c r="BR376" s="78">
        <f t="shared" si="257"/>
        <v>0</v>
      </c>
      <c r="BS376" s="77"/>
      <c r="BT376" s="77"/>
    </row>
    <row r="377" spans="1:72" ht="14.1" customHeight="1" x14ac:dyDescent="0.2">
      <c r="A377" s="55" t="str">
        <f t="shared" si="228"/>
        <v>RTP-2 (Non-Residential)_Rider EUA-Supply</v>
      </c>
      <c r="B377" s="80" t="s">
        <v>830</v>
      </c>
      <c r="C377" s="71" t="s">
        <v>839</v>
      </c>
      <c r="D377" s="150"/>
      <c r="E377" s="81"/>
      <c r="F377" s="73" t="s">
        <v>649</v>
      </c>
      <c r="G377" s="73">
        <v>0</v>
      </c>
      <c r="H377" s="73">
        <v>6</v>
      </c>
      <c r="I377" s="74" t="s">
        <v>641</v>
      </c>
      <c r="J377" s="75" t="s">
        <v>634</v>
      </c>
      <c r="K377" s="74"/>
      <c r="L377" s="82">
        <v>0</v>
      </c>
      <c r="M377" s="138">
        <v>0</v>
      </c>
      <c r="N377" s="138">
        <v>0</v>
      </c>
      <c r="O377" s="138">
        <v>0</v>
      </c>
      <c r="P377" s="138">
        <v>0</v>
      </c>
      <c r="Q377" s="138">
        <v>0</v>
      </c>
      <c r="R377" s="138">
        <v>0</v>
      </c>
      <c r="S377" s="138">
        <v>0</v>
      </c>
      <c r="T377" s="138">
        <v>0</v>
      </c>
      <c r="U377" s="138">
        <v>0</v>
      </c>
      <c r="V377" s="138">
        <v>0</v>
      </c>
      <c r="W377" s="138">
        <v>0</v>
      </c>
      <c r="X377" s="138">
        <v>0</v>
      </c>
      <c r="Y377" s="138">
        <f t="shared" si="258"/>
        <v>0</v>
      </c>
      <c r="Z377" s="138">
        <f t="shared" si="259"/>
        <v>0</v>
      </c>
      <c r="AA377" s="138">
        <f t="shared" si="260"/>
        <v>0</v>
      </c>
      <c r="AB377" s="138">
        <f t="shared" si="261"/>
        <v>0</v>
      </c>
      <c r="AC377" s="138">
        <f t="shared" si="262"/>
        <v>0</v>
      </c>
      <c r="AD377" s="138">
        <f t="shared" si="263"/>
        <v>0</v>
      </c>
      <c r="AE377" s="138">
        <f t="shared" si="264"/>
        <v>0</v>
      </c>
      <c r="AF377" s="138">
        <f t="shared" si="265"/>
        <v>0</v>
      </c>
      <c r="AG377" s="138">
        <f t="shared" si="266"/>
        <v>0</v>
      </c>
      <c r="AH377" s="138">
        <f t="shared" si="267"/>
        <v>0</v>
      </c>
      <c r="AI377" s="138">
        <f t="shared" si="268"/>
        <v>0</v>
      </c>
      <c r="AJ377" s="138">
        <f t="shared" si="269"/>
        <v>0</v>
      </c>
      <c r="AK377" s="138">
        <f t="shared" si="270"/>
        <v>0</v>
      </c>
      <c r="AL377" s="138">
        <f t="shared" si="271"/>
        <v>0</v>
      </c>
      <c r="AM377" s="138">
        <f t="shared" si="272"/>
        <v>0</v>
      </c>
      <c r="AO377" s="77" t="str">
        <f t="shared" si="229"/>
        <v>RTP-2 (Non-Residential)</v>
      </c>
      <c r="AP377" s="78" t="s">
        <v>831</v>
      </c>
      <c r="AQ377" s="77" t="str">
        <f t="shared" si="230"/>
        <v>Rider EUA-Supply</v>
      </c>
      <c r="AR377" s="78" t="str">
        <f t="shared" si="231"/>
        <v>Billing Cycle</v>
      </c>
      <c r="AS377" s="79">
        <f t="shared" si="232"/>
        <v>6</v>
      </c>
      <c r="AT377" s="78">
        <f t="shared" si="233"/>
        <v>0</v>
      </c>
      <c r="AU377" s="78">
        <f t="shared" si="234"/>
        <v>0</v>
      </c>
      <c r="AV377" s="78">
        <f t="shared" si="235"/>
        <v>0</v>
      </c>
      <c r="AW377" s="78">
        <f t="shared" si="236"/>
        <v>0</v>
      </c>
      <c r="AX377" s="78">
        <f t="shared" si="237"/>
        <v>0</v>
      </c>
      <c r="AY377" s="78">
        <f t="shared" si="238"/>
        <v>0</v>
      </c>
      <c r="AZ377" s="78">
        <f t="shared" si="239"/>
        <v>0</v>
      </c>
      <c r="BA377" s="78">
        <f t="shared" si="240"/>
        <v>0</v>
      </c>
      <c r="BB377" s="78">
        <f t="shared" si="241"/>
        <v>0</v>
      </c>
      <c r="BC377" s="78">
        <f t="shared" si="242"/>
        <v>0</v>
      </c>
      <c r="BD377" s="78">
        <f t="shared" si="243"/>
        <v>0</v>
      </c>
      <c r="BE377" s="78">
        <f t="shared" si="244"/>
        <v>0</v>
      </c>
      <c r="BF377" s="78">
        <f t="shared" si="245"/>
        <v>0</v>
      </c>
      <c r="BG377" s="78">
        <f t="shared" si="246"/>
        <v>0</v>
      </c>
      <c r="BH377" s="78">
        <f t="shared" si="247"/>
        <v>0</v>
      </c>
      <c r="BI377" s="78">
        <f t="shared" si="248"/>
        <v>0</v>
      </c>
      <c r="BJ377" s="78">
        <f t="shared" si="249"/>
        <v>0</v>
      </c>
      <c r="BK377" s="78">
        <f t="shared" si="250"/>
        <v>0</v>
      </c>
      <c r="BL377" s="78">
        <f t="shared" si="251"/>
        <v>0</v>
      </c>
      <c r="BM377" s="78">
        <f t="shared" si="252"/>
        <v>0</v>
      </c>
      <c r="BN377" s="78">
        <f t="shared" si="253"/>
        <v>0</v>
      </c>
      <c r="BO377" s="78">
        <f t="shared" si="254"/>
        <v>0</v>
      </c>
      <c r="BP377" s="78">
        <f t="shared" si="255"/>
        <v>0</v>
      </c>
      <c r="BQ377" s="78">
        <f t="shared" si="256"/>
        <v>0</v>
      </c>
      <c r="BR377" s="78">
        <f t="shared" si="257"/>
        <v>0</v>
      </c>
      <c r="BS377" s="77"/>
      <c r="BT377" s="77"/>
    </row>
    <row r="378" spans="1:72" ht="14.1" customHeight="1" x14ac:dyDescent="0.2">
      <c r="A378" s="55" t="str">
        <f t="shared" si="228"/>
        <v>DS-3 (General Delivery Service)_Rider EUA-Supply</v>
      </c>
      <c r="B378" s="80" t="s">
        <v>666</v>
      </c>
      <c r="C378" s="83" t="s">
        <v>839</v>
      </c>
      <c r="D378" s="150"/>
      <c r="E378" s="81"/>
      <c r="F378" s="73" t="s">
        <v>649</v>
      </c>
      <c r="G378" s="73">
        <v>0</v>
      </c>
      <c r="H378" s="73">
        <v>6</v>
      </c>
      <c r="I378" s="74" t="s">
        <v>641</v>
      </c>
      <c r="J378" s="75" t="s">
        <v>634</v>
      </c>
      <c r="K378" s="74"/>
      <c r="L378" s="82">
        <v>0</v>
      </c>
      <c r="M378" s="138">
        <v>0</v>
      </c>
      <c r="N378" s="138">
        <v>0</v>
      </c>
      <c r="O378" s="138">
        <v>0</v>
      </c>
      <c r="P378" s="138">
        <v>0</v>
      </c>
      <c r="Q378" s="138">
        <v>0</v>
      </c>
      <c r="R378" s="138">
        <v>0</v>
      </c>
      <c r="S378" s="138">
        <v>0</v>
      </c>
      <c r="T378" s="138">
        <v>0</v>
      </c>
      <c r="U378" s="138">
        <v>0</v>
      </c>
      <c r="V378" s="138">
        <v>0</v>
      </c>
      <c r="W378" s="138">
        <v>0</v>
      </c>
      <c r="X378" s="138">
        <v>0</v>
      </c>
      <c r="Y378" s="138">
        <f t="shared" si="258"/>
        <v>0</v>
      </c>
      <c r="Z378" s="138">
        <f t="shared" si="259"/>
        <v>0</v>
      </c>
      <c r="AA378" s="138">
        <f t="shared" si="260"/>
        <v>0</v>
      </c>
      <c r="AB378" s="138">
        <f t="shared" si="261"/>
        <v>0</v>
      </c>
      <c r="AC378" s="138">
        <f t="shared" si="262"/>
        <v>0</v>
      </c>
      <c r="AD378" s="138">
        <f t="shared" si="263"/>
        <v>0</v>
      </c>
      <c r="AE378" s="138">
        <f t="shared" si="264"/>
        <v>0</v>
      </c>
      <c r="AF378" s="138">
        <f t="shared" si="265"/>
        <v>0</v>
      </c>
      <c r="AG378" s="138">
        <f t="shared" si="266"/>
        <v>0</v>
      </c>
      <c r="AH378" s="138">
        <f t="shared" si="267"/>
        <v>0</v>
      </c>
      <c r="AI378" s="138">
        <f t="shared" si="268"/>
        <v>0</v>
      </c>
      <c r="AJ378" s="138">
        <f t="shared" si="269"/>
        <v>0</v>
      </c>
      <c r="AK378" s="138">
        <f t="shared" si="270"/>
        <v>0</v>
      </c>
      <c r="AL378" s="138">
        <f t="shared" si="271"/>
        <v>0</v>
      </c>
      <c r="AM378" s="138">
        <f t="shared" si="272"/>
        <v>0</v>
      </c>
      <c r="AO378" s="77" t="str">
        <f t="shared" si="229"/>
        <v>DS-3 (General Delivery Service)</v>
      </c>
      <c r="AP378" s="78" t="s">
        <v>667</v>
      </c>
      <c r="AQ378" s="77" t="str">
        <f t="shared" si="230"/>
        <v>Rider EUA-Supply</v>
      </c>
      <c r="AR378" s="78" t="str">
        <f t="shared" si="231"/>
        <v>Billing Cycle</v>
      </c>
      <c r="AS378" s="79">
        <f t="shared" si="232"/>
        <v>6</v>
      </c>
      <c r="AT378" s="78">
        <f t="shared" si="233"/>
        <v>0</v>
      </c>
      <c r="AU378" s="78">
        <f t="shared" si="234"/>
        <v>0</v>
      </c>
      <c r="AV378" s="78">
        <f t="shared" si="235"/>
        <v>0</v>
      </c>
      <c r="AW378" s="78">
        <f t="shared" si="236"/>
        <v>0</v>
      </c>
      <c r="AX378" s="78">
        <f t="shared" si="237"/>
        <v>0</v>
      </c>
      <c r="AY378" s="78">
        <f t="shared" si="238"/>
        <v>0</v>
      </c>
      <c r="AZ378" s="78">
        <f t="shared" si="239"/>
        <v>0</v>
      </c>
      <c r="BA378" s="78">
        <f t="shared" si="240"/>
        <v>0</v>
      </c>
      <c r="BB378" s="78">
        <f t="shared" si="241"/>
        <v>0</v>
      </c>
      <c r="BC378" s="78">
        <f t="shared" si="242"/>
        <v>0</v>
      </c>
      <c r="BD378" s="78">
        <f t="shared" si="243"/>
        <v>0</v>
      </c>
      <c r="BE378" s="78">
        <f t="shared" si="244"/>
        <v>0</v>
      </c>
      <c r="BF378" s="78">
        <f t="shared" si="245"/>
        <v>0</v>
      </c>
      <c r="BG378" s="78">
        <f t="shared" si="246"/>
        <v>0</v>
      </c>
      <c r="BH378" s="78">
        <f t="shared" si="247"/>
        <v>0</v>
      </c>
      <c r="BI378" s="78">
        <f t="shared" si="248"/>
        <v>0</v>
      </c>
      <c r="BJ378" s="78">
        <f t="shared" si="249"/>
        <v>0</v>
      </c>
      <c r="BK378" s="78">
        <f t="shared" si="250"/>
        <v>0</v>
      </c>
      <c r="BL378" s="78">
        <f t="shared" si="251"/>
        <v>0</v>
      </c>
      <c r="BM378" s="78">
        <f t="shared" si="252"/>
        <v>0</v>
      </c>
      <c r="BN378" s="78">
        <f t="shared" si="253"/>
        <v>0</v>
      </c>
      <c r="BO378" s="78">
        <f t="shared" si="254"/>
        <v>0</v>
      </c>
      <c r="BP378" s="78">
        <f t="shared" si="255"/>
        <v>0</v>
      </c>
      <c r="BQ378" s="78">
        <f t="shared" si="256"/>
        <v>0</v>
      </c>
      <c r="BR378" s="78">
        <f t="shared" si="257"/>
        <v>0</v>
      </c>
      <c r="BS378" s="77"/>
      <c r="BT378" s="77"/>
    </row>
    <row r="379" spans="1:72" ht="14.1" customHeight="1" x14ac:dyDescent="0.2">
      <c r="A379" s="55" t="str">
        <f t="shared" si="228"/>
        <v>DS-4 (Large General Service)_Rider EUA-Supply</v>
      </c>
      <c r="B379" s="80" t="s">
        <v>639</v>
      </c>
      <c r="C379" s="83" t="s">
        <v>839</v>
      </c>
      <c r="D379" s="150"/>
      <c r="E379" s="81"/>
      <c r="F379" s="73" t="s">
        <v>649</v>
      </c>
      <c r="G379" s="73">
        <v>0</v>
      </c>
      <c r="H379" s="73">
        <v>6</v>
      </c>
      <c r="I379" s="74" t="s">
        <v>641</v>
      </c>
      <c r="J379" s="75" t="s">
        <v>634</v>
      </c>
      <c r="K379" s="74"/>
      <c r="L379" s="82">
        <v>0</v>
      </c>
      <c r="M379" s="138">
        <v>0</v>
      </c>
      <c r="N379" s="138">
        <v>0</v>
      </c>
      <c r="O379" s="138">
        <v>0</v>
      </c>
      <c r="P379" s="138">
        <v>0</v>
      </c>
      <c r="Q379" s="138">
        <v>0</v>
      </c>
      <c r="R379" s="138">
        <v>0</v>
      </c>
      <c r="S379" s="138">
        <v>0</v>
      </c>
      <c r="T379" s="138">
        <v>0</v>
      </c>
      <c r="U379" s="138">
        <v>0</v>
      </c>
      <c r="V379" s="138">
        <v>0</v>
      </c>
      <c r="W379" s="138">
        <v>0</v>
      </c>
      <c r="X379" s="138">
        <v>0</v>
      </c>
      <c r="Y379" s="138">
        <f t="shared" si="258"/>
        <v>0</v>
      </c>
      <c r="Z379" s="138">
        <f t="shared" si="259"/>
        <v>0</v>
      </c>
      <c r="AA379" s="138">
        <f t="shared" si="260"/>
        <v>0</v>
      </c>
      <c r="AB379" s="138">
        <f t="shared" si="261"/>
        <v>0</v>
      </c>
      <c r="AC379" s="138">
        <f t="shared" si="262"/>
        <v>0</v>
      </c>
      <c r="AD379" s="138">
        <f t="shared" si="263"/>
        <v>0</v>
      </c>
      <c r="AE379" s="138">
        <f t="shared" si="264"/>
        <v>0</v>
      </c>
      <c r="AF379" s="138">
        <f t="shared" si="265"/>
        <v>0</v>
      </c>
      <c r="AG379" s="138">
        <f t="shared" si="266"/>
        <v>0</v>
      </c>
      <c r="AH379" s="138">
        <f t="shared" si="267"/>
        <v>0</v>
      </c>
      <c r="AI379" s="138">
        <f t="shared" si="268"/>
        <v>0</v>
      </c>
      <c r="AJ379" s="138">
        <f t="shared" si="269"/>
        <v>0</v>
      </c>
      <c r="AK379" s="138">
        <f t="shared" si="270"/>
        <v>0</v>
      </c>
      <c r="AL379" s="138">
        <f t="shared" si="271"/>
        <v>0</v>
      </c>
      <c r="AM379" s="138">
        <f t="shared" si="272"/>
        <v>0</v>
      </c>
      <c r="AO379" s="77" t="str">
        <f t="shared" si="229"/>
        <v>DS-4 (Large General Service)</v>
      </c>
      <c r="AP379" s="78" t="s">
        <v>642</v>
      </c>
      <c r="AQ379" s="77" t="str">
        <f t="shared" si="230"/>
        <v>Rider EUA-Supply</v>
      </c>
      <c r="AR379" s="78" t="str">
        <f t="shared" si="231"/>
        <v>Billing Cycle</v>
      </c>
      <c r="AS379" s="79">
        <f t="shared" si="232"/>
        <v>6</v>
      </c>
      <c r="AT379" s="78">
        <f t="shared" si="233"/>
        <v>0</v>
      </c>
      <c r="AU379" s="78">
        <f t="shared" si="234"/>
        <v>0</v>
      </c>
      <c r="AV379" s="78">
        <f t="shared" si="235"/>
        <v>0</v>
      </c>
      <c r="AW379" s="78">
        <f t="shared" si="236"/>
        <v>0</v>
      </c>
      <c r="AX379" s="78">
        <f t="shared" si="237"/>
        <v>0</v>
      </c>
      <c r="AY379" s="78">
        <f t="shared" si="238"/>
        <v>0</v>
      </c>
      <c r="AZ379" s="78">
        <f t="shared" si="239"/>
        <v>0</v>
      </c>
      <c r="BA379" s="78">
        <f t="shared" si="240"/>
        <v>0</v>
      </c>
      <c r="BB379" s="78">
        <f t="shared" si="241"/>
        <v>0</v>
      </c>
      <c r="BC379" s="78">
        <f t="shared" si="242"/>
        <v>0</v>
      </c>
      <c r="BD379" s="78">
        <f t="shared" si="243"/>
        <v>0</v>
      </c>
      <c r="BE379" s="78">
        <f t="shared" si="244"/>
        <v>0</v>
      </c>
      <c r="BF379" s="78">
        <f t="shared" si="245"/>
        <v>0</v>
      </c>
      <c r="BG379" s="78">
        <f t="shared" si="246"/>
        <v>0</v>
      </c>
      <c r="BH379" s="78">
        <f t="shared" si="247"/>
        <v>0</v>
      </c>
      <c r="BI379" s="78">
        <f t="shared" si="248"/>
        <v>0</v>
      </c>
      <c r="BJ379" s="78">
        <f t="shared" si="249"/>
        <v>0</v>
      </c>
      <c r="BK379" s="78">
        <f t="shared" si="250"/>
        <v>0</v>
      </c>
      <c r="BL379" s="78">
        <f t="shared" si="251"/>
        <v>0</v>
      </c>
      <c r="BM379" s="78">
        <f t="shared" si="252"/>
        <v>0</v>
      </c>
      <c r="BN379" s="78">
        <f t="shared" si="253"/>
        <v>0</v>
      </c>
      <c r="BO379" s="78">
        <f t="shared" si="254"/>
        <v>0</v>
      </c>
      <c r="BP379" s="78">
        <f t="shared" si="255"/>
        <v>0</v>
      </c>
      <c r="BQ379" s="78">
        <f t="shared" si="256"/>
        <v>0</v>
      </c>
      <c r="BR379" s="78">
        <f t="shared" si="257"/>
        <v>0</v>
      </c>
      <c r="BS379" s="77"/>
      <c r="BT379" s="77"/>
    </row>
    <row r="380" spans="1:72" ht="14.1" customHeight="1" x14ac:dyDescent="0.2">
      <c r="A380" s="55" t="str">
        <f t="shared" si="228"/>
        <v>DS-5 (Lighting Service)_Rider EUA-Supply</v>
      </c>
      <c r="B380" s="80" t="s">
        <v>647</v>
      </c>
      <c r="C380" s="71" t="s">
        <v>839</v>
      </c>
      <c r="D380" s="150"/>
      <c r="E380" s="81"/>
      <c r="F380" s="73" t="s">
        <v>649</v>
      </c>
      <c r="G380" s="73">
        <v>0</v>
      </c>
      <c r="H380" s="73">
        <v>6</v>
      </c>
      <c r="I380" s="74" t="s">
        <v>641</v>
      </c>
      <c r="J380" s="75" t="s">
        <v>634</v>
      </c>
      <c r="K380" s="74"/>
      <c r="L380" s="82">
        <v>0</v>
      </c>
      <c r="M380" s="138">
        <v>0</v>
      </c>
      <c r="N380" s="138">
        <v>0</v>
      </c>
      <c r="O380" s="138">
        <v>0</v>
      </c>
      <c r="P380" s="138">
        <v>0</v>
      </c>
      <c r="Q380" s="138">
        <v>0</v>
      </c>
      <c r="R380" s="138">
        <v>0</v>
      </c>
      <c r="S380" s="138">
        <v>0</v>
      </c>
      <c r="T380" s="138">
        <v>0</v>
      </c>
      <c r="U380" s="138">
        <v>0</v>
      </c>
      <c r="V380" s="138">
        <v>0</v>
      </c>
      <c r="W380" s="138">
        <v>0</v>
      </c>
      <c r="X380" s="138">
        <v>0</v>
      </c>
      <c r="Y380" s="138">
        <f t="shared" si="258"/>
        <v>0</v>
      </c>
      <c r="Z380" s="138">
        <f t="shared" si="259"/>
        <v>0</v>
      </c>
      <c r="AA380" s="138">
        <f t="shared" si="260"/>
        <v>0</v>
      </c>
      <c r="AB380" s="138">
        <f t="shared" si="261"/>
        <v>0</v>
      </c>
      <c r="AC380" s="138">
        <f t="shared" si="262"/>
        <v>0</v>
      </c>
      <c r="AD380" s="138">
        <f t="shared" si="263"/>
        <v>0</v>
      </c>
      <c r="AE380" s="138">
        <f t="shared" si="264"/>
        <v>0</v>
      </c>
      <c r="AF380" s="138">
        <f t="shared" si="265"/>
        <v>0</v>
      </c>
      <c r="AG380" s="138">
        <f t="shared" si="266"/>
        <v>0</v>
      </c>
      <c r="AH380" s="138">
        <f t="shared" si="267"/>
        <v>0</v>
      </c>
      <c r="AI380" s="138">
        <f t="shared" si="268"/>
        <v>0</v>
      </c>
      <c r="AJ380" s="138">
        <f t="shared" si="269"/>
        <v>0</v>
      </c>
      <c r="AK380" s="138">
        <f t="shared" si="270"/>
        <v>0</v>
      </c>
      <c r="AL380" s="138">
        <f t="shared" si="271"/>
        <v>0</v>
      </c>
      <c r="AM380" s="138">
        <f t="shared" si="272"/>
        <v>0</v>
      </c>
      <c r="AO380" s="77" t="str">
        <f t="shared" si="229"/>
        <v>DS-5 (Lighting Service)</v>
      </c>
      <c r="AP380" s="78" t="s">
        <v>650</v>
      </c>
      <c r="AQ380" s="77" t="str">
        <f t="shared" si="230"/>
        <v>Rider EUA-Supply</v>
      </c>
      <c r="AR380" s="78" t="str">
        <f t="shared" si="231"/>
        <v>Billing Cycle</v>
      </c>
      <c r="AS380" s="79">
        <f t="shared" si="232"/>
        <v>6</v>
      </c>
      <c r="AT380" s="78">
        <f t="shared" si="233"/>
        <v>0</v>
      </c>
      <c r="AU380" s="78">
        <f t="shared" si="234"/>
        <v>0</v>
      </c>
      <c r="AV380" s="78">
        <f t="shared" si="235"/>
        <v>0</v>
      </c>
      <c r="AW380" s="78">
        <f t="shared" si="236"/>
        <v>0</v>
      </c>
      <c r="AX380" s="78">
        <f t="shared" si="237"/>
        <v>0</v>
      </c>
      <c r="AY380" s="78">
        <f t="shared" si="238"/>
        <v>0</v>
      </c>
      <c r="AZ380" s="78">
        <f t="shared" si="239"/>
        <v>0</v>
      </c>
      <c r="BA380" s="78">
        <f t="shared" si="240"/>
        <v>0</v>
      </c>
      <c r="BB380" s="78">
        <f t="shared" si="241"/>
        <v>0</v>
      </c>
      <c r="BC380" s="78">
        <f t="shared" si="242"/>
        <v>0</v>
      </c>
      <c r="BD380" s="78">
        <f t="shared" si="243"/>
        <v>0</v>
      </c>
      <c r="BE380" s="78">
        <f t="shared" si="244"/>
        <v>0</v>
      </c>
      <c r="BF380" s="78">
        <f t="shared" si="245"/>
        <v>0</v>
      </c>
      <c r="BG380" s="78">
        <f t="shared" si="246"/>
        <v>0</v>
      </c>
      <c r="BH380" s="78">
        <f t="shared" si="247"/>
        <v>0</v>
      </c>
      <c r="BI380" s="78">
        <f t="shared" si="248"/>
        <v>0</v>
      </c>
      <c r="BJ380" s="78">
        <f t="shared" si="249"/>
        <v>0</v>
      </c>
      <c r="BK380" s="78">
        <f t="shared" si="250"/>
        <v>0</v>
      </c>
      <c r="BL380" s="78">
        <f t="shared" si="251"/>
        <v>0</v>
      </c>
      <c r="BM380" s="78">
        <f t="shared" si="252"/>
        <v>0</v>
      </c>
      <c r="BN380" s="78">
        <f t="shared" si="253"/>
        <v>0</v>
      </c>
      <c r="BO380" s="78">
        <f t="shared" si="254"/>
        <v>0</v>
      </c>
      <c r="BP380" s="78">
        <f t="shared" si="255"/>
        <v>0</v>
      </c>
      <c r="BQ380" s="78">
        <f t="shared" si="256"/>
        <v>0</v>
      </c>
      <c r="BR380" s="78">
        <f t="shared" si="257"/>
        <v>0</v>
      </c>
      <c r="BS380" s="77"/>
      <c r="BT380" s="77"/>
    </row>
    <row r="381" spans="1:72" ht="14.1" customHeight="1" x14ac:dyDescent="0.2">
      <c r="A381" s="55" t="str">
        <f t="shared" si="228"/>
        <v>DS-6 (DS-3) Temp. Sensitive DS_Rider EUA-Supply</v>
      </c>
      <c r="B381" s="80" t="s">
        <v>643</v>
      </c>
      <c r="C381" s="71" t="s">
        <v>839</v>
      </c>
      <c r="D381" s="150"/>
      <c r="E381" s="81"/>
      <c r="F381" s="73" t="s">
        <v>649</v>
      </c>
      <c r="G381" s="73">
        <v>0</v>
      </c>
      <c r="H381" s="73">
        <v>6</v>
      </c>
      <c r="I381" s="74" t="s">
        <v>641</v>
      </c>
      <c r="J381" s="75" t="s">
        <v>634</v>
      </c>
      <c r="K381" s="74"/>
      <c r="L381" s="82">
        <v>0</v>
      </c>
      <c r="M381" s="138">
        <v>0</v>
      </c>
      <c r="N381" s="138">
        <v>0</v>
      </c>
      <c r="O381" s="138">
        <v>0</v>
      </c>
      <c r="P381" s="138">
        <v>0</v>
      </c>
      <c r="Q381" s="138">
        <v>0</v>
      </c>
      <c r="R381" s="138">
        <v>0</v>
      </c>
      <c r="S381" s="138">
        <v>0</v>
      </c>
      <c r="T381" s="138">
        <v>0</v>
      </c>
      <c r="U381" s="138">
        <v>0</v>
      </c>
      <c r="V381" s="138">
        <v>0</v>
      </c>
      <c r="W381" s="138">
        <v>0</v>
      </c>
      <c r="X381" s="138">
        <v>0</v>
      </c>
      <c r="Y381" s="138">
        <f t="shared" si="258"/>
        <v>0</v>
      </c>
      <c r="Z381" s="138">
        <f t="shared" si="259"/>
        <v>0</v>
      </c>
      <c r="AA381" s="138">
        <f t="shared" si="260"/>
        <v>0</v>
      </c>
      <c r="AB381" s="138">
        <f t="shared" si="261"/>
        <v>0</v>
      </c>
      <c r="AC381" s="138">
        <f t="shared" si="262"/>
        <v>0</v>
      </c>
      <c r="AD381" s="138">
        <f t="shared" si="263"/>
        <v>0</v>
      </c>
      <c r="AE381" s="138">
        <f t="shared" si="264"/>
        <v>0</v>
      </c>
      <c r="AF381" s="138">
        <f t="shared" si="265"/>
        <v>0</v>
      </c>
      <c r="AG381" s="138">
        <f t="shared" si="266"/>
        <v>0</v>
      </c>
      <c r="AH381" s="138">
        <f t="shared" si="267"/>
        <v>0</v>
      </c>
      <c r="AI381" s="138">
        <f t="shared" si="268"/>
        <v>0</v>
      </c>
      <c r="AJ381" s="138">
        <f t="shared" si="269"/>
        <v>0</v>
      </c>
      <c r="AK381" s="138">
        <f t="shared" si="270"/>
        <v>0</v>
      </c>
      <c r="AL381" s="138">
        <f t="shared" si="271"/>
        <v>0</v>
      </c>
      <c r="AM381" s="138">
        <f t="shared" si="272"/>
        <v>0</v>
      </c>
      <c r="AO381" s="77" t="str">
        <f t="shared" si="229"/>
        <v>DS-6 (DS-3) Temp. Sensitive DS</v>
      </c>
      <c r="AP381" s="78" t="s">
        <v>644</v>
      </c>
      <c r="AQ381" s="77" t="str">
        <f t="shared" si="230"/>
        <v>Rider EUA-Supply</v>
      </c>
      <c r="AR381" s="78" t="str">
        <f t="shared" si="231"/>
        <v>Billing Cycle</v>
      </c>
      <c r="AS381" s="79">
        <f t="shared" si="232"/>
        <v>6</v>
      </c>
      <c r="AT381" s="78">
        <f t="shared" si="233"/>
        <v>0</v>
      </c>
      <c r="AU381" s="78">
        <f t="shared" si="234"/>
        <v>0</v>
      </c>
      <c r="AV381" s="78">
        <f t="shared" si="235"/>
        <v>0</v>
      </c>
      <c r="AW381" s="78">
        <f t="shared" si="236"/>
        <v>0</v>
      </c>
      <c r="AX381" s="78">
        <f t="shared" si="237"/>
        <v>0</v>
      </c>
      <c r="AY381" s="78">
        <f t="shared" si="238"/>
        <v>0</v>
      </c>
      <c r="AZ381" s="78">
        <f t="shared" si="239"/>
        <v>0</v>
      </c>
      <c r="BA381" s="78">
        <f t="shared" si="240"/>
        <v>0</v>
      </c>
      <c r="BB381" s="78">
        <f t="shared" si="241"/>
        <v>0</v>
      </c>
      <c r="BC381" s="78">
        <f t="shared" si="242"/>
        <v>0</v>
      </c>
      <c r="BD381" s="78">
        <f t="shared" si="243"/>
        <v>0</v>
      </c>
      <c r="BE381" s="78">
        <f t="shared" si="244"/>
        <v>0</v>
      </c>
      <c r="BF381" s="78">
        <f t="shared" si="245"/>
        <v>0</v>
      </c>
      <c r="BG381" s="78">
        <f t="shared" si="246"/>
        <v>0</v>
      </c>
      <c r="BH381" s="78">
        <f t="shared" si="247"/>
        <v>0</v>
      </c>
      <c r="BI381" s="78">
        <f t="shared" si="248"/>
        <v>0</v>
      </c>
      <c r="BJ381" s="78">
        <f t="shared" si="249"/>
        <v>0</v>
      </c>
      <c r="BK381" s="78">
        <f t="shared" si="250"/>
        <v>0</v>
      </c>
      <c r="BL381" s="78">
        <f t="shared" si="251"/>
        <v>0</v>
      </c>
      <c r="BM381" s="78">
        <f t="shared" si="252"/>
        <v>0</v>
      </c>
      <c r="BN381" s="78">
        <f t="shared" si="253"/>
        <v>0</v>
      </c>
      <c r="BO381" s="78">
        <f t="shared" si="254"/>
        <v>0</v>
      </c>
      <c r="BP381" s="78">
        <f t="shared" si="255"/>
        <v>0</v>
      </c>
      <c r="BQ381" s="78">
        <f t="shared" si="256"/>
        <v>0</v>
      </c>
      <c r="BR381" s="78">
        <f t="shared" si="257"/>
        <v>0</v>
      </c>
      <c r="BS381" s="77"/>
      <c r="BT381" s="77"/>
    </row>
    <row r="382" spans="1:72" ht="14.1" customHeight="1" x14ac:dyDescent="0.2">
      <c r="A382" s="55" t="str">
        <f t="shared" si="228"/>
        <v>DS-6 (DS-4) Temp. Sensitive DS_Rider EUA-Supply</v>
      </c>
      <c r="B382" s="80" t="s">
        <v>645</v>
      </c>
      <c r="C382" s="83" t="s">
        <v>839</v>
      </c>
      <c r="D382" s="150"/>
      <c r="E382" s="81"/>
      <c r="F382" s="73" t="s">
        <v>649</v>
      </c>
      <c r="G382" s="73">
        <v>0</v>
      </c>
      <c r="H382" s="73">
        <v>6</v>
      </c>
      <c r="I382" s="74" t="s">
        <v>641</v>
      </c>
      <c r="J382" s="75" t="s">
        <v>634</v>
      </c>
      <c r="K382" s="74"/>
      <c r="L382" s="82">
        <v>0</v>
      </c>
      <c r="M382" s="138">
        <v>0</v>
      </c>
      <c r="N382" s="138">
        <v>0</v>
      </c>
      <c r="O382" s="138">
        <v>0</v>
      </c>
      <c r="P382" s="138">
        <v>0</v>
      </c>
      <c r="Q382" s="138">
        <v>0</v>
      </c>
      <c r="R382" s="138">
        <v>0</v>
      </c>
      <c r="S382" s="138">
        <v>0</v>
      </c>
      <c r="T382" s="138">
        <v>0</v>
      </c>
      <c r="U382" s="138">
        <v>0</v>
      </c>
      <c r="V382" s="138">
        <v>0</v>
      </c>
      <c r="W382" s="138">
        <v>0</v>
      </c>
      <c r="X382" s="138">
        <v>0</v>
      </c>
      <c r="Y382" s="138">
        <f t="shared" si="258"/>
        <v>0</v>
      </c>
      <c r="Z382" s="138">
        <f t="shared" si="259"/>
        <v>0</v>
      </c>
      <c r="AA382" s="138">
        <f t="shared" si="260"/>
        <v>0</v>
      </c>
      <c r="AB382" s="138">
        <f t="shared" si="261"/>
        <v>0</v>
      </c>
      <c r="AC382" s="138">
        <f t="shared" si="262"/>
        <v>0</v>
      </c>
      <c r="AD382" s="138">
        <f t="shared" si="263"/>
        <v>0</v>
      </c>
      <c r="AE382" s="138">
        <f t="shared" si="264"/>
        <v>0</v>
      </c>
      <c r="AF382" s="138">
        <f t="shared" si="265"/>
        <v>0</v>
      </c>
      <c r="AG382" s="138">
        <f t="shared" si="266"/>
        <v>0</v>
      </c>
      <c r="AH382" s="138">
        <f t="shared" si="267"/>
        <v>0</v>
      </c>
      <c r="AI382" s="138">
        <f t="shared" si="268"/>
        <v>0</v>
      </c>
      <c r="AJ382" s="138">
        <f t="shared" si="269"/>
        <v>0</v>
      </c>
      <c r="AK382" s="138">
        <f t="shared" si="270"/>
        <v>0</v>
      </c>
      <c r="AL382" s="138">
        <f t="shared" si="271"/>
        <v>0</v>
      </c>
      <c r="AM382" s="138">
        <f t="shared" si="272"/>
        <v>0</v>
      </c>
      <c r="AO382" s="77" t="str">
        <f t="shared" si="229"/>
        <v>DS-6 (DS-4) Temp. Sensitive DS</v>
      </c>
      <c r="AP382" s="78" t="s">
        <v>646</v>
      </c>
      <c r="AQ382" s="77" t="str">
        <f t="shared" si="230"/>
        <v>Rider EUA-Supply</v>
      </c>
      <c r="AR382" s="78" t="str">
        <f t="shared" si="231"/>
        <v>Billing Cycle</v>
      </c>
      <c r="AS382" s="79">
        <f t="shared" si="232"/>
        <v>6</v>
      </c>
      <c r="AT382" s="78">
        <f t="shared" si="233"/>
        <v>0</v>
      </c>
      <c r="AU382" s="78">
        <f t="shared" si="234"/>
        <v>0</v>
      </c>
      <c r="AV382" s="78">
        <f t="shared" si="235"/>
        <v>0</v>
      </c>
      <c r="AW382" s="78">
        <f t="shared" si="236"/>
        <v>0</v>
      </c>
      <c r="AX382" s="78">
        <f t="shared" si="237"/>
        <v>0</v>
      </c>
      <c r="AY382" s="78">
        <f t="shared" si="238"/>
        <v>0</v>
      </c>
      <c r="AZ382" s="78">
        <f t="shared" si="239"/>
        <v>0</v>
      </c>
      <c r="BA382" s="78">
        <f t="shared" si="240"/>
        <v>0</v>
      </c>
      <c r="BB382" s="78">
        <f t="shared" si="241"/>
        <v>0</v>
      </c>
      <c r="BC382" s="78">
        <f t="shared" si="242"/>
        <v>0</v>
      </c>
      <c r="BD382" s="78">
        <f t="shared" si="243"/>
        <v>0</v>
      </c>
      <c r="BE382" s="78">
        <f t="shared" si="244"/>
        <v>0</v>
      </c>
      <c r="BF382" s="78">
        <f t="shared" si="245"/>
        <v>0</v>
      </c>
      <c r="BG382" s="78">
        <f t="shared" si="246"/>
        <v>0</v>
      </c>
      <c r="BH382" s="78">
        <f t="shared" si="247"/>
        <v>0</v>
      </c>
      <c r="BI382" s="78">
        <f t="shared" si="248"/>
        <v>0</v>
      </c>
      <c r="BJ382" s="78">
        <f t="shared" si="249"/>
        <v>0</v>
      </c>
      <c r="BK382" s="78">
        <f t="shared" si="250"/>
        <v>0</v>
      </c>
      <c r="BL382" s="78">
        <f t="shared" si="251"/>
        <v>0</v>
      </c>
      <c r="BM382" s="78">
        <f t="shared" si="252"/>
        <v>0</v>
      </c>
      <c r="BN382" s="78">
        <f t="shared" si="253"/>
        <v>0</v>
      </c>
      <c r="BO382" s="78">
        <f t="shared" si="254"/>
        <v>0</v>
      </c>
      <c r="BP382" s="78">
        <f t="shared" si="255"/>
        <v>0</v>
      </c>
      <c r="BQ382" s="78">
        <f t="shared" si="256"/>
        <v>0</v>
      </c>
      <c r="BR382" s="78">
        <f t="shared" si="257"/>
        <v>0</v>
      </c>
      <c r="BS382" s="77"/>
      <c r="BT382" s="77"/>
    </row>
    <row r="383" spans="1:72" ht="14.1" customHeight="1" x14ac:dyDescent="0.2">
      <c r="A383" s="55" t="str">
        <f t="shared" si="228"/>
        <v>GDS-1 (Residential)_Rider GEA - Gas Environmental Adjust - Rate Zone I</v>
      </c>
      <c r="B383" s="80" t="s">
        <v>95</v>
      </c>
      <c r="C383" s="83" t="s">
        <v>840</v>
      </c>
      <c r="D383" s="150" t="s">
        <v>841</v>
      </c>
      <c r="E383" s="81"/>
      <c r="F383" s="73" t="s">
        <v>649</v>
      </c>
      <c r="G383" s="73">
        <v>0</v>
      </c>
      <c r="H383" s="73">
        <v>8</v>
      </c>
      <c r="I383" s="74" t="s">
        <v>773</v>
      </c>
      <c r="J383" s="75" t="s">
        <v>774</v>
      </c>
      <c r="K383" s="74"/>
      <c r="L383" s="82">
        <v>-6.1519000000000001E-3</v>
      </c>
      <c r="M383" s="138">
        <v>1.6312E-2</v>
      </c>
      <c r="N383" s="138">
        <v>1.6312E-2</v>
      </c>
      <c r="O383" s="138">
        <v>1.6629999999999999E-2</v>
      </c>
      <c r="P383" s="138">
        <v>-1.317E-4</v>
      </c>
      <c r="Q383" s="138">
        <v>7.1400000000000001E-5</v>
      </c>
      <c r="R383" s="138">
        <v>8.8999999999999995E-5</v>
      </c>
      <c r="S383" s="138">
        <v>1.9359999999999999E-4</v>
      </c>
      <c r="T383" s="138">
        <v>1.693E-4</v>
      </c>
      <c r="U383" s="138">
        <v>3.3000000000000003E-5</v>
      </c>
      <c r="V383" s="138">
        <v>3.8039999999999998E-4</v>
      </c>
      <c r="W383" s="138">
        <v>3.8039999999999998E-4</v>
      </c>
      <c r="X383" s="138">
        <v>3.8039999999999998E-4</v>
      </c>
      <c r="Y383" s="138">
        <f t="shared" si="258"/>
        <v>3.8039999999999998E-4</v>
      </c>
      <c r="Z383" s="138">
        <f t="shared" si="259"/>
        <v>3.8039999999999998E-4</v>
      </c>
      <c r="AA383" s="138">
        <f t="shared" si="260"/>
        <v>3.8039999999999998E-4</v>
      </c>
      <c r="AB383" s="138">
        <f t="shared" si="261"/>
        <v>3.8039999999999998E-4</v>
      </c>
      <c r="AC383" s="138">
        <f t="shared" si="262"/>
        <v>3.8039999999999998E-4</v>
      </c>
      <c r="AD383" s="138">
        <f t="shared" si="263"/>
        <v>3.8039999999999998E-4</v>
      </c>
      <c r="AE383" s="138">
        <f t="shared" si="264"/>
        <v>3.8039999999999998E-4</v>
      </c>
      <c r="AF383" s="138">
        <f t="shared" si="265"/>
        <v>3.8039999999999998E-4</v>
      </c>
      <c r="AG383" s="138">
        <f t="shared" si="266"/>
        <v>3.8039999999999998E-4</v>
      </c>
      <c r="AH383" s="138">
        <f t="shared" si="267"/>
        <v>3.8039999999999998E-4</v>
      </c>
      <c r="AI383" s="138">
        <f t="shared" si="268"/>
        <v>3.8039999999999998E-4</v>
      </c>
      <c r="AJ383" s="138">
        <f t="shared" si="269"/>
        <v>3.8039999999999998E-4</v>
      </c>
      <c r="AK383" s="138">
        <f t="shared" si="270"/>
        <v>3.8039999999999998E-4</v>
      </c>
      <c r="AL383" s="138">
        <f t="shared" si="271"/>
        <v>3.8039999999999998E-4</v>
      </c>
      <c r="AM383" s="138">
        <f t="shared" si="272"/>
        <v>1.6438750000000019E-3</v>
      </c>
      <c r="AO383" s="77" t="str">
        <f t="shared" si="229"/>
        <v>GDS-1 (Residential)</v>
      </c>
      <c r="AP383" s="78" t="s">
        <v>668</v>
      </c>
      <c r="AQ383" s="77" t="str">
        <f t="shared" si="230"/>
        <v>Rider GEA - Gas Environmental Adjust - Rate Zone I</v>
      </c>
      <c r="AR383" s="78" t="str">
        <f t="shared" si="231"/>
        <v>Billing Cycle</v>
      </c>
      <c r="AS383" s="79">
        <f t="shared" si="232"/>
        <v>8</v>
      </c>
      <c r="AT383" s="78">
        <f t="shared" si="233"/>
        <v>0</v>
      </c>
      <c r="AU383" s="78">
        <f t="shared" si="234"/>
        <v>1.6312E-2</v>
      </c>
      <c r="AV383" s="78">
        <f t="shared" si="235"/>
        <v>1.6312E-2</v>
      </c>
      <c r="AW383" s="78">
        <f t="shared" si="236"/>
        <v>1.6629999999999999E-2</v>
      </c>
      <c r="AX383" s="78">
        <f t="shared" si="237"/>
        <v>-1.317E-4</v>
      </c>
      <c r="AY383" s="78">
        <f t="shared" si="238"/>
        <v>7.1400000000000001E-5</v>
      </c>
      <c r="AZ383" s="78">
        <f t="shared" si="239"/>
        <v>8.8999999999999995E-5</v>
      </c>
      <c r="BA383" s="78">
        <f t="shared" si="240"/>
        <v>1.9359999999999999E-4</v>
      </c>
      <c r="BB383" s="78">
        <f t="shared" si="241"/>
        <v>1.693E-4</v>
      </c>
      <c r="BC383" s="78">
        <f t="shared" si="242"/>
        <v>3.3000000000000003E-5</v>
      </c>
      <c r="BD383" s="78">
        <f t="shared" si="243"/>
        <v>3.8039999999999998E-4</v>
      </c>
      <c r="BE383" s="78">
        <f t="shared" si="244"/>
        <v>3.8039999999999998E-4</v>
      </c>
      <c r="BF383" s="78">
        <f t="shared" si="245"/>
        <v>3.8039999999999998E-4</v>
      </c>
      <c r="BG383" s="78">
        <f t="shared" si="246"/>
        <v>3.8039999999999998E-4</v>
      </c>
      <c r="BH383" s="78">
        <f t="shared" si="247"/>
        <v>3.8039999999999998E-4</v>
      </c>
      <c r="BI383" s="78">
        <f t="shared" si="248"/>
        <v>3.8039999999999998E-4</v>
      </c>
      <c r="BJ383" s="78">
        <f t="shared" si="249"/>
        <v>3.8039999999999998E-4</v>
      </c>
      <c r="BK383" s="78">
        <f t="shared" si="250"/>
        <v>3.8039999999999998E-4</v>
      </c>
      <c r="BL383" s="78">
        <f t="shared" si="251"/>
        <v>3.8039999999999998E-4</v>
      </c>
      <c r="BM383" s="78">
        <f t="shared" si="252"/>
        <v>3.8039999999999998E-4</v>
      </c>
      <c r="BN383" s="78">
        <f t="shared" si="253"/>
        <v>3.8039999999999998E-4</v>
      </c>
      <c r="BO383" s="78">
        <f t="shared" si="254"/>
        <v>3.8039999999999998E-4</v>
      </c>
      <c r="BP383" s="78">
        <f t="shared" si="255"/>
        <v>3.8039999999999998E-4</v>
      </c>
      <c r="BQ383" s="78">
        <f t="shared" si="256"/>
        <v>3.8039999999999998E-4</v>
      </c>
      <c r="BR383" s="78">
        <f t="shared" si="257"/>
        <v>3.8039999999999998E-4</v>
      </c>
      <c r="BS383" s="77"/>
      <c r="BT383" s="77"/>
    </row>
    <row r="384" spans="1:72" ht="14.1" customHeight="1" x14ac:dyDescent="0.2">
      <c r="A384" s="55" t="str">
        <f t="shared" si="228"/>
        <v>GDS-2 (Small General Delivery)_Rider GEA - Gas Environmental Adjust - Rate Zone I</v>
      </c>
      <c r="B384" s="80" t="s">
        <v>669</v>
      </c>
      <c r="C384" s="83" t="s">
        <v>840</v>
      </c>
      <c r="D384" s="150"/>
      <c r="E384" s="81"/>
      <c r="F384" s="73" t="s">
        <v>649</v>
      </c>
      <c r="G384" s="73">
        <v>0</v>
      </c>
      <c r="H384" s="73">
        <v>8</v>
      </c>
      <c r="I384" s="74" t="s">
        <v>773</v>
      </c>
      <c r="J384" s="75" t="s">
        <v>774</v>
      </c>
      <c r="K384" s="74"/>
      <c r="L384" s="82">
        <v>-3.4743E-3</v>
      </c>
      <c r="M384" s="138">
        <v>9.7360999999999993E-3</v>
      </c>
      <c r="N384" s="138">
        <v>9.7360999999999993E-3</v>
      </c>
      <c r="O384" s="138">
        <v>9.9051E-3</v>
      </c>
      <c r="P384" s="138">
        <v>-1.8980000000000001E-4</v>
      </c>
      <c r="Q384" s="138">
        <v>8.229E-4</v>
      </c>
      <c r="R384" s="138">
        <v>1.165E-3</v>
      </c>
      <c r="S384" s="138">
        <v>1.3760999999999999E-3</v>
      </c>
      <c r="T384" s="138">
        <v>1.5444E-3</v>
      </c>
      <c r="U384" s="138">
        <v>1.5792E-3</v>
      </c>
      <c r="V384" s="138">
        <v>1.2959E-3</v>
      </c>
      <c r="W384" s="138">
        <v>1.2959E-3</v>
      </c>
      <c r="X384" s="138">
        <v>1.2959E-3</v>
      </c>
      <c r="Y384" s="138">
        <f t="shared" si="258"/>
        <v>1.2959E-3</v>
      </c>
      <c r="Z384" s="138">
        <f t="shared" si="259"/>
        <v>1.2959E-3</v>
      </c>
      <c r="AA384" s="138">
        <f t="shared" si="260"/>
        <v>1.2959E-3</v>
      </c>
      <c r="AB384" s="138">
        <f t="shared" si="261"/>
        <v>1.2959E-3</v>
      </c>
      <c r="AC384" s="138">
        <f t="shared" si="262"/>
        <v>1.2959E-3</v>
      </c>
      <c r="AD384" s="138">
        <f t="shared" si="263"/>
        <v>1.2959E-3</v>
      </c>
      <c r="AE384" s="138">
        <f t="shared" si="264"/>
        <v>1.2959E-3</v>
      </c>
      <c r="AF384" s="138">
        <f t="shared" si="265"/>
        <v>1.2959E-3</v>
      </c>
      <c r="AG384" s="138">
        <f t="shared" si="266"/>
        <v>1.2959E-3</v>
      </c>
      <c r="AH384" s="138">
        <f t="shared" si="267"/>
        <v>1.2959E-3</v>
      </c>
      <c r="AI384" s="138">
        <f t="shared" si="268"/>
        <v>1.2959E-3</v>
      </c>
      <c r="AJ384" s="138">
        <f t="shared" si="269"/>
        <v>1.2959E-3</v>
      </c>
      <c r="AK384" s="138">
        <f t="shared" si="270"/>
        <v>1.2959E-3</v>
      </c>
      <c r="AL384" s="138">
        <f t="shared" si="271"/>
        <v>1.2958999999999998E-3</v>
      </c>
      <c r="AM384" s="138">
        <f t="shared" si="272"/>
        <v>1.9447250000000011E-3</v>
      </c>
      <c r="AO384" s="77" t="str">
        <f t="shared" si="229"/>
        <v>GDS-2 (Small General Delivery)</v>
      </c>
      <c r="AP384" s="78" t="s">
        <v>670</v>
      </c>
      <c r="AQ384" s="77" t="str">
        <f t="shared" si="230"/>
        <v>Rider GEA - Gas Environmental Adjust - Rate Zone I</v>
      </c>
      <c r="AR384" s="78" t="str">
        <f t="shared" si="231"/>
        <v>Billing Cycle</v>
      </c>
      <c r="AS384" s="79">
        <f t="shared" si="232"/>
        <v>8</v>
      </c>
      <c r="AT384" s="78">
        <f t="shared" si="233"/>
        <v>0</v>
      </c>
      <c r="AU384" s="78">
        <f t="shared" si="234"/>
        <v>9.7360999999999993E-3</v>
      </c>
      <c r="AV384" s="78">
        <f t="shared" si="235"/>
        <v>9.7360999999999993E-3</v>
      </c>
      <c r="AW384" s="78">
        <f t="shared" si="236"/>
        <v>9.9051E-3</v>
      </c>
      <c r="AX384" s="78">
        <f t="shared" si="237"/>
        <v>-1.8980000000000001E-4</v>
      </c>
      <c r="AY384" s="78">
        <f t="shared" si="238"/>
        <v>8.229E-4</v>
      </c>
      <c r="AZ384" s="78">
        <f t="shared" si="239"/>
        <v>1.165E-3</v>
      </c>
      <c r="BA384" s="78">
        <f t="shared" si="240"/>
        <v>1.3760999999999999E-3</v>
      </c>
      <c r="BB384" s="78">
        <f t="shared" si="241"/>
        <v>1.5444E-3</v>
      </c>
      <c r="BC384" s="78">
        <f t="shared" si="242"/>
        <v>1.5792E-3</v>
      </c>
      <c r="BD384" s="78">
        <f t="shared" si="243"/>
        <v>1.2959E-3</v>
      </c>
      <c r="BE384" s="78">
        <f t="shared" si="244"/>
        <v>1.2959E-3</v>
      </c>
      <c r="BF384" s="78">
        <f t="shared" si="245"/>
        <v>1.2959E-3</v>
      </c>
      <c r="BG384" s="78">
        <f t="shared" si="246"/>
        <v>1.2959E-3</v>
      </c>
      <c r="BH384" s="78">
        <f t="shared" si="247"/>
        <v>1.2959E-3</v>
      </c>
      <c r="BI384" s="78">
        <f t="shared" si="248"/>
        <v>1.2959E-3</v>
      </c>
      <c r="BJ384" s="78">
        <f t="shared" si="249"/>
        <v>1.2959E-3</v>
      </c>
      <c r="BK384" s="78">
        <f t="shared" si="250"/>
        <v>1.2959E-3</v>
      </c>
      <c r="BL384" s="78">
        <f t="shared" si="251"/>
        <v>1.2959E-3</v>
      </c>
      <c r="BM384" s="78">
        <f t="shared" si="252"/>
        <v>1.2959E-3</v>
      </c>
      <c r="BN384" s="78">
        <f t="shared" si="253"/>
        <v>1.2959E-3</v>
      </c>
      <c r="BO384" s="78">
        <f t="shared" si="254"/>
        <v>1.2959E-3</v>
      </c>
      <c r="BP384" s="78">
        <f t="shared" si="255"/>
        <v>1.2959E-3</v>
      </c>
      <c r="BQ384" s="78">
        <f t="shared" si="256"/>
        <v>1.2959E-3</v>
      </c>
      <c r="BR384" s="78">
        <f t="shared" si="257"/>
        <v>1.2959E-3</v>
      </c>
      <c r="BS384" s="77"/>
      <c r="BT384" s="77"/>
    </row>
    <row r="385" spans="1:72" ht="14.1" customHeight="1" x14ac:dyDescent="0.2">
      <c r="A385" s="55" t="str">
        <f t="shared" si="228"/>
        <v>GDS-3 (Intermediate General Delivery)_Rider GEA - Gas Environmental Adjust - Rate Zone I</v>
      </c>
      <c r="B385" s="80" t="s">
        <v>671</v>
      </c>
      <c r="C385" s="83" t="s">
        <v>840</v>
      </c>
      <c r="D385" s="150"/>
      <c r="E385" s="81"/>
      <c r="F385" s="73" t="s">
        <v>649</v>
      </c>
      <c r="G385" s="73">
        <v>0</v>
      </c>
      <c r="H385" s="73">
        <v>8</v>
      </c>
      <c r="I385" s="74" t="s">
        <v>773</v>
      </c>
      <c r="J385" s="75" t="s">
        <v>774</v>
      </c>
      <c r="K385" s="74"/>
      <c r="L385" s="82">
        <v>-3.4743E-3</v>
      </c>
      <c r="M385" s="138">
        <v>9.7360999999999993E-3</v>
      </c>
      <c r="N385" s="138">
        <v>9.7360999999999993E-3</v>
      </c>
      <c r="O385" s="138">
        <v>9.9051E-3</v>
      </c>
      <c r="P385" s="138">
        <v>-1.8980000000000001E-4</v>
      </c>
      <c r="Q385" s="138">
        <v>8.229E-4</v>
      </c>
      <c r="R385" s="138">
        <v>1.165E-3</v>
      </c>
      <c r="S385" s="138">
        <v>1.3760999999999999E-3</v>
      </c>
      <c r="T385" s="138">
        <v>1.5444E-3</v>
      </c>
      <c r="U385" s="138">
        <v>1.5792E-3</v>
      </c>
      <c r="V385" s="138">
        <v>1.2959E-3</v>
      </c>
      <c r="W385" s="138">
        <v>1.2959E-3</v>
      </c>
      <c r="X385" s="138">
        <v>1.2959E-3</v>
      </c>
      <c r="Y385" s="138">
        <f t="shared" si="258"/>
        <v>1.2959E-3</v>
      </c>
      <c r="Z385" s="138">
        <f t="shared" si="259"/>
        <v>1.2959E-3</v>
      </c>
      <c r="AA385" s="138">
        <f t="shared" si="260"/>
        <v>1.2959E-3</v>
      </c>
      <c r="AB385" s="138">
        <f t="shared" si="261"/>
        <v>1.2959E-3</v>
      </c>
      <c r="AC385" s="138">
        <f t="shared" si="262"/>
        <v>1.2959E-3</v>
      </c>
      <c r="AD385" s="138">
        <f t="shared" si="263"/>
        <v>1.2959E-3</v>
      </c>
      <c r="AE385" s="138">
        <f t="shared" si="264"/>
        <v>1.2959E-3</v>
      </c>
      <c r="AF385" s="138">
        <f t="shared" si="265"/>
        <v>1.2959E-3</v>
      </c>
      <c r="AG385" s="138">
        <f t="shared" si="266"/>
        <v>1.2959E-3</v>
      </c>
      <c r="AH385" s="138">
        <f t="shared" si="267"/>
        <v>1.2959E-3</v>
      </c>
      <c r="AI385" s="138">
        <f t="shared" si="268"/>
        <v>1.2959E-3</v>
      </c>
      <c r="AJ385" s="138">
        <f t="shared" si="269"/>
        <v>1.2959E-3</v>
      </c>
      <c r="AK385" s="138">
        <f t="shared" si="270"/>
        <v>1.2959E-3</v>
      </c>
      <c r="AL385" s="138">
        <f t="shared" si="271"/>
        <v>1.2958999999999998E-3</v>
      </c>
      <c r="AM385" s="138">
        <f t="shared" si="272"/>
        <v>1.9447250000000011E-3</v>
      </c>
      <c r="AO385" s="77" t="str">
        <f t="shared" si="229"/>
        <v>GDS-3 (Intermediate General Delivery)</v>
      </c>
      <c r="AP385" s="78" t="s">
        <v>672</v>
      </c>
      <c r="AQ385" s="77" t="str">
        <f t="shared" si="230"/>
        <v>Rider GEA - Gas Environmental Adjust - Rate Zone I</v>
      </c>
      <c r="AR385" s="78" t="str">
        <f t="shared" si="231"/>
        <v>Billing Cycle</v>
      </c>
      <c r="AS385" s="79">
        <f t="shared" si="232"/>
        <v>8</v>
      </c>
      <c r="AT385" s="78">
        <f t="shared" si="233"/>
        <v>0</v>
      </c>
      <c r="AU385" s="78">
        <f t="shared" si="234"/>
        <v>9.7360999999999993E-3</v>
      </c>
      <c r="AV385" s="78">
        <f t="shared" si="235"/>
        <v>9.7360999999999993E-3</v>
      </c>
      <c r="AW385" s="78">
        <f t="shared" si="236"/>
        <v>9.9051E-3</v>
      </c>
      <c r="AX385" s="78">
        <f t="shared" si="237"/>
        <v>-1.8980000000000001E-4</v>
      </c>
      <c r="AY385" s="78">
        <f t="shared" si="238"/>
        <v>8.229E-4</v>
      </c>
      <c r="AZ385" s="78">
        <f t="shared" si="239"/>
        <v>1.165E-3</v>
      </c>
      <c r="BA385" s="78">
        <f t="shared" si="240"/>
        <v>1.3760999999999999E-3</v>
      </c>
      <c r="BB385" s="78">
        <f t="shared" si="241"/>
        <v>1.5444E-3</v>
      </c>
      <c r="BC385" s="78">
        <f t="shared" si="242"/>
        <v>1.5792E-3</v>
      </c>
      <c r="BD385" s="78">
        <f t="shared" si="243"/>
        <v>1.2959E-3</v>
      </c>
      <c r="BE385" s="78">
        <f t="shared" si="244"/>
        <v>1.2959E-3</v>
      </c>
      <c r="BF385" s="78">
        <f t="shared" si="245"/>
        <v>1.2959E-3</v>
      </c>
      <c r="BG385" s="78">
        <f t="shared" si="246"/>
        <v>1.2959E-3</v>
      </c>
      <c r="BH385" s="78">
        <f t="shared" si="247"/>
        <v>1.2959E-3</v>
      </c>
      <c r="BI385" s="78">
        <f t="shared" si="248"/>
        <v>1.2959E-3</v>
      </c>
      <c r="BJ385" s="78">
        <f t="shared" si="249"/>
        <v>1.2959E-3</v>
      </c>
      <c r="BK385" s="78">
        <f t="shared" si="250"/>
        <v>1.2959E-3</v>
      </c>
      <c r="BL385" s="78">
        <f t="shared" si="251"/>
        <v>1.2959E-3</v>
      </c>
      <c r="BM385" s="78">
        <f t="shared" si="252"/>
        <v>1.2959E-3</v>
      </c>
      <c r="BN385" s="78">
        <f t="shared" si="253"/>
        <v>1.2959E-3</v>
      </c>
      <c r="BO385" s="78">
        <f t="shared" si="254"/>
        <v>1.2959E-3</v>
      </c>
      <c r="BP385" s="78">
        <f t="shared" si="255"/>
        <v>1.2959E-3</v>
      </c>
      <c r="BQ385" s="78">
        <f t="shared" si="256"/>
        <v>1.2959E-3</v>
      </c>
      <c r="BR385" s="78">
        <f t="shared" si="257"/>
        <v>1.2959E-3</v>
      </c>
      <c r="BS385" s="77"/>
      <c r="BT385" s="77"/>
    </row>
    <row r="386" spans="1:72" ht="14.1" customHeight="1" x14ac:dyDescent="0.2">
      <c r="A386" s="55" t="str">
        <f t="shared" si="228"/>
        <v>GDS-4 (Large General Delivery)_Rider GEA - Gas Environmental Adjust - Rate Zone I</v>
      </c>
      <c r="B386" s="80" t="s">
        <v>673</v>
      </c>
      <c r="C386" s="83" t="s">
        <v>840</v>
      </c>
      <c r="D386" s="150"/>
      <c r="E386" s="81"/>
      <c r="F386" s="73" t="s">
        <v>649</v>
      </c>
      <c r="G386" s="73">
        <v>0</v>
      </c>
      <c r="H386" s="73">
        <v>8</v>
      </c>
      <c r="I386" s="74" t="s">
        <v>773</v>
      </c>
      <c r="J386" s="75" t="s">
        <v>774</v>
      </c>
      <c r="K386" s="74"/>
      <c r="L386" s="82">
        <v>-3.2499999999999997E-5</v>
      </c>
      <c r="M386" s="138">
        <v>1.5318E-3</v>
      </c>
      <c r="N386" s="138">
        <v>1.5318E-3</v>
      </c>
      <c r="O386" s="138">
        <v>1.5328E-3</v>
      </c>
      <c r="P386" s="138">
        <v>1.4210000000000001E-4</v>
      </c>
      <c r="Q386" s="138">
        <v>1.316E-4</v>
      </c>
      <c r="R386" s="138">
        <v>1.671E-4</v>
      </c>
      <c r="S386" s="138">
        <v>1.6670000000000001E-4</v>
      </c>
      <c r="T386" s="138">
        <v>1.8139999999999999E-4</v>
      </c>
      <c r="U386" s="138">
        <v>1.7990000000000001E-4</v>
      </c>
      <c r="V386" s="138">
        <v>1.827E-4</v>
      </c>
      <c r="W386" s="138">
        <v>1.827E-4</v>
      </c>
      <c r="X386" s="138">
        <v>1.827E-4</v>
      </c>
      <c r="Y386" s="138">
        <f t="shared" si="258"/>
        <v>1.827E-4</v>
      </c>
      <c r="Z386" s="138">
        <f t="shared" si="259"/>
        <v>1.827E-4</v>
      </c>
      <c r="AA386" s="138">
        <f t="shared" si="260"/>
        <v>1.827E-4</v>
      </c>
      <c r="AB386" s="138">
        <f t="shared" si="261"/>
        <v>1.827E-4</v>
      </c>
      <c r="AC386" s="138">
        <f t="shared" si="262"/>
        <v>1.827E-4</v>
      </c>
      <c r="AD386" s="138">
        <f t="shared" si="263"/>
        <v>1.827E-4</v>
      </c>
      <c r="AE386" s="138">
        <f t="shared" si="264"/>
        <v>1.827E-4</v>
      </c>
      <c r="AF386" s="138">
        <f t="shared" si="265"/>
        <v>1.827E-4</v>
      </c>
      <c r="AG386" s="138">
        <f t="shared" si="266"/>
        <v>1.827E-4</v>
      </c>
      <c r="AH386" s="138">
        <f t="shared" si="267"/>
        <v>1.827E-4</v>
      </c>
      <c r="AI386" s="138">
        <f t="shared" si="268"/>
        <v>1.827E-4</v>
      </c>
      <c r="AJ386" s="138">
        <f t="shared" si="269"/>
        <v>1.827E-4</v>
      </c>
      <c r="AK386" s="138">
        <f t="shared" si="270"/>
        <v>1.827E-4</v>
      </c>
      <c r="AL386" s="138">
        <f t="shared" si="271"/>
        <v>1.8270000000000002E-4</v>
      </c>
      <c r="AM386" s="138">
        <f t="shared" si="272"/>
        <v>2.8985833333333336E-4</v>
      </c>
      <c r="AO386" s="77" t="str">
        <f t="shared" si="229"/>
        <v>GDS-4 (Large General Delivery)</v>
      </c>
      <c r="AP386" s="78" t="s">
        <v>674</v>
      </c>
      <c r="AQ386" s="77" t="str">
        <f t="shared" si="230"/>
        <v>Rider GEA - Gas Environmental Adjust - Rate Zone I</v>
      </c>
      <c r="AR386" s="78" t="str">
        <f t="shared" si="231"/>
        <v>Billing Cycle</v>
      </c>
      <c r="AS386" s="79">
        <f t="shared" si="232"/>
        <v>8</v>
      </c>
      <c r="AT386" s="78">
        <f t="shared" si="233"/>
        <v>0</v>
      </c>
      <c r="AU386" s="78">
        <f t="shared" si="234"/>
        <v>1.5318E-3</v>
      </c>
      <c r="AV386" s="78">
        <f t="shared" si="235"/>
        <v>1.5318E-3</v>
      </c>
      <c r="AW386" s="78">
        <f t="shared" si="236"/>
        <v>1.5328E-3</v>
      </c>
      <c r="AX386" s="78">
        <f t="shared" si="237"/>
        <v>1.4210000000000001E-4</v>
      </c>
      <c r="AY386" s="78">
        <f t="shared" si="238"/>
        <v>1.316E-4</v>
      </c>
      <c r="AZ386" s="78">
        <f t="shared" si="239"/>
        <v>1.671E-4</v>
      </c>
      <c r="BA386" s="78">
        <f t="shared" si="240"/>
        <v>1.6670000000000001E-4</v>
      </c>
      <c r="BB386" s="78">
        <f t="shared" si="241"/>
        <v>1.8139999999999999E-4</v>
      </c>
      <c r="BC386" s="78">
        <f t="shared" si="242"/>
        <v>1.7990000000000001E-4</v>
      </c>
      <c r="BD386" s="78">
        <f t="shared" si="243"/>
        <v>1.827E-4</v>
      </c>
      <c r="BE386" s="78">
        <f t="shared" si="244"/>
        <v>1.827E-4</v>
      </c>
      <c r="BF386" s="78">
        <f t="shared" si="245"/>
        <v>1.827E-4</v>
      </c>
      <c r="BG386" s="78">
        <f t="shared" si="246"/>
        <v>1.827E-4</v>
      </c>
      <c r="BH386" s="78">
        <f t="shared" si="247"/>
        <v>1.827E-4</v>
      </c>
      <c r="BI386" s="78">
        <f t="shared" si="248"/>
        <v>1.827E-4</v>
      </c>
      <c r="BJ386" s="78">
        <f t="shared" si="249"/>
        <v>1.827E-4</v>
      </c>
      <c r="BK386" s="78">
        <f t="shared" si="250"/>
        <v>1.827E-4</v>
      </c>
      <c r="BL386" s="78">
        <f t="shared" si="251"/>
        <v>1.827E-4</v>
      </c>
      <c r="BM386" s="78">
        <f t="shared" si="252"/>
        <v>1.827E-4</v>
      </c>
      <c r="BN386" s="78">
        <f t="shared" si="253"/>
        <v>1.827E-4</v>
      </c>
      <c r="BO386" s="78">
        <f t="shared" si="254"/>
        <v>1.827E-4</v>
      </c>
      <c r="BP386" s="78">
        <f t="shared" si="255"/>
        <v>1.827E-4</v>
      </c>
      <c r="BQ386" s="78">
        <f t="shared" si="256"/>
        <v>1.827E-4</v>
      </c>
      <c r="BR386" s="78">
        <f t="shared" si="257"/>
        <v>1.827E-4</v>
      </c>
      <c r="BS386" s="77"/>
      <c r="BT386" s="77"/>
    </row>
    <row r="387" spans="1:72" ht="14.1" customHeight="1" x14ac:dyDescent="0.2">
      <c r="A387" s="55" t="str">
        <f t="shared" si="228"/>
        <v>GDS-5 (Seasonal)_Rider GEA - Gas Environmental Adjust - Rate Zone I</v>
      </c>
      <c r="B387" s="80" t="s">
        <v>675</v>
      </c>
      <c r="C387" s="83" t="s">
        <v>840</v>
      </c>
      <c r="D387" s="150"/>
      <c r="E387" s="81"/>
      <c r="F387" s="73" t="s">
        <v>649</v>
      </c>
      <c r="G387" s="73">
        <v>0</v>
      </c>
      <c r="H387" s="73">
        <v>8</v>
      </c>
      <c r="I387" s="74" t="s">
        <v>773</v>
      </c>
      <c r="J387" s="75" t="s">
        <v>774</v>
      </c>
      <c r="K387" s="74"/>
      <c r="L387" s="82">
        <v>-3.2499999999999997E-5</v>
      </c>
      <c r="M387" s="138">
        <v>1.5318E-3</v>
      </c>
      <c r="N387" s="138">
        <v>1.5318E-3</v>
      </c>
      <c r="O387" s="138">
        <v>1.5328E-3</v>
      </c>
      <c r="P387" s="138">
        <v>1.4210000000000001E-4</v>
      </c>
      <c r="Q387" s="138">
        <v>1.316E-4</v>
      </c>
      <c r="R387" s="138">
        <v>1.671E-4</v>
      </c>
      <c r="S387" s="138">
        <v>1.6670000000000001E-4</v>
      </c>
      <c r="T387" s="138">
        <v>1.8139999999999999E-4</v>
      </c>
      <c r="U387" s="138">
        <v>1.7990000000000001E-4</v>
      </c>
      <c r="V387" s="138">
        <v>1.827E-4</v>
      </c>
      <c r="W387" s="138">
        <v>1.827E-4</v>
      </c>
      <c r="X387" s="138">
        <v>1.827E-4</v>
      </c>
      <c r="Y387" s="138">
        <f t="shared" si="258"/>
        <v>1.827E-4</v>
      </c>
      <c r="Z387" s="138">
        <f t="shared" si="259"/>
        <v>1.827E-4</v>
      </c>
      <c r="AA387" s="138">
        <f t="shared" si="260"/>
        <v>1.827E-4</v>
      </c>
      <c r="AB387" s="138">
        <f t="shared" si="261"/>
        <v>1.827E-4</v>
      </c>
      <c r="AC387" s="138">
        <f t="shared" si="262"/>
        <v>1.827E-4</v>
      </c>
      <c r="AD387" s="138">
        <f t="shared" si="263"/>
        <v>1.827E-4</v>
      </c>
      <c r="AE387" s="138">
        <f t="shared" si="264"/>
        <v>1.827E-4</v>
      </c>
      <c r="AF387" s="138">
        <f t="shared" si="265"/>
        <v>1.827E-4</v>
      </c>
      <c r="AG387" s="138">
        <f t="shared" si="266"/>
        <v>1.827E-4</v>
      </c>
      <c r="AH387" s="138">
        <f t="shared" si="267"/>
        <v>1.827E-4</v>
      </c>
      <c r="AI387" s="138">
        <f t="shared" si="268"/>
        <v>1.827E-4</v>
      </c>
      <c r="AJ387" s="138">
        <f t="shared" si="269"/>
        <v>1.827E-4</v>
      </c>
      <c r="AK387" s="138">
        <f t="shared" si="270"/>
        <v>1.827E-4</v>
      </c>
      <c r="AL387" s="138">
        <f t="shared" si="271"/>
        <v>1.8270000000000002E-4</v>
      </c>
      <c r="AM387" s="138">
        <f t="shared" si="272"/>
        <v>2.8985833333333336E-4</v>
      </c>
      <c r="AO387" s="77" t="str">
        <f t="shared" si="229"/>
        <v>GDS-5 (Seasonal)</v>
      </c>
      <c r="AP387" s="78" t="s">
        <v>676</v>
      </c>
      <c r="AQ387" s="77" t="str">
        <f t="shared" si="230"/>
        <v>Rider GEA - Gas Environmental Adjust - Rate Zone I</v>
      </c>
      <c r="AR387" s="78" t="str">
        <f t="shared" si="231"/>
        <v>Billing Cycle</v>
      </c>
      <c r="AS387" s="79">
        <f t="shared" si="232"/>
        <v>8</v>
      </c>
      <c r="AT387" s="78">
        <f t="shared" si="233"/>
        <v>0</v>
      </c>
      <c r="AU387" s="78">
        <f t="shared" si="234"/>
        <v>1.5318E-3</v>
      </c>
      <c r="AV387" s="78">
        <f t="shared" si="235"/>
        <v>1.5318E-3</v>
      </c>
      <c r="AW387" s="78">
        <f t="shared" si="236"/>
        <v>1.5328E-3</v>
      </c>
      <c r="AX387" s="78">
        <f t="shared" si="237"/>
        <v>1.4210000000000001E-4</v>
      </c>
      <c r="AY387" s="78">
        <f t="shared" si="238"/>
        <v>1.316E-4</v>
      </c>
      <c r="AZ387" s="78">
        <f t="shared" si="239"/>
        <v>1.671E-4</v>
      </c>
      <c r="BA387" s="78">
        <f t="shared" si="240"/>
        <v>1.6670000000000001E-4</v>
      </c>
      <c r="BB387" s="78">
        <f t="shared" si="241"/>
        <v>1.8139999999999999E-4</v>
      </c>
      <c r="BC387" s="78">
        <f t="shared" si="242"/>
        <v>1.7990000000000001E-4</v>
      </c>
      <c r="BD387" s="78">
        <f t="shared" si="243"/>
        <v>1.827E-4</v>
      </c>
      <c r="BE387" s="78">
        <f t="shared" si="244"/>
        <v>1.827E-4</v>
      </c>
      <c r="BF387" s="78">
        <f t="shared" si="245"/>
        <v>1.827E-4</v>
      </c>
      <c r="BG387" s="78">
        <f t="shared" si="246"/>
        <v>1.827E-4</v>
      </c>
      <c r="BH387" s="78">
        <f t="shared" si="247"/>
        <v>1.827E-4</v>
      </c>
      <c r="BI387" s="78">
        <f t="shared" si="248"/>
        <v>1.827E-4</v>
      </c>
      <c r="BJ387" s="78">
        <f t="shared" si="249"/>
        <v>1.827E-4</v>
      </c>
      <c r="BK387" s="78">
        <f t="shared" si="250"/>
        <v>1.827E-4</v>
      </c>
      <c r="BL387" s="78">
        <f t="shared" si="251"/>
        <v>1.827E-4</v>
      </c>
      <c r="BM387" s="78">
        <f t="shared" si="252"/>
        <v>1.827E-4</v>
      </c>
      <c r="BN387" s="78">
        <f t="shared" si="253"/>
        <v>1.827E-4</v>
      </c>
      <c r="BO387" s="78">
        <f t="shared" si="254"/>
        <v>1.827E-4</v>
      </c>
      <c r="BP387" s="78">
        <f t="shared" si="255"/>
        <v>1.827E-4</v>
      </c>
      <c r="BQ387" s="78">
        <f t="shared" si="256"/>
        <v>1.827E-4</v>
      </c>
      <c r="BR387" s="78">
        <f t="shared" si="257"/>
        <v>1.827E-4</v>
      </c>
      <c r="BS387" s="77"/>
      <c r="BT387" s="77"/>
    </row>
    <row r="388" spans="1:72" ht="14.1" customHeight="1" x14ac:dyDescent="0.2">
      <c r="A388" s="55" t="str">
        <f t="shared" si="228"/>
        <v>GDS-1 (Residential)_Rider GEA - Gas Environmental Adjust - Rate Zone III</v>
      </c>
      <c r="B388" s="80" t="s">
        <v>95</v>
      </c>
      <c r="C388" s="83" t="s">
        <v>842</v>
      </c>
      <c r="D388" s="150"/>
      <c r="E388" s="81"/>
      <c r="F388" s="73" t="s">
        <v>649</v>
      </c>
      <c r="G388" s="73">
        <v>0</v>
      </c>
      <c r="H388" s="73">
        <v>8</v>
      </c>
      <c r="I388" s="74" t="s">
        <v>773</v>
      </c>
      <c r="J388" s="75" t="s">
        <v>774</v>
      </c>
      <c r="K388" s="74"/>
      <c r="L388" s="82">
        <v>2.94559E-2</v>
      </c>
      <c r="M388" s="138">
        <v>2.6066000000000001E-3</v>
      </c>
      <c r="N388" s="138">
        <v>2.6066000000000001E-3</v>
      </c>
      <c r="O388" s="138">
        <v>2.6881000000000001E-3</v>
      </c>
      <c r="P388" s="138">
        <v>1.3817400000000001E-2</v>
      </c>
      <c r="Q388" s="138">
        <v>1.5291000000000001E-2</v>
      </c>
      <c r="R388" s="138">
        <v>1.84443E-2</v>
      </c>
      <c r="S388" s="138">
        <v>2.2534599999999998E-2</v>
      </c>
      <c r="T388" s="138">
        <v>2.5487200000000002E-2</v>
      </c>
      <c r="U388" s="138">
        <v>1.6494600000000002E-2</v>
      </c>
      <c r="V388" s="138">
        <v>1.3184E-2</v>
      </c>
      <c r="W388" s="138">
        <v>1.3184E-2</v>
      </c>
      <c r="X388" s="138">
        <v>1.3184E-2</v>
      </c>
      <c r="Y388" s="138">
        <f t="shared" si="258"/>
        <v>1.3184E-2</v>
      </c>
      <c r="Z388" s="138">
        <f t="shared" si="259"/>
        <v>1.3184E-2</v>
      </c>
      <c r="AA388" s="138">
        <f t="shared" si="260"/>
        <v>1.3184E-2</v>
      </c>
      <c r="AB388" s="138">
        <f t="shared" si="261"/>
        <v>1.3184E-2</v>
      </c>
      <c r="AC388" s="138">
        <f t="shared" si="262"/>
        <v>1.3184E-2</v>
      </c>
      <c r="AD388" s="138">
        <f t="shared" si="263"/>
        <v>1.3184E-2</v>
      </c>
      <c r="AE388" s="138">
        <f t="shared" si="264"/>
        <v>1.3184E-2</v>
      </c>
      <c r="AF388" s="138">
        <f t="shared" si="265"/>
        <v>1.3184E-2</v>
      </c>
      <c r="AG388" s="138">
        <f t="shared" si="266"/>
        <v>1.3184E-2</v>
      </c>
      <c r="AH388" s="138">
        <f t="shared" si="267"/>
        <v>1.3184E-2</v>
      </c>
      <c r="AI388" s="138">
        <f t="shared" si="268"/>
        <v>1.3184E-2</v>
      </c>
      <c r="AJ388" s="138">
        <f t="shared" si="269"/>
        <v>1.3184E-2</v>
      </c>
      <c r="AK388" s="138">
        <f t="shared" si="270"/>
        <v>1.3184E-2</v>
      </c>
      <c r="AL388" s="138">
        <f t="shared" si="271"/>
        <v>1.3184E-2</v>
      </c>
      <c r="AM388" s="138">
        <f t="shared" si="272"/>
        <v>1.3679491666666661E-2</v>
      </c>
      <c r="AO388" s="77" t="str">
        <f t="shared" si="229"/>
        <v>GDS-1 (Residential)</v>
      </c>
      <c r="AP388" s="78" t="s">
        <v>668</v>
      </c>
      <c r="AQ388" s="77" t="str">
        <f t="shared" si="230"/>
        <v>Rider GEA - Gas Environmental Adjust - Rate Zone III</v>
      </c>
      <c r="AR388" s="78" t="str">
        <f t="shared" si="231"/>
        <v>Billing Cycle</v>
      </c>
      <c r="AS388" s="79">
        <f t="shared" si="232"/>
        <v>8</v>
      </c>
      <c r="AT388" s="78">
        <f t="shared" si="233"/>
        <v>0</v>
      </c>
      <c r="AU388" s="78">
        <f t="shared" si="234"/>
        <v>2.6066000000000001E-3</v>
      </c>
      <c r="AV388" s="78">
        <f t="shared" si="235"/>
        <v>2.6066000000000001E-3</v>
      </c>
      <c r="AW388" s="78">
        <f t="shared" si="236"/>
        <v>2.6881000000000001E-3</v>
      </c>
      <c r="AX388" s="78">
        <f t="shared" si="237"/>
        <v>1.3817400000000001E-2</v>
      </c>
      <c r="AY388" s="78">
        <f t="shared" si="238"/>
        <v>1.5291000000000001E-2</v>
      </c>
      <c r="AZ388" s="78">
        <f t="shared" si="239"/>
        <v>1.84443E-2</v>
      </c>
      <c r="BA388" s="78">
        <f t="shared" si="240"/>
        <v>2.2534599999999998E-2</v>
      </c>
      <c r="BB388" s="78">
        <f t="shared" si="241"/>
        <v>2.5487200000000002E-2</v>
      </c>
      <c r="BC388" s="78">
        <f t="shared" si="242"/>
        <v>1.6494600000000002E-2</v>
      </c>
      <c r="BD388" s="78">
        <f t="shared" si="243"/>
        <v>1.3184E-2</v>
      </c>
      <c r="BE388" s="78">
        <f t="shared" si="244"/>
        <v>1.3184E-2</v>
      </c>
      <c r="BF388" s="78">
        <f t="shared" si="245"/>
        <v>1.3184E-2</v>
      </c>
      <c r="BG388" s="78">
        <f t="shared" si="246"/>
        <v>1.3184E-2</v>
      </c>
      <c r="BH388" s="78">
        <f t="shared" si="247"/>
        <v>1.3184E-2</v>
      </c>
      <c r="BI388" s="78">
        <f t="shared" si="248"/>
        <v>1.3184E-2</v>
      </c>
      <c r="BJ388" s="78">
        <f t="shared" si="249"/>
        <v>1.3184E-2</v>
      </c>
      <c r="BK388" s="78">
        <f t="shared" si="250"/>
        <v>1.3184E-2</v>
      </c>
      <c r="BL388" s="78">
        <f t="shared" si="251"/>
        <v>1.3184E-2</v>
      </c>
      <c r="BM388" s="78">
        <f t="shared" si="252"/>
        <v>1.3184E-2</v>
      </c>
      <c r="BN388" s="78">
        <f t="shared" si="253"/>
        <v>1.3184E-2</v>
      </c>
      <c r="BO388" s="78">
        <f t="shared" si="254"/>
        <v>1.3184E-2</v>
      </c>
      <c r="BP388" s="78">
        <f t="shared" si="255"/>
        <v>1.3184E-2</v>
      </c>
      <c r="BQ388" s="78">
        <f t="shared" si="256"/>
        <v>1.3184E-2</v>
      </c>
      <c r="BR388" s="78">
        <f t="shared" si="257"/>
        <v>1.3184E-2</v>
      </c>
      <c r="BS388" s="77"/>
      <c r="BT388" s="77"/>
    </row>
    <row r="389" spans="1:72" ht="14.1" customHeight="1" x14ac:dyDescent="0.2">
      <c r="A389" s="55" t="str">
        <f t="shared" si="228"/>
        <v>GDS-2 (Small General Delivery)_Rider GEA - Gas Environmental Adjust - Rate Zone III</v>
      </c>
      <c r="B389" s="80" t="s">
        <v>669</v>
      </c>
      <c r="C389" s="83" t="s">
        <v>842</v>
      </c>
      <c r="D389" s="150"/>
      <c r="E389" s="81"/>
      <c r="F389" s="73" t="s">
        <v>649</v>
      </c>
      <c r="G389" s="73">
        <v>0</v>
      </c>
      <c r="H389" s="73">
        <v>8</v>
      </c>
      <c r="I389" s="74" t="s">
        <v>773</v>
      </c>
      <c r="J389" s="75" t="s">
        <v>774</v>
      </c>
      <c r="K389" s="74"/>
      <c r="L389" s="82">
        <v>1.62928E-2</v>
      </c>
      <c r="M389" s="138">
        <v>1.5663999999999999E-3</v>
      </c>
      <c r="N389" s="138">
        <v>1.5663999999999999E-3</v>
      </c>
      <c r="O389" s="138">
        <v>1.6674000000000001E-3</v>
      </c>
      <c r="P389" s="138">
        <v>7.6515999999999997E-3</v>
      </c>
      <c r="Q389" s="138">
        <v>7.9343E-3</v>
      </c>
      <c r="R389" s="138">
        <v>1.1421600000000001E-2</v>
      </c>
      <c r="S389" s="138">
        <v>8.8754999999999997E-3</v>
      </c>
      <c r="T389" s="138">
        <v>1.01855E-2</v>
      </c>
      <c r="U389" s="138">
        <v>7.5497999999999997E-3</v>
      </c>
      <c r="V389" s="138">
        <v>7.4298999999999997E-3</v>
      </c>
      <c r="W389" s="138">
        <v>7.4298999999999997E-3</v>
      </c>
      <c r="X389" s="138">
        <v>7.4298999999999997E-3</v>
      </c>
      <c r="Y389" s="138">
        <f t="shared" si="258"/>
        <v>7.4298999999999997E-3</v>
      </c>
      <c r="Z389" s="138">
        <f t="shared" si="259"/>
        <v>7.4298999999999997E-3</v>
      </c>
      <c r="AA389" s="138">
        <f t="shared" si="260"/>
        <v>7.4298999999999997E-3</v>
      </c>
      <c r="AB389" s="138">
        <f t="shared" si="261"/>
        <v>7.4298999999999997E-3</v>
      </c>
      <c r="AC389" s="138">
        <f t="shared" si="262"/>
        <v>7.4298999999999997E-3</v>
      </c>
      <c r="AD389" s="138">
        <f t="shared" si="263"/>
        <v>7.4298999999999997E-3</v>
      </c>
      <c r="AE389" s="138">
        <f t="shared" si="264"/>
        <v>7.4298999999999997E-3</v>
      </c>
      <c r="AF389" s="138">
        <f t="shared" si="265"/>
        <v>7.4298999999999997E-3</v>
      </c>
      <c r="AG389" s="138">
        <f t="shared" si="266"/>
        <v>7.4298999999999997E-3</v>
      </c>
      <c r="AH389" s="138">
        <f t="shared" si="267"/>
        <v>7.4298999999999997E-3</v>
      </c>
      <c r="AI389" s="138">
        <f t="shared" si="268"/>
        <v>7.4298999999999997E-3</v>
      </c>
      <c r="AJ389" s="138">
        <f t="shared" si="269"/>
        <v>7.4298999999999997E-3</v>
      </c>
      <c r="AK389" s="138">
        <f t="shared" si="270"/>
        <v>7.4298999999999997E-3</v>
      </c>
      <c r="AL389" s="138">
        <f t="shared" si="271"/>
        <v>7.4299000000000023E-3</v>
      </c>
      <c r="AM389" s="138">
        <f t="shared" si="272"/>
        <v>7.3221041666666651E-3</v>
      </c>
      <c r="AO389" s="77" t="str">
        <f t="shared" si="229"/>
        <v>GDS-2 (Small General Delivery)</v>
      </c>
      <c r="AP389" s="78" t="s">
        <v>670</v>
      </c>
      <c r="AQ389" s="77" t="str">
        <f t="shared" si="230"/>
        <v>Rider GEA - Gas Environmental Adjust - Rate Zone III</v>
      </c>
      <c r="AR389" s="78" t="str">
        <f t="shared" si="231"/>
        <v>Billing Cycle</v>
      </c>
      <c r="AS389" s="79">
        <f t="shared" si="232"/>
        <v>8</v>
      </c>
      <c r="AT389" s="78">
        <f t="shared" si="233"/>
        <v>0</v>
      </c>
      <c r="AU389" s="78">
        <f t="shared" si="234"/>
        <v>1.5663999999999999E-3</v>
      </c>
      <c r="AV389" s="78">
        <f t="shared" si="235"/>
        <v>1.5663999999999999E-3</v>
      </c>
      <c r="AW389" s="78">
        <f t="shared" si="236"/>
        <v>1.6674000000000001E-3</v>
      </c>
      <c r="AX389" s="78">
        <f t="shared" si="237"/>
        <v>7.6515999999999997E-3</v>
      </c>
      <c r="AY389" s="78">
        <f t="shared" si="238"/>
        <v>7.9343E-3</v>
      </c>
      <c r="AZ389" s="78">
        <f t="shared" si="239"/>
        <v>1.1421600000000001E-2</v>
      </c>
      <c r="BA389" s="78">
        <f t="shared" si="240"/>
        <v>8.8754999999999997E-3</v>
      </c>
      <c r="BB389" s="78">
        <f t="shared" si="241"/>
        <v>1.01855E-2</v>
      </c>
      <c r="BC389" s="78">
        <f t="shared" si="242"/>
        <v>7.5497999999999997E-3</v>
      </c>
      <c r="BD389" s="78">
        <f t="shared" si="243"/>
        <v>7.4298999999999997E-3</v>
      </c>
      <c r="BE389" s="78">
        <f t="shared" si="244"/>
        <v>7.4298999999999997E-3</v>
      </c>
      <c r="BF389" s="78">
        <f t="shared" si="245"/>
        <v>7.4298999999999997E-3</v>
      </c>
      <c r="BG389" s="78">
        <f t="shared" si="246"/>
        <v>7.4298999999999997E-3</v>
      </c>
      <c r="BH389" s="78">
        <f t="shared" si="247"/>
        <v>7.4298999999999997E-3</v>
      </c>
      <c r="BI389" s="78">
        <f t="shared" si="248"/>
        <v>7.4298999999999997E-3</v>
      </c>
      <c r="BJ389" s="78">
        <f t="shared" si="249"/>
        <v>7.4298999999999997E-3</v>
      </c>
      <c r="BK389" s="78">
        <f t="shared" si="250"/>
        <v>7.4298999999999997E-3</v>
      </c>
      <c r="BL389" s="78">
        <f t="shared" si="251"/>
        <v>7.4298999999999997E-3</v>
      </c>
      <c r="BM389" s="78">
        <f t="shared" si="252"/>
        <v>7.4298999999999997E-3</v>
      </c>
      <c r="BN389" s="78">
        <f t="shared" si="253"/>
        <v>7.4298999999999997E-3</v>
      </c>
      <c r="BO389" s="78">
        <f t="shared" si="254"/>
        <v>7.4298999999999997E-3</v>
      </c>
      <c r="BP389" s="78">
        <f t="shared" si="255"/>
        <v>7.4298999999999997E-3</v>
      </c>
      <c r="BQ389" s="78">
        <f t="shared" si="256"/>
        <v>7.4298999999999997E-3</v>
      </c>
      <c r="BR389" s="78">
        <f t="shared" si="257"/>
        <v>7.4298999999999997E-3</v>
      </c>
      <c r="BS389" s="77"/>
      <c r="BT389" s="77"/>
    </row>
    <row r="390" spans="1:72" ht="14.1" customHeight="1" x14ac:dyDescent="0.2">
      <c r="A390" s="55" t="str">
        <f t="shared" ref="A390:A453" si="273">B390&amp;"_"&amp;C390</f>
        <v>GDS-3 (Intermediate General Delivery)_Rider GEA - Gas Environmental Adjust - Rate Zone III</v>
      </c>
      <c r="B390" s="80" t="s">
        <v>671</v>
      </c>
      <c r="C390" s="83" t="s">
        <v>842</v>
      </c>
      <c r="D390" s="150"/>
      <c r="E390" s="81"/>
      <c r="F390" s="73" t="s">
        <v>649</v>
      </c>
      <c r="G390" s="73">
        <v>0</v>
      </c>
      <c r="H390" s="73">
        <v>8</v>
      </c>
      <c r="I390" s="74" t="s">
        <v>773</v>
      </c>
      <c r="J390" s="75" t="s">
        <v>774</v>
      </c>
      <c r="K390" s="74"/>
      <c r="L390" s="82">
        <v>1.62928E-2</v>
      </c>
      <c r="M390" s="138">
        <v>1.5663999999999999E-3</v>
      </c>
      <c r="N390" s="138">
        <v>1.5663999999999999E-3</v>
      </c>
      <c r="O390" s="138">
        <v>1.6674000000000001E-3</v>
      </c>
      <c r="P390" s="138">
        <v>7.6515999999999997E-3</v>
      </c>
      <c r="Q390" s="138">
        <v>7.9343E-3</v>
      </c>
      <c r="R390" s="138">
        <v>1.1421600000000001E-2</v>
      </c>
      <c r="S390" s="138">
        <v>8.8754999999999997E-3</v>
      </c>
      <c r="T390" s="138">
        <v>1.01855E-2</v>
      </c>
      <c r="U390" s="138">
        <v>7.5497999999999997E-3</v>
      </c>
      <c r="V390" s="138">
        <v>7.4298999999999997E-3</v>
      </c>
      <c r="W390" s="138">
        <v>7.4298999999999997E-3</v>
      </c>
      <c r="X390" s="138">
        <v>7.4298999999999997E-3</v>
      </c>
      <c r="Y390" s="138">
        <f t="shared" si="258"/>
        <v>7.4298999999999997E-3</v>
      </c>
      <c r="Z390" s="138">
        <f t="shared" si="259"/>
        <v>7.4298999999999997E-3</v>
      </c>
      <c r="AA390" s="138">
        <f t="shared" si="260"/>
        <v>7.4298999999999997E-3</v>
      </c>
      <c r="AB390" s="138">
        <f t="shared" si="261"/>
        <v>7.4298999999999997E-3</v>
      </c>
      <c r="AC390" s="138">
        <f t="shared" si="262"/>
        <v>7.4298999999999997E-3</v>
      </c>
      <c r="AD390" s="138">
        <f t="shared" si="263"/>
        <v>7.4298999999999997E-3</v>
      </c>
      <c r="AE390" s="138">
        <f t="shared" si="264"/>
        <v>7.4298999999999997E-3</v>
      </c>
      <c r="AF390" s="138">
        <f t="shared" si="265"/>
        <v>7.4298999999999997E-3</v>
      </c>
      <c r="AG390" s="138">
        <f t="shared" si="266"/>
        <v>7.4298999999999997E-3</v>
      </c>
      <c r="AH390" s="138">
        <f t="shared" si="267"/>
        <v>7.4298999999999997E-3</v>
      </c>
      <c r="AI390" s="138">
        <f t="shared" si="268"/>
        <v>7.4298999999999997E-3</v>
      </c>
      <c r="AJ390" s="138">
        <f t="shared" si="269"/>
        <v>7.4298999999999997E-3</v>
      </c>
      <c r="AK390" s="138">
        <f t="shared" si="270"/>
        <v>7.4298999999999997E-3</v>
      </c>
      <c r="AL390" s="138">
        <f t="shared" si="271"/>
        <v>7.4299000000000023E-3</v>
      </c>
      <c r="AM390" s="138">
        <f t="shared" si="272"/>
        <v>7.3221041666666651E-3</v>
      </c>
      <c r="AO390" s="77" t="str">
        <f t="shared" ref="AO390:AO453" si="274">IF(B390="","",B390)</f>
        <v>GDS-3 (Intermediate General Delivery)</v>
      </c>
      <c r="AP390" s="78" t="s">
        <v>672</v>
      </c>
      <c r="AQ390" s="77" t="str">
        <f t="shared" ref="AQ390:AQ453" si="275">IF(B390="","",C390)</f>
        <v>Rider GEA - Gas Environmental Adjust - Rate Zone III</v>
      </c>
      <c r="AR390" s="78" t="str">
        <f t="shared" ref="AR390:AR453" si="276">IF(B390="","",F390)</f>
        <v>Billing Cycle</v>
      </c>
      <c r="AS390" s="79">
        <f t="shared" ref="AS390:AS453" si="277">IF(B390="","",H390)</f>
        <v>8</v>
      </c>
      <c r="AT390" s="78">
        <f t="shared" ref="AT390:AT453" si="278">IF(B390="","",ROUND(L390,$H$6))</f>
        <v>0</v>
      </c>
      <c r="AU390" s="78">
        <f t="shared" ref="AU390:AU453" si="279">IF($B390="","",ROUND(IF(M390="",AT390,M390),$H390))</f>
        <v>1.5663999999999999E-3</v>
      </c>
      <c r="AV390" s="78">
        <f t="shared" ref="AV390:AV453" si="280">IF($B390="","",ROUND(IF(N390="",AU390,N390),$H390))</f>
        <v>1.5663999999999999E-3</v>
      </c>
      <c r="AW390" s="78">
        <f t="shared" ref="AW390:AW453" si="281">IF($B390="","",ROUND(IF(O390="",AV390,O390),$H390))</f>
        <v>1.6674000000000001E-3</v>
      </c>
      <c r="AX390" s="78">
        <f t="shared" ref="AX390:AX453" si="282">IF($B390="","",ROUND(IF(P390="",AW390,P390),$H390))</f>
        <v>7.6515999999999997E-3</v>
      </c>
      <c r="AY390" s="78">
        <f t="shared" ref="AY390:AY453" si="283">IF($B390="","",ROUND(IF(Q390="",AX390,Q390),$H390))</f>
        <v>7.9343E-3</v>
      </c>
      <c r="AZ390" s="78">
        <f t="shared" ref="AZ390:AZ453" si="284">IF($B390="","",ROUND(IF(R390="",AY390,R390),$H390))</f>
        <v>1.1421600000000001E-2</v>
      </c>
      <c r="BA390" s="78">
        <f t="shared" ref="BA390:BA453" si="285">IF($B390="","",ROUND(IF(S390="",AZ390,S390),$H390))</f>
        <v>8.8754999999999997E-3</v>
      </c>
      <c r="BB390" s="78">
        <f t="shared" ref="BB390:BB453" si="286">IF($B390="","",ROUND(IF(T390="",BA390,T390),$H390))</f>
        <v>1.01855E-2</v>
      </c>
      <c r="BC390" s="78">
        <f t="shared" ref="BC390:BC453" si="287">IF($B390="","",ROUND(IF(U390="",BB390,U390),$H390))</f>
        <v>7.5497999999999997E-3</v>
      </c>
      <c r="BD390" s="78">
        <f t="shared" ref="BD390:BD453" si="288">IF($B390="","",ROUND(IF(V390="",BC390,V390),$H390))</f>
        <v>7.4298999999999997E-3</v>
      </c>
      <c r="BE390" s="78">
        <f t="shared" ref="BE390:BE453" si="289">IF($B390="","",ROUND(IF(W390="",BD390,W390),$H390))</f>
        <v>7.4298999999999997E-3</v>
      </c>
      <c r="BF390" s="78">
        <f t="shared" ref="BF390:BF453" si="290">IF($B390="","",ROUND(IF(X390="",BE390,X390),$H390))</f>
        <v>7.4298999999999997E-3</v>
      </c>
      <c r="BG390" s="78">
        <f t="shared" ref="BG390:BG453" si="291">IF($B390="","",ROUND(IF(Y390="",BF390,Y390),$H390))</f>
        <v>7.4298999999999997E-3</v>
      </c>
      <c r="BH390" s="78">
        <f t="shared" ref="BH390:BH453" si="292">IF($B390="","",ROUND(IF(Z390="",BG390,Z390),$H390))</f>
        <v>7.4298999999999997E-3</v>
      </c>
      <c r="BI390" s="78">
        <f t="shared" ref="BI390:BI453" si="293">IF($B390="","",ROUND(IF(AA390="",BH390,AA390),$H390))</f>
        <v>7.4298999999999997E-3</v>
      </c>
      <c r="BJ390" s="78">
        <f t="shared" ref="BJ390:BJ453" si="294">IF($B390="","",ROUND(IF(AB390="",BI390,AB390),$H390))</f>
        <v>7.4298999999999997E-3</v>
      </c>
      <c r="BK390" s="78">
        <f t="shared" ref="BK390:BK453" si="295">IF($B390="","",ROUND(IF(AC390="",BJ390,AC390),$H390))</f>
        <v>7.4298999999999997E-3</v>
      </c>
      <c r="BL390" s="78">
        <f t="shared" ref="BL390:BL453" si="296">IF($B390="","",ROUND(IF(AD390="",BK390,AD390),$H390))</f>
        <v>7.4298999999999997E-3</v>
      </c>
      <c r="BM390" s="78">
        <f t="shared" ref="BM390:BM453" si="297">IF($B390="","",ROUND(IF(AE390="",BL390,AE390),$H390))</f>
        <v>7.4298999999999997E-3</v>
      </c>
      <c r="BN390" s="78">
        <f t="shared" ref="BN390:BN453" si="298">IF($B390="","",ROUND(IF(AF390="",BM390,AF390),$H390))</f>
        <v>7.4298999999999997E-3</v>
      </c>
      <c r="BO390" s="78">
        <f t="shared" ref="BO390:BO453" si="299">IF($B390="","",ROUND(IF(AG390="",BN390,AG390),$H390))</f>
        <v>7.4298999999999997E-3</v>
      </c>
      <c r="BP390" s="78">
        <f t="shared" ref="BP390:BP453" si="300">IF($B390="","",ROUND(IF(AH390="",BO390,AH390),$H390))</f>
        <v>7.4298999999999997E-3</v>
      </c>
      <c r="BQ390" s="78">
        <f t="shared" ref="BQ390:BQ453" si="301">IF($B390="","",ROUND(IF(AI390="",BP390,AI390),$H390))</f>
        <v>7.4298999999999997E-3</v>
      </c>
      <c r="BR390" s="78">
        <f t="shared" ref="BR390:BR453" si="302">IF($B390="","",ROUND(IF(AJ390="",BQ390,AJ390),$H390))</f>
        <v>7.4298999999999997E-3</v>
      </c>
      <c r="BS390" s="77"/>
      <c r="BT390" s="77"/>
    </row>
    <row r="391" spans="1:72" ht="14.1" customHeight="1" x14ac:dyDescent="0.2">
      <c r="A391" s="55" t="str">
        <f t="shared" si="273"/>
        <v>GDS-4 (Large General Delivery)_Rider GEA - Gas Environmental Adjust - Rate Zone III</v>
      </c>
      <c r="B391" s="80" t="s">
        <v>673</v>
      </c>
      <c r="C391" s="83" t="s">
        <v>842</v>
      </c>
      <c r="D391" s="150"/>
      <c r="E391" s="81"/>
      <c r="F391" s="73" t="s">
        <v>649</v>
      </c>
      <c r="G391" s="73">
        <v>0</v>
      </c>
      <c r="H391" s="73">
        <v>8</v>
      </c>
      <c r="I391" s="74" t="s">
        <v>773</v>
      </c>
      <c r="J391" s="75" t="s">
        <v>774</v>
      </c>
      <c r="K391" s="74"/>
      <c r="L391" s="82">
        <v>1.9821000000000001E-3</v>
      </c>
      <c r="M391" s="138">
        <v>2.061E-4</v>
      </c>
      <c r="N391" s="138">
        <v>2.061E-4</v>
      </c>
      <c r="O391" s="138">
        <v>2.2110000000000001E-4</v>
      </c>
      <c r="P391" s="138">
        <v>8.5249999999999996E-4</v>
      </c>
      <c r="Q391" s="138">
        <v>8.6280000000000005E-4</v>
      </c>
      <c r="R391" s="138">
        <v>9.7519999999999996E-4</v>
      </c>
      <c r="S391" s="138">
        <v>8.4500000000000005E-4</v>
      </c>
      <c r="T391" s="138">
        <v>1E-3</v>
      </c>
      <c r="U391" s="138">
        <v>8.6589999999999996E-4</v>
      </c>
      <c r="V391" s="138">
        <v>9.1549999999999997E-4</v>
      </c>
      <c r="W391" s="138">
        <v>9.1549999999999997E-4</v>
      </c>
      <c r="X391" s="138">
        <v>9.1549999999999997E-4</v>
      </c>
      <c r="Y391" s="138">
        <f t="shared" ref="Y391:Y454" si="303">X391</f>
        <v>9.1549999999999997E-4</v>
      </c>
      <c r="Z391" s="138">
        <f t="shared" ref="Z391:Z454" si="304">Y391</f>
        <v>9.1549999999999997E-4</v>
      </c>
      <c r="AA391" s="138">
        <f t="shared" ref="AA391:AA454" si="305">Z391</f>
        <v>9.1549999999999997E-4</v>
      </c>
      <c r="AB391" s="138">
        <f t="shared" ref="AB391:AB454" si="306">AA391</f>
        <v>9.1549999999999997E-4</v>
      </c>
      <c r="AC391" s="138">
        <f t="shared" ref="AC391:AC454" si="307">AB391</f>
        <v>9.1549999999999997E-4</v>
      </c>
      <c r="AD391" s="138">
        <f t="shared" ref="AD391:AD454" si="308">AC391</f>
        <v>9.1549999999999997E-4</v>
      </c>
      <c r="AE391" s="138">
        <f t="shared" ref="AE391:AE454" si="309">AD391</f>
        <v>9.1549999999999997E-4</v>
      </c>
      <c r="AF391" s="138">
        <f t="shared" ref="AF391:AF454" si="310">AE391</f>
        <v>9.1549999999999997E-4</v>
      </c>
      <c r="AG391" s="138">
        <f t="shared" ref="AG391:AG454" si="311">AF391</f>
        <v>9.1549999999999997E-4</v>
      </c>
      <c r="AH391" s="138">
        <f t="shared" ref="AH391:AH454" si="312">AG391</f>
        <v>9.1549999999999997E-4</v>
      </c>
      <c r="AI391" s="138">
        <f t="shared" ref="AI391:AI454" si="313">AH391</f>
        <v>9.1549999999999997E-4</v>
      </c>
      <c r="AJ391" s="138">
        <f t="shared" ref="AJ391:AJ454" si="314">AI391</f>
        <v>9.1549999999999997E-4</v>
      </c>
      <c r="AK391" s="138">
        <f t="shared" ref="AK391:AK454" si="315">AJ391</f>
        <v>9.1549999999999997E-4</v>
      </c>
      <c r="AL391" s="138">
        <f t="shared" ref="AL391:AL454" si="316">AVERAGE(Z391:AK391)</f>
        <v>9.1549999999999976E-4</v>
      </c>
      <c r="AM391" s="138">
        <f t="shared" ref="AM391:AM454" si="317">AVERAGE(N391:AK391)</f>
        <v>8.5319166666666642E-4</v>
      </c>
      <c r="AO391" s="77" t="str">
        <f t="shared" si="274"/>
        <v>GDS-4 (Large General Delivery)</v>
      </c>
      <c r="AP391" s="78" t="s">
        <v>674</v>
      </c>
      <c r="AQ391" s="77" t="str">
        <f t="shared" si="275"/>
        <v>Rider GEA - Gas Environmental Adjust - Rate Zone III</v>
      </c>
      <c r="AR391" s="78" t="str">
        <f t="shared" si="276"/>
        <v>Billing Cycle</v>
      </c>
      <c r="AS391" s="79">
        <f t="shared" si="277"/>
        <v>8</v>
      </c>
      <c r="AT391" s="78">
        <f t="shared" si="278"/>
        <v>0</v>
      </c>
      <c r="AU391" s="78">
        <f t="shared" si="279"/>
        <v>2.061E-4</v>
      </c>
      <c r="AV391" s="78">
        <f t="shared" si="280"/>
        <v>2.061E-4</v>
      </c>
      <c r="AW391" s="78">
        <f t="shared" si="281"/>
        <v>2.2110000000000001E-4</v>
      </c>
      <c r="AX391" s="78">
        <f t="shared" si="282"/>
        <v>8.5249999999999996E-4</v>
      </c>
      <c r="AY391" s="78">
        <f t="shared" si="283"/>
        <v>8.6280000000000005E-4</v>
      </c>
      <c r="AZ391" s="78">
        <f t="shared" si="284"/>
        <v>9.7519999999999996E-4</v>
      </c>
      <c r="BA391" s="78">
        <f t="shared" si="285"/>
        <v>8.4500000000000005E-4</v>
      </c>
      <c r="BB391" s="78">
        <f t="shared" si="286"/>
        <v>1E-3</v>
      </c>
      <c r="BC391" s="78">
        <f t="shared" si="287"/>
        <v>8.6589999999999996E-4</v>
      </c>
      <c r="BD391" s="78">
        <f t="shared" si="288"/>
        <v>9.1549999999999997E-4</v>
      </c>
      <c r="BE391" s="78">
        <f t="shared" si="289"/>
        <v>9.1549999999999997E-4</v>
      </c>
      <c r="BF391" s="78">
        <f t="shared" si="290"/>
        <v>9.1549999999999997E-4</v>
      </c>
      <c r="BG391" s="78">
        <f t="shared" si="291"/>
        <v>9.1549999999999997E-4</v>
      </c>
      <c r="BH391" s="78">
        <f t="shared" si="292"/>
        <v>9.1549999999999997E-4</v>
      </c>
      <c r="BI391" s="78">
        <f t="shared" si="293"/>
        <v>9.1549999999999997E-4</v>
      </c>
      <c r="BJ391" s="78">
        <f t="shared" si="294"/>
        <v>9.1549999999999997E-4</v>
      </c>
      <c r="BK391" s="78">
        <f t="shared" si="295"/>
        <v>9.1549999999999997E-4</v>
      </c>
      <c r="BL391" s="78">
        <f t="shared" si="296"/>
        <v>9.1549999999999997E-4</v>
      </c>
      <c r="BM391" s="78">
        <f t="shared" si="297"/>
        <v>9.1549999999999997E-4</v>
      </c>
      <c r="BN391" s="78">
        <f t="shared" si="298"/>
        <v>9.1549999999999997E-4</v>
      </c>
      <c r="BO391" s="78">
        <f t="shared" si="299"/>
        <v>9.1549999999999997E-4</v>
      </c>
      <c r="BP391" s="78">
        <f t="shared" si="300"/>
        <v>9.1549999999999997E-4</v>
      </c>
      <c r="BQ391" s="78">
        <f t="shared" si="301"/>
        <v>9.1549999999999997E-4</v>
      </c>
      <c r="BR391" s="78">
        <f t="shared" si="302"/>
        <v>9.1549999999999997E-4</v>
      </c>
      <c r="BS391" s="77"/>
      <c r="BT391" s="77"/>
    </row>
    <row r="392" spans="1:72" ht="14.1" customHeight="1" x14ac:dyDescent="0.2">
      <c r="A392" s="55" t="str">
        <f t="shared" si="273"/>
        <v>GDS-5 (Seasonal)_Rider GEA - Gas Environmental Adjust - Rate Zone III</v>
      </c>
      <c r="B392" s="80" t="s">
        <v>675</v>
      </c>
      <c r="C392" s="83" t="s">
        <v>842</v>
      </c>
      <c r="D392" s="150"/>
      <c r="E392" s="81"/>
      <c r="F392" s="73" t="s">
        <v>649</v>
      </c>
      <c r="G392" s="73">
        <v>0</v>
      </c>
      <c r="H392" s="73">
        <v>8</v>
      </c>
      <c r="I392" s="74" t="s">
        <v>773</v>
      </c>
      <c r="J392" s="75" t="s">
        <v>774</v>
      </c>
      <c r="K392" s="74"/>
      <c r="L392" s="82">
        <v>1.9821000000000001E-3</v>
      </c>
      <c r="M392" s="138">
        <v>2.061E-4</v>
      </c>
      <c r="N392" s="138">
        <v>2.061E-4</v>
      </c>
      <c r="O392" s="138">
        <v>2.2110000000000001E-4</v>
      </c>
      <c r="P392" s="138">
        <v>8.5249999999999996E-4</v>
      </c>
      <c r="Q392" s="138">
        <v>8.6280000000000005E-4</v>
      </c>
      <c r="R392" s="138">
        <v>9.7519999999999996E-4</v>
      </c>
      <c r="S392" s="138">
        <v>8.4500000000000005E-4</v>
      </c>
      <c r="T392" s="138">
        <v>1E-3</v>
      </c>
      <c r="U392" s="138">
        <v>8.6589999999999996E-4</v>
      </c>
      <c r="V392" s="138">
        <v>9.1549999999999997E-4</v>
      </c>
      <c r="W392" s="138">
        <v>9.1549999999999997E-4</v>
      </c>
      <c r="X392" s="138">
        <v>9.1549999999999997E-4</v>
      </c>
      <c r="Y392" s="138">
        <f t="shared" si="303"/>
        <v>9.1549999999999997E-4</v>
      </c>
      <c r="Z392" s="138">
        <f t="shared" si="304"/>
        <v>9.1549999999999997E-4</v>
      </c>
      <c r="AA392" s="138">
        <f t="shared" si="305"/>
        <v>9.1549999999999997E-4</v>
      </c>
      <c r="AB392" s="138">
        <f t="shared" si="306"/>
        <v>9.1549999999999997E-4</v>
      </c>
      <c r="AC392" s="138">
        <f t="shared" si="307"/>
        <v>9.1549999999999997E-4</v>
      </c>
      <c r="AD392" s="138">
        <f t="shared" si="308"/>
        <v>9.1549999999999997E-4</v>
      </c>
      <c r="AE392" s="138">
        <f t="shared" si="309"/>
        <v>9.1549999999999997E-4</v>
      </c>
      <c r="AF392" s="138">
        <f t="shared" si="310"/>
        <v>9.1549999999999997E-4</v>
      </c>
      <c r="AG392" s="138">
        <f t="shared" si="311"/>
        <v>9.1549999999999997E-4</v>
      </c>
      <c r="AH392" s="138">
        <f t="shared" si="312"/>
        <v>9.1549999999999997E-4</v>
      </c>
      <c r="AI392" s="138">
        <f t="shared" si="313"/>
        <v>9.1549999999999997E-4</v>
      </c>
      <c r="AJ392" s="138">
        <f t="shared" si="314"/>
        <v>9.1549999999999997E-4</v>
      </c>
      <c r="AK392" s="138">
        <f t="shared" si="315"/>
        <v>9.1549999999999997E-4</v>
      </c>
      <c r="AL392" s="138">
        <f t="shared" si="316"/>
        <v>9.1549999999999976E-4</v>
      </c>
      <c r="AM392" s="138">
        <f t="shared" si="317"/>
        <v>8.5319166666666642E-4</v>
      </c>
      <c r="AO392" s="77" t="str">
        <f t="shared" si="274"/>
        <v>GDS-5 (Seasonal)</v>
      </c>
      <c r="AP392" s="78" t="s">
        <v>676</v>
      </c>
      <c r="AQ392" s="77" t="str">
        <f t="shared" si="275"/>
        <v>Rider GEA - Gas Environmental Adjust - Rate Zone III</v>
      </c>
      <c r="AR392" s="78" t="str">
        <f t="shared" si="276"/>
        <v>Billing Cycle</v>
      </c>
      <c r="AS392" s="79">
        <f t="shared" si="277"/>
        <v>8</v>
      </c>
      <c r="AT392" s="78">
        <f t="shared" si="278"/>
        <v>0</v>
      </c>
      <c r="AU392" s="78">
        <f t="shared" si="279"/>
        <v>2.061E-4</v>
      </c>
      <c r="AV392" s="78">
        <f t="shared" si="280"/>
        <v>2.061E-4</v>
      </c>
      <c r="AW392" s="78">
        <f t="shared" si="281"/>
        <v>2.2110000000000001E-4</v>
      </c>
      <c r="AX392" s="78">
        <f t="shared" si="282"/>
        <v>8.5249999999999996E-4</v>
      </c>
      <c r="AY392" s="78">
        <f t="shared" si="283"/>
        <v>8.6280000000000005E-4</v>
      </c>
      <c r="AZ392" s="78">
        <f t="shared" si="284"/>
        <v>9.7519999999999996E-4</v>
      </c>
      <c r="BA392" s="78">
        <f t="shared" si="285"/>
        <v>8.4500000000000005E-4</v>
      </c>
      <c r="BB392" s="78">
        <f t="shared" si="286"/>
        <v>1E-3</v>
      </c>
      <c r="BC392" s="78">
        <f t="shared" si="287"/>
        <v>8.6589999999999996E-4</v>
      </c>
      <c r="BD392" s="78">
        <f t="shared" si="288"/>
        <v>9.1549999999999997E-4</v>
      </c>
      <c r="BE392" s="78">
        <f t="shared" si="289"/>
        <v>9.1549999999999997E-4</v>
      </c>
      <c r="BF392" s="78">
        <f t="shared" si="290"/>
        <v>9.1549999999999997E-4</v>
      </c>
      <c r="BG392" s="78">
        <f t="shared" si="291"/>
        <v>9.1549999999999997E-4</v>
      </c>
      <c r="BH392" s="78">
        <f t="shared" si="292"/>
        <v>9.1549999999999997E-4</v>
      </c>
      <c r="BI392" s="78">
        <f t="shared" si="293"/>
        <v>9.1549999999999997E-4</v>
      </c>
      <c r="BJ392" s="78">
        <f t="shared" si="294"/>
        <v>9.1549999999999997E-4</v>
      </c>
      <c r="BK392" s="78">
        <f t="shared" si="295"/>
        <v>9.1549999999999997E-4</v>
      </c>
      <c r="BL392" s="78">
        <f t="shared" si="296"/>
        <v>9.1549999999999997E-4</v>
      </c>
      <c r="BM392" s="78">
        <f t="shared" si="297"/>
        <v>9.1549999999999997E-4</v>
      </c>
      <c r="BN392" s="78">
        <f t="shared" si="298"/>
        <v>9.1549999999999997E-4</v>
      </c>
      <c r="BO392" s="78">
        <f t="shared" si="299"/>
        <v>9.1549999999999997E-4</v>
      </c>
      <c r="BP392" s="78">
        <f t="shared" si="300"/>
        <v>9.1549999999999997E-4</v>
      </c>
      <c r="BQ392" s="78">
        <f t="shared" si="301"/>
        <v>9.1549999999999997E-4</v>
      </c>
      <c r="BR392" s="78">
        <f t="shared" si="302"/>
        <v>9.1549999999999997E-4</v>
      </c>
      <c r="BS392" s="77"/>
      <c r="BT392" s="77"/>
    </row>
    <row r="393" spans="1:72" ht="14.1" customHeight="1" x14ac:dyDescent="0.2">
      <c r="A393" s="55" t="str">
        <f t="shared" si="273"/>
        <v>GDS-1 (Residential)_Rider GER - Energy Efficiency Programs Charge</v>
      </c>
      <c r="B393" s="80" t="s">
        <v>95</v>
      </c>
      <c r="C393" s="71" t="s">
        <v>843</v>
      </c>
      <c r="D393" s="150" t="s">
        <v>605</v>
      </c>
      <c r="E393" s="81"/>
      <c r="F393" s="73" t="s">
        <v>649</v>
      </c>
      <c r="G393" s="73">
        <v>0</v>
      </c>
      <c r="H393" s="73">
        <v>6</v>
      </c>
      <c r="I393" s="74" t="s">
        <v>641</v>
      </c>
      <c r="J393" s="75" t="s">
        <v>634</v>
      </c>
      <c r="K393" s="74"/>
      <c r="L393" s="82">
        <v>2.1739999999999999E-2</v>
      </c>
      <c r="M393" s="138">
        <v>2.4379999999999999E-2</v>
      </c>
      <c r="N393" s="138">
        <v>2.4379999999999999E-2</v>
      </c>
      <c r="O393" s="138">
        <v>2.4379999999999999E-2</v>
      </c>
      <c r="P393" s="138">
        <v>2.4379999999999999E-2</v>
      </c>
      <c r="Q393" s="138">
        <v>2.4379999999999999E-2</v>
      </c>
      <c r="R393" s="138">
        <v>2.4379999999999999E-2</v>
      </c>
      <c r="S393" s="138">
        <v>2.4379999999999999E-2</v>
      </c>
      <c r="T393" s="138">
        <v>2.4379999999999999E-2</v>
      </c>
      <c r="U393" s="138">
        <v>2.4379999999999999E-2</v>
      </c>
      <c r="V393" s="138">
        <v>2.4379999999999999E-2</v>
      </c>
      <c r="W393" s="138">
        <v>2.4379999999999999E-2</v>
      </c>
      <c r="X393" s="138">
        <v>2.4379999999999999E-2</v>
      </c>
      <c r="Y393" s="138">
        <f t="shared" si="303"/>
        <v>2.4379999999999999E-2</v>
      </c>
      <c r="Z393" s="138">
        <f t="shared" si="304"/>
        <v>2.4379999999999999E-2</v>
      </c>
      <c r="AA393" s="138">
        <f t="shared" si="305"/>
        <v>2.4379999999999999E-2</v>
      </c>
      <c r="AB393" s="138">
        <f t="shared" si="306"/>
        <v>2.4379999999999999E-2</v>
      </c>
      <c r="AC393" s="138">
        <f t="shared" si="307"/>
        <v>2.4379999999999999E-2</v>
      </c>
      <c r="AD393" s="138">
        <f t="shared" si="308"/>
        <v>2.4379999999999999E-2</v>
      </c>
      <c r="AE393" s="138">
        <f t="shared" si="309"/>
        <v>2.4379999999999999E-2</v>
      </c>
      <c r="AF393" s="138">
        <f t="shared" si="310"/>
        <v>2.4379999999999999E-2</v>
      </c>
      <c r="AG393" s="138">
        <f t="shared" si="311"/>
        <v>2.4379999999999999E-2</v>
      </c>
      <c r="AH393" s="138">
        <f t="shared" si="312"/>
        <v>2.4379999999999999E-2</v>
      </c>
      <c r="AI393" s="138">
        <f t="shared" si="313"/>
        <v>2.4379999999999999E-2</v>
      </c>
      <c r="AJ393" s="138">
        <f t="shared" si="314"/>
        <v>2.4379999999999999E-2</v>
      </c>
      <c r="AK393" s="138">
        <f t="shared" si="315"/>
        <v>2.4379999999999999E-2</v>
      </c>
      <c r="AL393" s="138">
        <f t="shared" si="316"/>
        <v>2.4380000000000002E-2</v>
      </c>
      <c r="AM393" s="138">
        <f t="shared" si="317"/>
        <v>2.4379999999999999E-2</v>
      </c>
      <c r="AO393" s="77" t="str">
        <f t="shared" si="274"/>
        <v>GDS-1 (Residential)</v>
      </c>
      <c r="AP393" s="78" t="s">
        <v>668</v>
      </c>
      <c r="AQ393" s="77" t="str">
        <f t="shared" si="275"/>
        <v>Rider GER - Energy Efficiency Programs Charge</v>
      </c>
      <c r="AR393" s="78" t="str">
        <f t="shared" si="276"/>
        <v>Billing Cycle</v>
      </c>
      <c r="AS393" s="79">
        <f t="shared" si="277"/>
        <v>6</v>
      </c>
      <c r="AT393" s="78">
        <f t="shared" si="278"/>
        <v>0</v>
      </c>
      <c r="AU393" s="78">
        <f t="shared" si="279"/>
        <v>2.4379999999999999E-2</v>
      </c>
      <c r="AV393" s="78">
        <f t="shared" si="280"/>
        <v>2.4379999999999999E-2</v>
      </c>
      <c r="AW393" s="78">
        <f t="shared" si="281"/>
        <v>2.4379999999999999E-2</v>
      </c>
      <c r="AX393" s="78">
        <f t="shared" si="282"/>
        <v>2.4379999999999999E-2</v>
      </c>
      <c r="AY393" s="78">
        <f t="shared" si="283"/>
        <v>2.4379999999999999E-2</v>
      </c>
      <c r="AZ393" s="78">
        <f t="shared" si="284"/>
        <v>2.4379999999999999E-2</v>
      </c>
      <c r="BA393" s="78">
        <f t="shared" si="285"/>
        <v>2.4379999999999999E-2</v>
      </c>
      <c r="BB393" s="78">
        <f t="shared" si="286"/>
        <v>2.4379999999999999E-2</v>
      </c>
      <c r="BC393" s="78">
        <f t="shared" si="287"/>
        <v>2.4379999999999999E-2</v>
      </c>
      <c r="BD393" s="78">
        <f t="shared" si="288"/>
        <v>2.4379999999999999E-2</v>
      </c>
      <c r="BE393" s="78">
        <f t="shared" si="289"/>
        <v>2.4379999999999999E-2</v>
      </c>
      <c r="BF393" s="78">
        <f t="shared" si="290"/>
        <v>2.4379999999999999E-2</v>
      </c>
      <c r="BG393" s="78">
        <f t="shared" si="291"/>
        <v>2.4379999999999999E-2</v>
      </c>
      <c r="BH393" s="78">
        <f t="shared" si="292"/>
        <v>2.4379999999999999E-2</v>
      </c>
      <c r="BI393" s="78">
        <f t="shared" si="293"/>
        <v>2.4379999999999999E-2</v>
      </c>
      <c r="BJ393" s="78">
        <f t="shared" si="294"/>
        <v>2.4379999999999999E-2</v>
      </c>
      <c r="BK393" s="78">
        <f t="shared" si="295"/>
        <v>2.4379999999999999E-2</v>
      </c>
      <c r="BL393" s="78">
        <f t="shared" si="296"/>
        <v>2.4379999999999999E-2</v>
      </c>
      <c r="BM393" s="78">
        <f t="shared" si="297"/>
        <v>2.4379999999999999E-2</v>
      </c>
      <c r="BN393" s="78">
        <f t="shared" si="298"/>
        <v>2.4379999999999999E-2</v>
      </c>
      <c r="BO393" s="78">
        <f t="shared" si="299"/>
        <v>2.4379999999999999E-2</v>
      </c>
      <c r="BP393" s="78">
        <f t="shared" si="300"/>
        <v>2.4379999999999999E-2</v>
      </c>
      <c r="BQ393" s="78">
        <f t="shared" si="301"/>
        <v>2.4379999999999999E-2</v>
      </c>
      <c r="BR393" s="78">
        <f t="shared" si="302"/>
        <v>2.4379999999999999E-2</v>
      </c>
      <c r="BS393" s="77"/>
      <c r="BT393" s="77"/>
    </row>
    <row r="394" spans="1:72" ht="14.1" customHeight="1" x14ac:dyDescent="0.2">
      <c r="A394" s="55" t="str">
        <f t="shared" si="273"/>
        <v>GDS-2 (Small General Delivery)_Rider GER - Energy Efficiency Programs Charge</v>
      </c>
      <c r="B394" s="80" t="s">
        <v>669</v>
      </c>
      <c r="C394" s="71" t="s">
        <v>843</v>
      </c>
      <c r="D394" s="150"/>
      <c r="E394" s="81"/>
      <c r="F394" s="73" t="s">
        <v>649</v>
      </c>
      <c r="G394" s="73">
        <v>0</v>
      </c>
      <c r="H394" s="73">
        <v>6</v>
      </c>
      <c r="I394" s="74" t="s">
        <v>641</v>
      </c>
      <c r="J394" s="75" t="s">
        <v>634</v>
      </c>
      <c r="K394" s="74"/>
      <c r="L394" s="82">
        <v>7.4700000000000001E-3</v>
      </c>
      <c r="M394" s="138">
        <v>2.1329999999999998E-2</v>
      </c>
      <c r="N394" s="138">
        <v>2.1329999999999998E-2</v>
      </c>
      <c r="O394" s="138">
        <v>2.1329999999999998E-2</v>
      </c>
      <c r="P394" s="138">
        <v>2.1329999999999998E-2</v>
      </c>
      <c r="Q394" s="138">
        <v>2.1329999999999998E-2</v>
      </c>
      <c r="R394" s="138">
        <v>2.1329999999999998E-2</v>
      </c>
      <c r="S394" s="138">
        <v>2.1329999999999998E-2</v>
      </c>
      <c r="T394" s="138">
        <v>2.1329999999999998E-2</v>
      </c>
      <c r="U394" s="138">
        <v>2.1329999999999998E-2</v>
      </c>
      <c r="V394" s="138">
        <v>2.1329999999999998E-2</v>
      </c>
      <c r="W394" s="138">
        <v>2.1329999999999998E-2</v>
      </c>
      <c r="X394" s="138">
        <v>2.1329999999999998E-2</v>
      </c>
      <c r="Y394" s="138">
        <f t="shared" si="303"/>
        <v>2.1329999999999998E-2</v>
      </c>
      <c r="Z394" s="138">
        <f t="shared" si="304"/>
        <v>2.1329999999999998E-2</v>
      </c>
      <c r="AA394" s="138">
        <f t="shared" si="305"/>
        <v>2.1329999999999998E-2</v>
      </c>
      <c r="AB394" s="138">
        <f t="shared" si="306"/>
        <v>2.1329999999999998E-2</v>
      </c>
      <c r="AC394" s="138">
        <f t="shared" si="307"/>
        <v>2.1329999999999998E-2</v>
      </c>
      <c r="AD394" s="138">
        <f t="shared" si="308"/>
        <v>2.1329999999999998E-2</v>
      </c>
      <c r="AE394" s="138">
        <f t="shared" si="309"/>
        <v>2.1329999999999998E-2</v>
      </c>
      <c r="AF394" s="138">
        <f t="shared" si="310"/>
        <v>2.1329999999999998E-2</v>
      </c>
      <c r="AG394" s="138">
        <f t="shared" si="311"/>
        <v>2.1329999999999998E-2</v>
      </c>
      <c r="AH394" s="138">
        <f t="shared" si="312"/>
        <v>2.1329999999999998E-2</v>
      </c>
      <c r="AI394" s="138">
        <f t="shared" si="313"/>
        <v>2.1329999999999998E-2</v>
      </c>
      <c r="AJ394" s="138">
        <f t="shared" si="314"/>
        <v>2.1329999999999998E-2</v>
      </c>
      <c r="AK394" s="138">
        <f t="shared" si="315"/>
        <v>2.1329999999999998E-2</v>
      </c>
      <c r="AL394" s="138">
        <f t="shared" si="316"/>
        <v>2.1329999999999991E-2</v>
      </c>
      <c r="AM394" s="138">
        <f t="shared" si="317"/>
        <v>2.1330000000000002E-2</v>
      </c>
      <c r="AO394" s="77" t="str">
        <f t="shared" si="274"/>
        <v>GDS-2 (Small General Delivery)</v>
      </c>
      <c r="AP394" s="78" t="s">
        <v>670</v>
      </c>
      <c r="AQ394" s="77" t="str">
        <f t="shared" si="275"/>
        <v>Rider GER - Energy Efficiency Programs Charge</v>
      </c>
      <c r="AR394" s="78" t="str">
        <f t="shared" si="276"/>
        <v>Billing Cycle</v>
      </c>
      <c r="AS394" s="79">
        <f t="shared" si="277"/>
        <v>6</v>
      </c>
      <c r="AT394" s="78">
        <f t="shared" si="278"/>
        <v>0</v>
      </c>
      <c r="AU394" s="78">
        <f t="shared" si="279"/>
        <v>2.1329999999999998E-2</v>
      </c>
      <c r="AV394" s="78">
        <f t="shared" si="280"/>
        <v>2.1329999999999998E-2</v>
      </c>
      <c r="AW394" s="78">
        <f t="shared" si="281"/>
        <v>2.1329999999999998E-2</v>
      </c>
      <c r="AX394" s="78">
        <f t="shared" si="282"/>
        <v>2.1329999999999998E-2</v>
      </c>
      <c r="AY394" s="78">
        <f t="shared" si="283"/>
        <v>2.1329999999999998E-2</v>
      </c>
      <c r="AZ394" s="78">
        <f t="shared" si="284"/>
        <v>2.1329999999999998E-2</v>
      </c>
      <c r="BA394" s="78">
        <f t="shared" si="285"/>
        <v>2.1329999999999998E-2</v>
      </c>
      <c r="BB394" s="78">
        <f t="shared" si="286"/>
        <v>2.1329999999999998E-2</v>
      </c>
      <c r="BC394" s="78">
        <f t="shared" si="287"/>
        <v>2.1329999999999998E-2</v>
      </c>
      <c r="BD394" s="78">
        <f t="shared" si="288"/>
        <v>2.1329999999999998E-2</v>
      </c>
      <c r="BE394" s="78">
        <f t="shared" si="289"/>
        <v>2.1329999999999998E-2</v>
      </c>
      <c r="BF394" s="78">
        <f t="shared" si="290"/>
        <v>2.1329999999999998E-2</v>
      </c>
      <c r="BG394" s="78">
        <f t="shared" si="291"/>
        <v>2.1329999999999998E-2</v>
      </c>
      <c r="BH394" s="78">
        <f t="shared" si="292"/>
        <v>2.1329999999999998E-2</v>
      </c>
      <c r="BI394" s="78">
        <f t="shared" si="293"/>
        <v>2.1329999999999998E-2</v>
      </c>
      <c r="BJ394" s="78">
        <f t="shared" si="294"/>
        <v>2.1329999999999998E-2</v>
      </c>
      <c r="BK394" s="78">
        <f t="shared" si="295"/>
        <v>2.1329999999999998E-2</v>
      </c>
      <c r="BL394" s="78">
        <f t="shared" si="296"/>
        <v>2.1329999999999998E-2</v>
      </c>
      <c r="BM394" s="78">
        <f t="shared" si="297"/>
        <v>2.1329999999999998E-2</v>
      </c>
      <c r="BN394" s="78">
        <f t="shared" si="298"/>
        <v>2.1329999999999998E-2</v>
      </c>
      <c r="BO394" s="78">
        <f t="shared" si="299"/>
        <v>2.1329999999999998E-2</v>
      </c>
      <c r="BP394" s="78">
        <f t="shared" si="300"/>
        <v>2.1329999999999998E-2</v>
      </c>
      <c r="BQ394" s="78">
        <f t="shared" si="301"/>
        <v>2.1329999999999998E-2</v>
      </c>
      <c r="BR394" s="78">
        <f t="shared" si="302"/>
        <v>2.1329999999999998E-2</v>
      </c>
      <c r="BS394" s="77"/>
      <c r="BT394" s="77"/>
    </row>
    <row r="395" spans="1:72" ht="14.1" customHeight="1" x14ac:dyDescent="0.2">
      <c r="A395" s="55" t="str">
        <f t="shared" si="273"/>
        <v>GDS-3 (Intermediate General Delivery)_Rider GER - Energy Efficiency Programs Charge</v>
      </c>
      <c r="B395" s="80" t="s">
        <v>671</v>
      </c>
      <c r="C395" s="71" t="s">
        <v>843</v>
      </c>
      <c r="D395" s="150"/>
      <c r="E395" s="81"/>
      <c r="F395" s="73" t="s">
        <v>649</v>
      </c>
      <c r="G395" s="73">
        <v>0</v>
      </c>
      <c r="H395" s="73">
        <v>6</v>
      </c>
      <c r="I395" s="74" t="s">
        <v>641</v>
      </c>
      <c r="J395" s="75" t="s">
        <v>634</v>
      </c>
      <c r="K395" s="74"/>
      <c r="L395" s="82">
        <v>1.2579999999999999E-2</v>
      </c>
      <c r="M395" s="138">
        <v>2.0570000000000001E-2</v>
      </c>
      <c r="N395" s="138">
        <v>2.0570000000000001E-2</v>
      </c>
      <c r="O395" s="138">
        <v>2.0570000000000001E-2</v>
      </c>
      <c r="P395" s="138">
        <v>2.0570000000000001E-2</v>
      </c>
      <c r="Q395" s="138">
        <v>2.0570000000000001E-2</v>
      </c>
      <c r="R395" s="138">
        <v>2.0570000000000001E-2</v>
      </c>
      <c r="S395" s="138">
        <v>2.0570000000000001E-2</v>
      </c>
      <c r="T395" s="138">
        <v>2.0570000000000001E-2</v>
      </c>
      <c r="U395" s="138">
        <v>2.0570000000000001E-2</v>
      </c>
      <c r="V395" s="138">
        <v>2.0570000000000001E-2</v>
      </c>
      <c r="W395" s="138">
        <v>2.0570000000000001E-2</v>
      </c>
      <c r="X395" s="138">
        <v>2.0570000000000001E-2</v>
      </c>
      <c r="Y395" s="138">
        <f t="shared" si="303"/>
        <v>2.0570000000000001E-2</v>
      </c>
      <c r="Z395" s="138">
        <f t="shared" si="304"/>
        <v>2.0570000000000001E-2</v>
      </c>
      <c r="AA395" s="138">
        <f t="shared" si="305"/>
        <v>2.0570000000000001E-2</v>
      </c>
      <c r="AB395" s="138">
        <f t="shared" si="306"/>
        <v>2.0570000000000001E-2</v>
      </c>
      <c r="AC395" s="138">
        <f t="shared" si="307"/>
        <v>2.0570000000000001E-2</v>
      </c>
      <c r="AD395" s="138">
        <f t="shared" si="308"/>
        <v>2.0570000000000001E-2</v>
      </c>
      <c r="AE395" s="138">
        <f t="shared" si="309"/>
        <v>2.0570000000000001E-2</v>
      </c>
      <c r="AF395" s="138">
        <f t="shared" si="310"/>
        <v>2.0570000000000001E-2</v>
      </c>
      <c r="AG395" s="138">
        <f t="shared" si="311"/>
        <v>2.0570000000000001E-2</v>
      </c>
      <c r="AH395" s="138">
        <f t="shared" si="312"/>
        <v>2.0570000000000001E-2</v>
      </c>
      <c r="AI395" s="138">
        <f t="shared" si="313"/>
        <v>2.0570000000000001E-2</v>
      </c>
      <c r="AJ395" s="138">
        <f t="shared" si="314"/>
        <v>2.0570000000000001E-2</v>
      </c>
      <c r="AK395" s="138">
        <f t="shared" si="315"/>
        <v>2.0570000000000001E-2</v>
      </c>
      <c r="AL395" s="138">
        <f t="shared" si="316"/>
        <v>2.0570000000000001E-2</v>
      </c>
      <c r="AM395" s="138">
        <f t="shared" si="317"/>
        <v>2.0569999999999991E-2</v>
      </c>
      <c r="AO395" s="77" t="str">
        <f t="shared" si="274"/>
        <v>GDS-3 (Intermediate General Delivery)</v>
      </c>
      <c r="AP395" s="78" t="s">
        <v>672</v>
      </c>
      <c r="AQ395" s="77" t="str">
        <f t="shared" si="275"/>
        <v>Rider GER - Energy Efficiency Programs Charge</v>
      </c>
      <c r="AR395" s="78" t="str">
        <f t="shared" si="276"/>
        <v>Billing Cycle</v>
      </c>
      <c r="AS395" s="79">
        <f t="shared" si="277"/>
        <v>6</v>
      </c>
      <c r="AT395" s="78">
        <f t="shared" si="278"/>
        <v>0</v>
      </c>
      <c r="AU395" s="78">
        <f t="shared" si="279"/>
        <v>2.0570000000000001E-2</v>
      </c>
      <c r="AV395" s="78">
        <f t="shared" si="280"/>
        <v>2.0570000000000001E-2</v>
      </c>
      <c r="AW395" s="78">
        <f t="shared" si="281"/>
        <v>2.0570000000000001E-2</v>
      </c>
      <c r="AX395" s="78">
        <f t="shared" si="282"/>
        <v>2.0570000000000001E-2</v>
      </c>
      <c r="AY395" s="78">
        <f t="shared" si="283"/>
        <v>2.0570000000000001E-2</v>
      </c>
      <c r="AZ395" s="78">
        <f t="shared" si="284"/>
        <v>2.0570000000000001E-2</v>
      </c>
      <c r="BA395" s="78">
        <f t="shared" si="285"/>
        <v>2.0570000000000001E-2</v>
      </c>
      <c r="BB395" s="78">
        <f t="shared" si="286"/>
        <v>2.0570000000000001E-2</v>
      </c>
      <c r="BC395" s="78">
        <f t="shared" si="287"/>
        <v>2.0570000000000001E-2</v>
      </c>
      <c r="BD395" s="78">
        <f t="shared" si="288"/>
        <v>2.0570000000000001E-2</v>
      </c>
      <c r="BE395" s="78">
        <f t="shared" si="289"/>
        <v>2.0570000000000001E-2</v>
      </c>
      <c r="BF395" s="78">
        <f t="shared" si="290"/>
        <v>2.0570000000000001E-2</v>
      </c>
      <c r="BG395" s="78">
        <f t="shared" si="291"/>
        <v>2.0570000000000001E-2</v>
      </c>
      <c r="BH395" s="78">
        <f t="shared" si="292"/>
        <v>2.0570000000000001E-2</v>
      </c>
      <c r="BI395" s="78">
        <f t="shared" si="293"/>
        <v>2.0570000000000001E-2</v>
      </c>
      <c r="BJ395" s="78">
        <f t="shared" si="294"/>
        <v>2.0570000000000001E-2</v>
      </c>
      <c r="BK395" s="78">
        <f t="shared" si="295"/>
        <v>2.0570000000000001E-2</v>
      </c>
      <c r="BL395" s="78">
        <f t="shared" si="296"/>
        <v>2.0570000000000001E-2</v>
      </c>
      <c r="BM395" s="78">
        <f t="shared" si="297"/>
        <v>2.0570000000000001E-2</v>
      </c>
      <c r="BN395" s="78">
        <f t="shared" si="298"/>
        <v>2.0570000000000001E-2</v>
      </c>
      <c r="BO395" s="78">
        <f t="shared" si="299"/>
        <v>2.0570000000000001E-2</v>
      </c>
      <c r="BP395" s="78">
        <f t="shared" si="300"/>
        <v>2.0570000000000001E-2</v>
      </c>
      <c r="BQ395" s="78">
        <f t="shared" si="301"/>
        <v>2.0570000000000001E-2</v>
      </c>
      <c r="BR395" s="78">
        <f t="shared" si="302"/>
        <v>2.0570000000000001E-2</v>
      </c>
      <c r="BS395" s="77"/>
      <c r="BT395" s="77"/>
    </row>
    <row r="396" spans="1:72" ht="14.1" customHeight="1" x14ac:dyDescent="0.2">
      <c r="A396" s="55" t="str">
        <f t="shared" si="273"/>
        <v>GDS-4 (Large General Delivery)_Rider GER - Energy Efficiency Programs Charge</v>
      </c>
      <c r="B396" s="80" t="s">
        <v>673</v>
      </c>
      <c r="C396" s="71" t="s">
        <v>843</v>
      </c>
      <c r="D396" s="150"/>
      <c r="E396" s="81"/>
      <c r="F396" s="73" t="s">
        <v>649</v>
      </c>
      <c r="G396" s="73">
        <v>0</v>
      </c>
      <c r="H396" s="73">
        <v>6</v>
      </c>
      <c r="I396" s="74" t="s">
        <v>641</v>
      </c>
      <c r="J396" s="75" t="s">
        <v>634</v>
      </c>
      <c r="K396" s="74"/>
      <c r="L396" s="82">
        <v>2.1099999999999999E-3</v>
      </c>
      <c r="M396" s="138">
        <v>1.106E-2</v>
      </c>
      <c r="N396" s="138">
        <v>1.106E-2</v>
      </c>
      <c r="O396" s="138">
        <v>1.106E-2</v>
      </c>
      <c r="P396" s="138">
        <v>1.106E-2</v>
      </c>
      <c r="Q396" s="138">
        <v>1.106E-2</v>
      </c>
      <c r="R396" s="138">
        <v>1.106E-2</v>
      </c>
      <c r="S396" s="138">
        <v>1.106E-2</v>
      </c>
      <c r="T396" s="138">
        <v>1.106E-2</v>
      </c>
      <c r="U396" s="138">
        <v>1.106E-2</v>
      </c>
      <c r="V396" s="138">
        <v>1.106E-2</v>
      </c>
      <c r="W396" s="138">
        <v>1.106E-2</v>
      </c>
      <c r="X396" s="138">
        <v>1.106E-2</v>
      </c>
      <c r="Y396" s="138">
        <f t="shared" si="303"/>
        <v>1.106E-2</v>
      </c>
      <c r="Z396" s="138">
        <f t="shared" si="304"/>
        <v>1.106E-2</v>
      </c>
      <c r="AA396" s="138">
        <f t="shared" si="305"/>
        <v>1.106E-2</v>
      </c>
      <c r="AB396" s="138">
        <f t="shared" si="306"/>
        <v>1.106E-2</v>
      </c>
      <c r="AC396" s="138">
        <f t="shared" si="307"/>
        <v>1.106E-2</v>
      </c>
      <c r="AD396" s="138">
        <f t="shared" si="308"/>
        <v>1.106E-2</v>
      </c>
      <c r="AE396" s="138">
        <f t="shared" si="309"/>
        <v>1.106E-2</v>
      </c>
      <c r="AF396" s="138">
        <f t="shared" si="310"/>
        <v>1.106E-2</v>
      </c>
      <c r="AG396" s="138">
        <f t="shared" si="311"/>
        <v>1.106E-2</v>
      </c>
      <c r="AH396" s="138">
        <f t="shared" si="312"/>
        <v>1.106E-2</v>
      </c>
      <c r="AI396" s="138">
        <f t="shared" si="313"/>
        <v>1.106E-2</v>
      </c>
      <c r="AJ396" s="138">
        <f t="shared" si="314"/>
        <v>1.106E-2</v>
      </c>
      <c r="AK396" s="138">
        <f t="shared" si="315"/>
        <v>1.106E-2</v>
      </c>
      <c r="AL396" s="138">
        <f t="shared" si="316"/>
        <v>1.106E-2</v>
      </c>
      <c r="AM396" s="138">
        <f t="shared" si="317"/>
        <v>1.1060000000000007E-2</v>
      </c>
      <c r="AO396" s="77" t="str">
        <f t="shared" si="274"/>
        <v>GDS-4 (Large General Delivery)</v>
      </c>
      <c r="AP396" s="78" t="s">
        <v>674</v>
      </c>
      <c r="AQ396" s="77" t="str">
        <f t="shared" si="275"/>
        <v>Rider GER - Energy Efficiency Programs Charge</v>
      </c>
      <c r="AR396" s="78" t="str">
        <f t="shared" si="276"/>
        <v>Billing Cycle</v>
      </c>
      <c r="AS396" s="79">
        <f t="shared" si="277"/>
        <v>6</v>
      </c>
      <c r="AT396" s="78">
        <f t="shared" si="278"/>
        <v>0</v>
      </c>
      <c r="AU396" s="78">
        <f t="shared" si="279"/>
        <v>1.106E-2</v>
      </c>
      <c r="AV396" s="78">
        <f t="shared" si="280"/>
        <v>1.106E-2</v>
      </c>
      <c r="AW396" s="78">
        <f t="shared" si="281"/>
        <v>1.106E-2</v>
      </c>
      <c r="AX396" s="78">
        <f t="shared" si="282"/>
        <v>1.106E-2</v>
      </c>
      <c r="AY396" s="78">
        <f t="shared" si="283"/>
        <v>1.106E-2</v>
      </c>
      <c r="AZ396" s="78">
        <f t="shared" si="284"/>
        <v>1.106E-2</v>
      </c>
      <c r="BA396" s="78">
        <f t="shared" si="285"/>
        <v>1.106E-2</v>
      </c>
      <c r="BB396" s="78">
        <f t="shared" si="286"/>
        <v>1.106E-2</v>
      </c>
      <c r="BC396" s="78">
        <f t="shared" si="287"/>
        <v>1.106E-2</v>
      </c>
      <c r="BD396" s="78">
        <f t="shared" si="288"/>
        <v>1.106E-2</v>
      </c>
      <c r="BE396" s="78">
        <f t="shared" si="289"/>
        <v>1.106E-2</v>
      </c>
      <c r="BF396" s="78">
        <f t="shared" si="290"/>
        <v>1.106E-2</v>
      </c>
      <c r="BG396" s="78">
        <f t="shared" si="291"/>
        <v>1.106E-2</v>
      </c>
      <c r="BH396" s="78">
        <f t="shared" si="292"/>
        <v>1.106E-2</v>
      </c>
      <c r="BI396" s="78">
        <f t="shared" si="293"/>
        <v>1.106E-2</v>
      </c>
      <c r="BJ396" s="78">
        <f t="shared" si="294"/>
        <v>1.106E-2</v>
      </c>
      <c r="BK396" s="78">
        <f t="shared" si="295"/>
        <v>1.106E-2</v>
      </c>
      <c r="BL396" s="78">
        <f t="shared" si="296"/>
        <v>1.106E-2</v>
      </c>
      <c r="BM396" s="78">
        <f t="shared" si="297"/>
        <v>1.106E-2</v>
      </c>
      <c r="BN396" s="78">
        <f t="shared" si="298"/>
        <v>1.106E-2</v>
      </c>
      <c r="BO396" s="78">
        <f t="shared" si="299"/>
        <v>1.106E-2</v>
      </c>
      <c r="BP396" s="78">
        <f t="shared" si="300"/>
        <v>1.106E-2</v>
      </c>
      <c r="BQ396" s="78">
        <f t="shared" si="301"/>
        <v>1.106E-2</v>
      </c>
      <c r="BR396" s="78">
        <f t="shared" si="302"/>
        <v>1.106E-2</v>
      </c>
      <c r="BS396" s="77"/>
      <c r="BT396" s="77"/>
    </row>
    <row r="397" spans="1:72" ht="14.1" customHeight="1" x14ac:dyDescent="0.2">
      <c r="A397" s="55" t="str">
        <f t="shared" si="273"/>
        <v>GDS-5 (Seasonal)_Rider GER - Energy Efficiency Programs Charge</v>
      </c>
      <c r="B397" s="80" t="s">
        <v>675</v>
      </c>
      <c r="C397" s="71" t="s">
        <v>843</v>
      </c>
      <c r="D397" s="150"/>
      <c r="E397" s="81"/>
      <c r="F397" s="73" t="s">
        <v>649</v>
      </c>
      <c r="G397" s="73">
        <v>0</v>
      </c>
      <c r="H397" s="73">
        <v>6</v>
      </c>
      <c r="I397" s="74" t="s">
        <v>641</v>
      </c>
      <c r="J397" s="75" t="s">
        <v>634</v>
      </c>
      <c r="K397" s="74"/>
      <c r="L397" s="82">
        <v>2.1099999999999999E-3</v>
      </c>
      <c r="M397" s="138">
        <v>1.106E-2</v>
      </c>
      <c r="N397" s="138">
        <v>1.106E-2</v>
      </c>
      <c r="O397" s="138">
        <v>1.106E-2</v>
      </c>
      <c r="P397" s="138">
        <v>1.106E-2</v>
      </c>
      <c r="Q397" s="138">
        <v>1.106E-2</v>
      </c>
      <c r="R397" s="138">
        <v>1.106E-2</v>
      </c>
      <c r="S397" s="138">
        <v>1.106E-2</v>
      </c>
      <c r="T397" s="138">
        <v>1.106E-2</v>
      </c>
      <c r="U397" s="138">
        <v>1.106E-2</v>
      </c>
      <c r="V397" s="138">
        <v>1.106E-2</v>
      </c>
      <c r="W397" s="138">
        <v>1.106E-2</v>
      </c>
      <c r="X397" s="138">
        <v>1.106E-2</v>
      </c>
      <c r="Y397" s="138">
        <f t="shared" si="303"/>
        <v>1.106E-2</v>
      </c>
      <c r="Z397" s="138">
        <f t="shared" si="304"/>
        <v>1.106E-2</v>
      </c>
      <c r="AA397" s="138">
        <f t="shared" si="305"/>
        <v>1.106E-2</v>
      </c>
      <c r="AB397" s="138">
        <f t="shared" si="306"/>
        <v>1.106E-2</v>
      </c>
      <c r="AC397" s="138">
        <f t="shared" si="307"/>
        <v>1.106E-2</v>
      </c>
      <c r="AD397" s="138">
        <f t="shared" si="308"/>
        <v>1.106E-2</v>
      </c>
      <c r="AE397" s="138">
        <f t="shared" si="309"/>
        <v>1.106E-2</v>
      </c>
      <c r="AF397" s="138">
        <f t="shared" si="310"/>
        <v>1.106E-2</v>
      </c>
      <c r="AG397" s="138">
        <f t="shared" si="311"/>
        <v>1.106E-2</v>
      </c>
      <c r="AH397" s="138">
        <f t="shared" si="312"/>
        <v>1.106E-2</v>
      </c>
      <c r="AI397" s="138">
        <f t="shared" si="313"/>
        <v>1.106E-2</v>
      </c>
      <c r="AJ397" s="138">
        <f t="shared" si="314"/>
        <v>1.106E-2</v>
      </c>
      <c r="AK397" s="138">
        <f t="shared" si="315"/>
        <v>1.106E-2</v>
      </c>
      <c r="AL397" s="138">
        <f t="shared" si="316"/>
        <v>1.106E-2</v>
      </c>
      <c r="AM397" s="138">
        <f t="shared" si="317"/>
        <v>1.1060000000000007E-2</v>
      </c>
      <c r="AO397" s="77" t="str">
        <f t="shared" si="274"/>
        <v>GDS-5 (Seasonal)</v>
      </c>
      <c r="AP397" s="78" t="s">
        <v>676</v>
      </c>
      <c r="AQ397" s="77" t="str">
        <f t="shared" si="275"/>
        <v>Rider GER - Energy Efficiency Programs Charge</v>
      </c>
      <c r="AR397" s="78" t="str">
        <f t="shared" si="276"/>
        <v>Billing Cycle</v>
      </c>
      <c r="AS397" s="79">
        <f t="shared" si="277"/>
        <v>6</v>
      </c>
      <c r="AT397" s="78">
        <f t="shared" si="278"/>
        <v>0</v>
      </c>
      <c r="AU397" s="78">
        <f t="shared" si="279"/>
        <v>1.106E-2</v>
      </c>
      <c r="AV397" s="78">
        <f t="shared" si="280"/>
        <v>1.106E-2</v>
      </c>
      <c r="AW397" s="78">
        <f t="shared" si="281"/>
        <v>1.106E-2</v>
      </c>
      <c r="AX397" s="78">
        <f t="shared" si="282"/>
        <v>1.106E-2</v>
      </c>
      <c r="AY397" s="78">
        <f t="shared" si="283"/>
        <v>1.106E-2</v>
      </c>
      <c r="AZ397" s="78">
        <f t="shared" si="284"/>
        <v>1.106E-2</v>
      </c>
      <c r="BA397" s="78">
        <f t="shared" si="285"/>
        <v>1.106E-2</v>
      </c>
      <c r="BB397" s="78">
        <f t="shared" si="286"/>
        <v>1.106E-2</v>
      </c>
      <c r="BC397" s="78">
        <f t="shared" si="287"/>
        <v>1.106E-2</v>
      </c>
      <c r="BD397" s="78">
        <f t="shared" si="288"/>
        <v>1.106E-2</v>
      </c>
      <c r="BE397" s="78">
        <f t="shared" si="289"/>
        <v>1.106E-2</v>
      </c>
      <c r="BF397" s="78">
        <f t="shared" si="290"/>
        <v>1.106E-2</v>
      </c>
      <c r="BG397" s="78">
        <f t="shared" si="291"/>
        <v>1.106E-2</v>
      </c>
      <c r="BH397" s="78">
        <f t="shared" si="292"/>
        <v>1.106E-2</v>
      </c>
      <c r="BI397" s="78">
        <f t="shared" si="293"/>
        <v>1.106E-2</v>
      </c>
      <c r="BJ397" s="78">
        <f t="shared" si="294"/>
        <v>1.106E-2</v>
      </c>
      <c r="BK397" s="78">
        <f t="shared" si="295"/>
        <v>1.106E-2</v>
      </c>
      <c r="BL397" s="78">
        <f t="shared" si="296"/>
        <v>1.106E-2</v>
      </c>
      <c r="BM397" s="78">
        <f t="shared" si="297"/>
        <v>1.106E-2</v>
      </c>
      <c r="BN397" s="78">
        <f t="shared" si="298"/>
        <v>1.106E-2</v>
      </c>
      <c r="BO397" s="78">
        <f t="shared" si="299"/>
        <v>1.106E-2</v>
      </c>
      <c r="BP397" s="78">
        <f t="shared" si="300"/>
        <v>1.106E-2</v>
      </c>
      <c r="BQ397" s="78">
        <f t="shared" si="301"/>
        <v>1.106E-2</v>
      </c>
      <c r="BR397" s="78">
        <f t="shared" si="302"/>
        <v>1.106E-2</v>
      </c>
      <c r="BS397" s="77"/>
      <c r="BT397" s="77"/>
    </row>
    <row r="398" spans="1:72" ht="14.1" customHeight="1" x14ac:dyDescent="0.2">
      <c r="A398" s="55" t="str">
        <f t="shared" si="273"/>
        <v>GDS-6 (Inadequate Capacity)_Rider GER - Energy Efficiency Programs Charge</v>
      </c>
      <c r="B398" s="80" t="s">
        <v>700</v>
      </c>
      <c r="C398" s="71" t="s">
        <v>843</v>
      </c>
      <c r="D398" s="150"/>
      <c r="E398" s="81"/>
      <c r="F398" s="73" t="s">
        <v>649</v>
      </c>
      <c r="G398" s="73">
        <v>0</v>
      </c>
      <c r="H398" s="73">
        <v>6</v>
      </c>
      <c r="I398" s="74" t="s">
        <v>641</v>
      </c>
      <c r="J398" s="75" t="s">
        <v>634</v>
      </c>
      <c r="K398" s="74"/>
      <c r="L398" s="82">
        <v>2.1099999999999999E-3</v>
      </c>
      <c r="M398" s="138">
        <v>1.106E-2</v>
      </c>
      <c r="N398" s="138">
        <v>1.106E-2</v>
      </c>
      <c r="O398" s="138">
        <v>1.106E-2</v>
      </c>
      <c r="P398" s="138">
        <v>1.106E-2</v>
      </c>
      <c r="Q398" s="138">
        <v>1.106E-2</v>
      </c>
      <c r="R398" s="138">
        <v>1.106E-2</v>
      </c>
      <c r="S398" s="138">
        <v>1.106E-2</v>
      </c>
      <c r="T398" s="138">
        <v>1.106E-2</v>
      </c>
      <c r="U398" s="138">
        <v>1.106E-2</v>
      </c>
      <c r="V398" s="138">
        <v>1.106E-2</v>
      </c>
      <c r="W398" s="138">
        <v>1.106E-2</v>
      </c>
      <c r="X398" s="138">
        <v>1.106E-2</v>
      </c>
      <c r="Y398" s="138">
        <f t="shared" si="303"/>
        <v>1.106E-2</v>
      </c>
      <c r="Z398" s="138">
        <f t="shared" si="304"/>
        <v>1.106E-2</v>
      </c>
      <c r="AA398" s="138">
        <f t="shared" si="305"/>
        <v>1.106E-2</v>
      </c>
      <c r="AB398" s="138">
        <f t="shared" si="306"/>
        <v>1.106E-2</v>
      </c>
      <c r="AC398" s="138">
        <f t="shared" si="307"/>
        <v>1.106E-2</v>
      </c>
      <c r="AD398" s="138">
        <f t="shared" si="308"/>
        <v>1.106E-2</v>
      </c>
      <c r="AE398" s="138">
        <f t="shared" si="309"/>
        <v>1.106E-2</v>
      </c>
      <c r="AF398" s="138">
        <f t="shared" si="310"/>
        <v>1.106E-2</v>
      </c>
      <c r="AG398" s="138">
        <f t="shared" si="311"/>
        <v>1.106E-2</v>
      </c>
      <c r="AH398" s="138">
        <f t="shared" si="312"/>
        <v>1.106E-2</v>
      </c>
      <c r="AI398" s="138">
        <f t="shared" si="313"/>
        <v>1.106E-2</v>
      </c>
      <c r="AJ398" s="138">
        <f t="shared" si="314"/>
        <v>1.106E-2</v>
      </c>
      <c r="AK398" s="138">
        <f t="shared" si="315"/>
        <v>1.106E-2</v>
      </c>
      <c r="AL398" s="138">
        <f t="shared" si="316"/>
        <v>1.106E-2</v>
      </c>
      <c r="AM398" s="138">
        <f t="shared" si="317"/>
        <v>1.1060000000000007E-2</v>
      </c>
      <c r="AO398" s="77" t="str">
        <f t="shared" si="274"/>
        <v>GDS-6 (Inadequate Capacity)</v>
      </c>
      <c r="AP398" s="78" t="s">
        <v>701</v>
      </c>
      <c r="AQ398" s="77" t="str">
        <f t="shared" si="275"/>
        <v>Rider GER - Energy Efficiency Programs Charge</v>
      </c>
      <c r="AR398" s="78" t="str">
        <f t="shared" si="276"/>
        <v>Billing Cycle</v>
      </c>
      <c r="AS398" s="79">
        <f t="shared" si="277"/>
        <v>6</v>
      </c>
      <c r="AT398" s="78">
        <f t="shared" si="278"/>
        <v>0</v>
      </c>
      <c r="AU398" s="78">
        <f t="shared" si="279"/>
        <v>1.106E-2</v>
      </c>
      <c r="AV398" s="78">
        <f t="shared" si="280"/>
        <v>1.106E-2</v>
      </c>
      <c r="AW398" s="78">
        <f t="shared" si="281"/>
        <v>1.106E-2</v>
      </c>
      <c r="AX398" s="78">
        <f t="shared" si="282"/>
        <v>1.106E-2</v>
      </c>
      <c r="AY398" s="78">
        <f t="shared" si="283"/>
        <v>1.106E-2</v>
      </c>
      <c r="AZ398" s="78">
        <f t="shared" si="284"/>
        <v>1.106E-2</v>
      </c>
      <c r="BA398" s="78">
        <f t="shared" si="285"/>
        <v>1.106E-2</v>
      </c>
      <c r="BB398" s="78">
        <f t="shared" si="286"/>
        <v>1.106E-2</v>
      </c>
      <c r="BC398" s="78">
        <f t="shared" si="287"/>
        <v>1.106E-2</v>
      </c>
      <c r="BD398" s="78">
        <f t="shared" si="288"/>
        <v>1.106E-2</v>
      </c>
      <c r="BE398" s="78">
        <f t="shared" si="289"/>
        <v>1.106E-2</v>
      </c>
      <c r="BF398" s="78">
        <f t="shared" si="290"/>
        <v>1.106E-2</v>
      </c>
      <c r="BG398" s="78">
        <f t="shared" si="291"/>
        <v>1.106E-2</v>
      </c>
      <c r="BH398" s="78">
        <f t="shared" si="292"/>
        <v>1.106E-2</v>
      </c>
      <c r="BI398" s="78">
        <f t="shared" si="293"/>
        <v>1.106E-2</v>
      </c>
      <c r="BJ398" s="78">
        <f t="shared" si="294"/>
        <v>1.106E-2</v>
      </c>
      <c r="BK398" s="78">
        <f t="shared" si="295"/>
        <v>1.106E-2</v>
      </c>
      <c r="BL398" s="78">
        <f t="shared" si="296"/>
        <v>1.106E-2</v>
      </c>
      <c r="BM398" s="78">
        <f t="shared" si="297"/>
        <v>1.106E-2</v>
      </c>
      <c r="BN398" s="78">
        <f t="shared" si="298"/>
        <v>1.106E-2</v>
      </c>
      <c r="BO398" s="78">
        <f t="shared" si="299"/>
        <v>1.106E-2</v>
      </c>
      <c r="BP398" s="78">
        <f t="shared" si="300"/>
        <v>1.106E-2</v>
      </c>
      <c r="BQ398" s="78">
        <f t="shared" si="301"/>
        <v>1.106E-2</v>
      </c>
      <c r="BR398" s="78">
        <f t="shared" si="302"/>
        <v>1.106E-2</v>
      </c>
      <c r="BS398" s="77"/>
      <c r="BT398" s="77"/>
    </row>
    <row r="399" spans="1:72" ht="14.1" customHeight="1" x14ac:dyDescent="0.2">
      <c r="A399" s="55" t="str">
        <f t="shared" si="273"/>
        <v>GDS-1 (Residential)_Rider GUA - DS (All Cust)</v>
      </c>
      <c r="B399" s="80" t="s">
        <v>95</v>
      </c>
      <c r="C399" s="83" t="s">
        <v>844</v>
      </c>
      <c r="D399" s="150" t="s">
        <v>557</v>
      </c>
      <c r="E399" s="81"/>
      <c r="F399" s="73" t="s">
        <v>649</v>
      </c>
      <c r="G399" s="73">
        <v>0</v>
      </c>
      <c r="H399" s="73">
        <v>6</v>
      </c>
      <c r="I399" s="74" t="s">
        <v>641</v>
      </c>
      <c r="J399" s="75" t="s">
        <v>634</v>
      </c>
      <c r="K399" s="74"/>
      <c r="L399" s="82">
        <v>0.23</v>
      </c>
      <c r="M399" s="138">
        <v>0.23</v>
      </c>
      <c r="N399" s="138">
        <v>0.23</v>
      </c>
      <c r="O399" s="138">
        <v>0.23</v>
      </c>
      <c r="P399" s="138">
        <v>0.23</v>
      </c>
      <c r="Q399" s="138">
        <v>0.23</v>
      </c>
      <c r="R399" s="138">
        <v>0.38</v>
      </c>
      <c r="S399" s="138">
        <v>0.38</v>
      </c>
      <c r="T399" s="138">
        <v>0.38</v>
      </c>
      <c r="U399" s="138">
        <v>0.38</v>
      </c>
      <c r="V399" s="138">
        <v>0.38</v>
      </c>
      <c r="W399" s="138">
        <v>0.38</v>
      </c>
      <c r="X399" s="138">
        <v>0.38</v>
      </c>
      <c r="Y399" s="138">
        <f t="shared" si="303"/>
        <v>0.38</v>
      </c>
      <c r="Z399" s="138">
        <f t="shared" si="304"/>
        <v>0.38</v>
      </c>
      <c r="AA399" s="138">
        <f t="shared" si="305"/>
        <v>0.38</v>
      </c>
      <c r="AB399" s="138">
        <f t="shared" si="306"/>
        <v>0.38</v>
      </c>
      <c r="AC399" s="138">
        <f t="shared" si="307"/>
        <v>0.38</v>
      </c>
      <c r="AD399" s="138">
        <f t="shared" si="308"/>
        <v>0.38</v>
      </c>
      <c r="AE399" s="138">
        <f t="shared" si="309"/>
        <v>0.38</v>
      </c>
      <c r="AF399" s="138">
        <f t="shared" si="310"/>
        <v>0.38</v>
      </c>
      <c r="AG399" s="138">
        <f t="shared" si="311"/>
        <v>0.38</v>
      </c>
      <c r="AH399" s="138">
        <f t="shared" si="312"/>
        <v>0.38</v>
      </c>
      <c r="AI399" s="138">
        <f t="shared" si="313"/>
        <v>0.38</v>
      </c>
      <c r="AJ399" s="138">
        <f t="shared" si="314"/>
        <v>0.38</v>
      </c>
      <c r="AK399" s="138">
        <f t="shared" si="315"/>
        <v>0.38</v>
      </c>
      <c r="AL399" s="138">
        <f t="shared" si="316"/>
        <v>0.37999999999999995</v>
      </c>
      <c r="AM399" s="138">
        <f t="shared" si="317"/>
        <v>0.35499999999999998</v>
      </c>
      <c r="AO399" s="77" t="str">
        <f t="shared" si="274"/>
        <v>GDS-1 (Residential)</v>
      </c>
      <c r="AP399" s="78" t="s">
        <v>668</v>
      </c>
      <c r="AQ399" s="77" t="str">
        <f t="shared" si="275"/>
        <v>Rider GUA - DS (All Cust)</v>
      </c>
      <c r="AR399" s="78" t="str">
        <f t="shared" si="276"/>
        <v>Billing Cycle</v>
      </c>
      <c r="AS399" s="79">
        <f t="shared" si="277"/>
        <v>6</v>
      </c>
      <c r="AT399" s="78">
        <f t="shared" si="278"/>
        <v>0</v>
      </c>
      <c r="AU399" s="78">
        <f t="shared" si="279"/>
        <v>0.23</v>
      </c>
      <c r="AV399" s="78">
        <f t="shared" si="280"/>
        <v>0.23</v>
      </c>
      <c r="AW399" s="78">
        <f t="shared" si="281"/>
        <v>0.23</v>
      </c>
      <c r="AX399" s="78">
        <f t="shared" si="282"/>
        <v>0.23</v>
      </c>
      <c r="AY399" s="78">
        <f t="shared" si="283"/>
        <v>0.23</v>
      </c>
      <c r="AZ399" s="78">
        <f t="shared" si="284"/>
        <v>0.38</v>
      </c>
      <c r="BA399" s="78">
        <f t="shared" si="285"/>
        <v>0.38</v>
      </c>
      <c r="BB399" s="78">
        <f t="shared" si="286"/>
        <v>0.38</v>
      </c>
      <c r="BC399" s="78">
        <f t="shared" si="287"/>
        <v>0.38</v>
      </c>
      <c r="BD399" s="78">
        <f t="shared" si="288"/>
        <v>0.38</v>
      </c>
      <c r="BE399" s="78">
        <f t="shared" si="289"/>
        <v>0.38</v>
      </c>
      <c r="BF399" s="78">
        <f t="shared" si="290"/>
        <v>0.38</v>
      </c>
      <c r="BG399" s="78">
        <f t="shared" si="291"/>
        <v>0.38</v>
      </c>
      <c r="BH399" s="78">
        <f t="shared" si="292"/>
        <v>0.38</v>
      </c>
      <c r="BI399" s="78">
        <f t="shared" si="293"/>
        <v>0.38</v>
      </c>
      <c r="BJ399" s="78">
        <f t="shared" si="294"/>
        <v>0.38</v>
      </c>
      <c r="BK399" s="78">
        <f t="shared" si="295"/>
        <v>0.38</v>
      </c>
      <c r="BL399" s="78">
        <f t="shared" si="296"/>
        <v>0.38</v>
      </c>
      <c r="BM399" s="78">
        <f t="shared" si="297"/>
        <v>0.38</v>
      </c>
      <c r="BN399" s="78">
        <f t="shared" si="298"/>
        <v>0.38</v>
      </c>
      <c r="BO399" s="78">
        <f t="shared" si="299"/>
        <v>0.38</v>
      </c>
      <c r="BP399" s="78">
        <f t="shared" si="300"/>
        <v>0.38</v>
      </c>
      <c r="BQ399" s="78">
        <f t="shared" si="301"/>
        <v>0.38</v>
      </c>
      <c r="BR399" s="78">
        <f t="shared" si="302"/>
        <v>0.38</v>
      </c>
      <c r="BS399" s="77"/>
      <c r="BT399" s="77"/>
    </row>
    <row r="400" spans="1:72" ht="14.1" customHeight="1" x14ac:dyDescent="0.2">
      <c r="A400" s="55" t="str">
        <f t="shared" si="273"/>
        <v>GDS-2 (Small General Delivery)_Rider GUA - DS (All Cust)</v>
      </c>
      <c r="B400" s="80" t="s">
        <v>669</v>
      </c>
      <c r="C400" s="83" t="s">
        <v>844</v>
      </c>
      <c r="D400" s="150"/>
      <c r="E400" s="81"/>
      <c r="F400" s="73" t="s">
        <v>649</v>
      </c>
      <c r="G400" s="73">
        <v>0</v>
      </c>
      <c r="H400" s="73">
        <v>6</v>
      </c>
      <c r="I400" s="74" t="s">
        <v>641</v>
      </c>
      <c r="J400" s="75" t="s">
        <v>634</v>
      </c>
      <c r="K400" s="74"/>
      <c r="L400" s="82">
        <v>0.56999999999999995</v>
      </c>
      <c r="M400" s="138">
        <v>0.56999999999999995</v>
      </c>
      <c r="N400" s="138">
        <v>0.56999999999999995</v>
      </c>
      <c r="O400" s="138">
        <v>0.56999999999999995</v>
      </c>
      <c r="P400" s="138">
        <v>0.56999999999999995</v>
      </c>
      <c r="Q400" s="138">
        <v>0.56999999999999995</v>
      </c>
      <c r="R400" s="138">
        <v>0.32</v>
      </c>
      <c r="S400" s="138">
        <v>0.32</v>
      </c>
      <c r="T400" s="138">
        <v>0.32</v>
      </c>
      <c r="U400" s="138">
        <v>0.32</v>
      </c>
      <c r="V400" s="138">
        <v>0.32</v>
      </c>
      <c r="W400" s="138">
        <v>0.32</v>
      </c>
      <c r="X400" s="138">
        <v>0.32</v>
      </c>
      <c r="Y400" s="138">
        <f t="shared" si="303"/>
        <v>0.32</v>
      </c>
      <c r="Z400" s="138">
        <f t="shared" si="304"/>
        <v>0.32</v>
      </c>
      <c r="AA400" s="138">
        <f t="shared" si="305"/>
        <v>0.32</v>
      </c>
      <c r="AB400" s="138">
        <f t="shared" si="306"/>
        <v>0.32</v>
      </c>
      <c r="AC400" s="138">
        <f t="shared" si="307"/>
        <v>0.32</v>
      </c>
      <c r="AD400" s="138">
        <f t="shared" si="308"/>
        <v>0.32</v>
      </c>
      <c r="AE400" s="138">
        <f t="shared" si="309"/>
        <v>0.32</v>
      </c>
      <c r="AF400" s="138">
        <f t="shared" si="310"/>
        <v>0.32</v>
      </c>
      <c r="AG400" s="138">
        <f t="shared" si="311"/>
        <v>0.32</v>
      </c>
      <c r="AH400" s="138">
        <f t="shared" si="312"/>
        <v>0.32</v>
      </c>
      <c r="AI400" s="138">
        <f t="shared" si="313"/>
        <v>0.32</v>
      </c>
      <c r="AJ400" s="138">
        <f t="shared" si="314"/>
        <v>0.32</v>
      </c>
      <c r="AK400" s="138">
        <f t="shared" si="315"/>
        <v>0.32</v>
      </c>
      <c r="AL400" s="138">
        <f t="shared" si="316"/>
        <v>0.31999999999999995</v>
      </c>
      <c r="AM400" s="138">
        <f t="shared" si="317"/>
        <v>0.3616666666666668</v>
      </c>
      <c r="AO400" s="77" t="str">
        <f t="shared" si="274"/>
        <v>GDS-2 (Small General Delivery)</v>
      </c>
      <c r="AP400" s="78" t="s">
        <v>670</v>
      </c>
      <c r="AQ400" s="77" t="str">
        <f t="shared" si="275"/>
        <v>Rider GUA - DS (All Cust)</v>
      </c>
      <c r="AR400" s="78" t="str">
        <f t="shared" si="276"/>
        <v>Billing Cycle</v>
      </c>
      <c r="AS400" s="79">
        <f t="shared" si="277"/>
        <v>6</v>
      </c>
      <c r="AT400" s="78">
        <f t="shared" si="278"/>
        <v>1</v>
      </c>
      <c r="AU400" s="78">
        <f t="shared" si="279"/>
        <v>0.56999999999999995</v>
      </c>
      <c r="AV400" s="78">
        <f t="shared" si="280"/>
        <v>0.56999999999999995</v>
      </c>
      <c r="AW400" s="78">
        <f t="shared" si="281"/>
        <v>0.56999999999999995</v>
      </c>
      <c r="AX400" s="78">
        <f t="shared" si="282"/>
        <v>0.56999999999999995</v>
      </c>
      <c r="AY400" s="78">
        <f t="shared" si="283"/>
        <v>0.56999999999999995</v>
      </c>
      <c r="AZ400" s="78">
        <f t="shared" si="284"/>
        <v>0.32</v>
      </c>
      <c r="BA400" s="78">
        <f t="shared" si="285"/>
        <v>0.32</v>
      </c>
      <c r="BB400" s="78">
        <f t="shared" si="286"/>
        <v>0.32</v>
      </c>
      <c r="BC400" s="78">
        <f t="shared" si="287"/>
        <v>0.32</v>
      </c>
      <c r="BD400" s="78">
        <f t="shared" si="288"/>
        <v>0.32</v>
      </c>
      <c r="BE400" s="78">
        <f t="shared" si="289"/>
        <v>0.32</v>
      </c>
      <c r="BF400" s="78">
        <f t="shared" si="290"/>
        <v>0.32</v>
      </c>
      <c r="BG400" s="78">
        <f t="shared" si="291"/>
        <v>0.32</v>
      </c>
      <c r="BH400" s="78">
        <f t="shared" si="292"/>
        <v>0.32</v>
      </c>
      <c r="BI400" s="78">
        <f t="shared" si="293"/>
        <v>0.32</v>
      </c>
      <c r="BJ400" s="78">
        <f t="shared" si="294"/>
        <v>0.32</v>
      </c>
      <c r="BK400" s="78">
        <f t="shared" si="295"/>
        <v>0.32</v>
      </c>
      <c r="BL400" s="78">
        <f t="shared" si="296"/>
        <v>0.32</v>
      </c>
      <c r="BM400" s="78">
        <f t="shared" si="297"/>
        <v>0.32</v>
      </c>
      <c r="BN400" s="78">
        <f t="shared" si="298"/>
        <v>0.32</v>
      </c>
      <c r="BO400" s="78">
        <f t="shared" si="299"/>
        <v>0.32</v>
      </c>
      <c r="BP400" s="78">
        <f t="shared" si="300"/>
        <v>0.32</v>
      </c>
      <c r="BQ400" s="78">
        <f t="shared" si="301"/>
        <v>0.32</v>
      </c>
      <c r="BR400" s="78">
        <f t="shared" si="302"/>
        <v>0.32</v>
      </c>
      <c r="BS400" s="77"/>
      <c r="BT400" s="77"/>
    </row>
    <row r="401" spans="1:72" ht="14.1" customHeight="1" x14ac:dyDescent="0.2">
      <c r="A401" s="55" t="str">
        <f t="shared" si="273"/>
        <v>GDS-3 (Intermediate General Delivery)_Rider GUA - DS (All Cust)</v>
      </c>
      <c r="B401" s="80" t="s">
        <v>671</v>
      </c>
      <c r="C401" s="83" t="s">
        <v>844</v>
      </c>
      <c r="D401" s="150"/>
      <c r="E401" s="81"/>
      <c r="F401" s="73" t="s">
        <v>649</v>
      </c>
      <c r="G401" s="73">
        <v>0</v>
      </c>
      <c r="H401" s="73">
        <v>6</v>
      </c>
      <c r="I401" s="74" t="s">
        <v>641</v>
      </c>
      <c r="J401" s="75" t="s">
        <v>634</v>
      </c>
      <c r="K401" s="74"/>
      <c r="L401" s="82">
        <v>0.56999999999999995</v>
      </c>
      <c r="M401" s="138">
        <v>0.56999999999999995</v>
      </c>
      <c r="N401" s="138">
        <v>0.56999999999999995</v>
      </c>
      <c r="O401" s="138">
        <v>0.56999999999999995</v>
      </c>
      <c r="P401" s="138">
        <v>0.56999999999999995</v>
      </c>
      <c r="Q401" s="138">
        <v>0.56999999999999995</v>
      </c>
      <c r="R401" s="138">
        <v>0.32</v>
      </c>
      <c r="S401" s="138">
        <v>0.32</v>
      </c>
      <c r="T401" s="138">
        <v>0.32</v>
      </c>
      <c r="U401" s="138">
        <v>0.32</v>
      </c>
      <c r="V401" s="138">
        <v>0.32</v>
      </c>
      <c r="W401" s="138">
        <v>0.32</v>
      </c>
      <c r="X401" s="138">
        <v>0.32</v>
      </c>
      <c r="Y401" s="138">
        <f t="shared" si="303"/>
        <v>0.32</v>
      </c>
      <c r="Z401" s="138">
        <f t="shared" si="304"/>
        <v>0.32</v>
      </c>
      <c r="AA401" s="138">
        <f t="shared" si="305"/>
        <v>0.32</v>
      </c>
      <c r="AB401" s="138">
        <f t="shared" si="306"/>
        <v>0.32</v>
      </c>
      <c r="AC401" s="138">
        <f t="shared" si="307"/>
        <v>0.32</v>
      </c>
      <c r="AD401" s="138">
        <f t="shared" si="308"/>
        <v>0.32</v>
      </c>
      <c r="AE401" s="138">
        <f t="shared" si="309"/>
        <v>0.32</v>
      </c>
      <c r="AF401" s="138">
        <f t="shared" si="310"/>
        <v>0.32</v>
      </c>
      <c r="AG401" s="138">
        <f t="shared" si="311"/>
        <v>0.32</v>
      </c>
      <c r="AH401" s="138">
        <f t="shared" si="312"/>
        <v>0.32</v>
      </c>
      <c r="AI401" s="138">
        <f t="shared" si="313"/>
        <v>0.32</v>
      </c>
      <c r="AJ401" s="138">
        <f t="shared" si="314"/>
        <v>0.32</v>
      </c>
      <c r="AK401" s="138">
        <f t="shared" si="315"/>
        <v>0.32</v>
      </c>
      <c r="AL401" s="138">
        <f t="shared" si="316"/>
        <v>0.31999999999999995</v>
      </c>
      <c r="AM401" s="138">
        <f t="shared" si="317"/>
        <v>0.3616666666666668</v>
      </c>
      <c r="AO401" s="77" t="str">
        <f t="shared" si="274"/>
        <v>GDS-3 (Intermediate General Delivery)</v>
      </c>
      <c r="AP401" s="78" t="s">
        <v>672</v>
      </c>
      <c r="AQ401" s="77" t="str">
        <f t="shared" si="275"/>
        <v>Rider GUA - DS (All Cust)</v>
      </c>
      <c r="AR401" s="78" t="str">
        <f t="shared" si="276"/>
        <v>Billing Cycle</v>
      </c>
      <c r="AS401" s="79">
        <f t="shared" si="277"/>
        <v>6</v>
      </c>
      <c r="AT401" s="78">
        <f t="shared" si="278"/>
        <v>1</v>
      </c>
      <c r="AU401" s="78">
        <f t="shared" si="279"/>
        <v>0.56999999999999995</v>
      </c>
      <c r="AV401" s="78">
        <f t="shared" si="280"/>
        <v>0.56999999999999995</v>
      </c>
      <c r="AW401" s="78">
        <f t="shared" si="281"/>
        <v>0.56999999999999995</v>
      </c>
      <c r="AX401" s="78">
        <f t="shared" si="282"/>
        <v>0.56999999999999995</v>
      </c>
      <c r="AY401" s="78">
        <f t="shared" si="283"/>
        <v>0.56999999999999995</v>
      </c>
      <c r="AZ401" s="78">
        <f t="shared" si="284"/>
        <v>0.32</v>
      </c>
      <c r="BA401" s="78">
        <f t="shared" si="285"/>
        <v>0.32</v>
      </c>
      <c r="BB401" s="78">
        <f t="shared" si="286"/>
        <v>0.32</v>
      </c>
      <c r="BC401" s="78">
        <f t="shared" si="287"/>
        <v>0.32</v>
      </c>
      <c r="BD401" s="78">
        <f t="shared" si="288"/>
        <v>0.32</v>
      </c>
      <c r="BE401" s="78">
        <f t="shared" si="289"/>
        <v>0.32</v>
      </c>
      <c r="BF401" s="78">
        <f t="shared" si="290"/>
        <v>0.32</v>
      </c>
      <c r="BG401" s="78">
        <f t="shared" si="291"/>
        <v>0.32</v>
      </c>
      <c r="BH401" s="78">
        <f t="shared" si="292"/>
        <v>0.32</v>
      </c>
      <c r="BI401" s="78">
        <f t="shared" si="293"/>
        <v>0.32</v>
      </c>
      <c r="BJ401" s="78">
        <f t="shared" si="294"/>
        <v>0.32</v>
      </c>
      <c r="BK401" s="78">
        <f t="shared" si="295"/>
        <v>0.32</v>
      </c>
      <c r="BL401" s="78">
        <f t="shared" si="296"/>
        <v>0.32</v>
      </c>
      <c r="BM401" s="78">
        <f t="shared" si="297"/>
        <v>0.32</v>
      </c>
      <c r="BN401" s="78">
        <f t="shared" si="298"/>
        <v>0.32</v>
      </c>
      <c r="BO401" s="78">
        <f t="shared" si="299"/>
        <v>0.32</v>
      </c>
      <c r="BP401" s="78">
        <f t="shared" si="300"/>
        <v>0.32</v>
      </c>
      <c r="BQ401" s="78">
        <f t="shared" si="301"/>
        <v>0.32</v>
      </c>
      <c r="BR401" s="78">
        <f t="shared" si="302"/>
        <v>0.32</v>
      </c>
      <c r="BS401" s="77"/>
      <c r="BT401" s="77"/>
    </row>
    <row r="402" spans="1:72" ht="14.1" customHeight="1" x14ac:dyDescent="0.2">
      <c r="A402" s="55" t="str">
        <f t="shared" si="273"/>
        <v>GDS-4 (Large General Delivery)_Rider GUA - DS (All Cust)</v>
      </c>
      <c r="B402" s="80" t="s">
        <v>673</v>
      </c>
      <c r="C402" s="83" t="s">
        <v>844</v>
      </c>
      <c r="D402" s="150"/>
      <c r="E402" s="81"/>
      <c r="F402" s="73" t="s">
        <v>649</v>
      </c>
      <c r="G402" s="73">
        <v>0</v>
      </c>
      <c r="H402" s="73">
        <v>6</v>
      </c>
      <c r="I402" s="74" t="s">
        <v>641</v>
      </c>
      <c r="J402" s="75" t="s">
        <v>634</v>
      </c>
      <c r="K402" s="74"/>
      <c r="L402" s="82">
        <v>0.56999999999999995</v>
      </c>
      <c r="M402" s="138">
        <v>0.56999999999999995</v>
      </c>
      <c r="N402" s="138">
        <v>0.56999999999999995</v>
      </c>
      <c r="O402" s="138">
        <v>0.56999999999999995</v>
      </c>
      <c r="P402" s="138">
        <v>0.56999999999999995</v>
      </c>
      <c r="Q402" s="138">
        <v>0.56999999999999995</v>
      </c>
      <c r="R402" s="138">
        <v>0.32</v>
      </c>
      <c r="S402" s="138">
        <v>0.32</v>
      </c>
      <c r="T402" s="138">
        <v>0.32</v>
      </c>
      <c r="U402" s="138">
        <v>0.32</v>
      </c>
      <c r="V402" s="138">
        <v>0.32</v>
      </c>
      <c r="W402" s="138">
        <v>0.32</v>
      </c>
      <c r="X402" s="138">
        <v>0.32</v>
      </c>
      <c r="Y402" s="138">
        <f t="shared" si="303"/>
        <v>0.32</v>
      </c>
      <c r="Z402" s="138">
        <f t="shared" si="304"/>
        <v>0.32</v>
      </c>
      <c r="AA402" s="138">
        <f t="shared" si="305"/>
        <v>0.32</v>
      </c>
      <c r="AB402" s="138">
        <f t="shared" si="306"/>
        <v>0.32</v>
      </c>
      <c r="AC402" s="138">
        <f t="shared" si="307"/>
        <v>0.32</v>
      </c>
      <c r="AD402" s="138">
        <f t="shared" si="308"/>
        <v>0.32</v>
      </c>
      <c r="AE402" s="138">
        <f t="shared" si="309"/>
        <v>0.32</v>
      </c>
      <c r="AF402" s="138">
        <f t="shared" si="310"/>
        <v>0.32</v>
      </c>
      <c r="AG402" s="138">
        <f t="shared" si="311"/>
        <v>0.32</v>
      </c>
      <c r="AH402" s="138">
        <f t="shared" si="312"/>
        <v>0.32</v>
      </c>
      <c r="AI402" s="138">
        <f t="shared" si="313"/>
        <v>0.32</v>
      </c>
      <c r="AJ402" s="138">
        <f t="shared" si="314"/>
        <v>0.32</v>
      </c>
      <c r="AK402" s="138">
        <f t="shared" si="315"/>
        <v>0.32</v>
      </c>
      <c r="AL402" s="138">
        <f t="shared" si="316"/>
        <v>0.31999999999999995</v>
      </c>
      <c r="AM402" s="138">
        <f t="shared" si="317"/>
        <v>0.3616666666666668</v>
      </c>
      <c r="AO402" s="77" t="str">
        <f t="shared" si="274"/>
        <v>GDS-4 (Large General Delivery)</v>
      </c>
      <c r="AP402" s="78" t="s">
        <v>674</v>
      </c>
      <c r="AQ402" s="77" t="str">
        <f t="shared" si="275"/>
        <v>Rider GUA - DS (All Cust)</v>
      </c>
      <c r="AR402" s="78" t="str">
        <f t="shared" si="276"/>
        <v>Billing Cycle</v>
      </c>
      <c r="AS402" s="79">
        <f t="shared" si="277"/>
        <v>6</v>
      </c>
      <c r="AT402" s="78">
        <f t="shared" si="278"/>
        <v>1</v>
      </c>
      <c r="AU402" s="78">
        <f t="shared" si="279"/>
        <v>0.56999999999999995</v>
      </c>
      <c r="AV402" s="78">
        <f t="shared" si="280"/>
        <v>0.56999999999999995</v>
      </c>
      <c r="AW402" s="78">
        <f t="shared" si="281"/>
        <v>0.56999999999999995</v>
      </c>
      <c r="AX402" s="78">
        <f t="shared" si="282"/>
        <v>0.56999999999999995</v>
      </c>
      <c r="AY402" s="78">
        <f t="shared" si="283"/>
        <v>0.56999999999999995</v>
      </c>
      <c r="AZ402" s="78">
        <f t="shared" si="284"/>
        <v>0.32</v>
      </c>
      <c r="BA402" s="78">
        <f t="shared" si="285"/>
        <v>0.32</v>
      </c>
      <c r="BB402" s="78">
        <f t="shared" si="286"/>
        <v>0.32</v>
      </c>
      <c r="BC402" s="78">
        <f t="shared" si="287"/>
        <v>0.32</v>
      </c>
      <c r="BD402" s="78">
        <f t="shared" si="288"/>
        <v>0.32</v>
      </c>
      <c r="BE402" s="78">
        <f t="shared" si="289"/>
        <v>0.32</v>
      </c>
      <c r="BF402" s="78">
        <f t="shared" si="290"/>
        <v>0.32</v>
      </c>
      <c r="BG402" s="78">
        <f t="shared" si="291"/>
        <v>0.32</v>
      </c>
      <c r="BH402" s="78">
        <f t="shared" si="292"/>
        <v>0.32</v>
      </c>
      <c r="BI402" s="78">
        <f t="shared" si="293"/>
        <v>0.32</v>
      </c>
      <c r="BJ402" s="78">
        <f t="shared" si="294"/>
        <v>0.32</v>
      </c>
      <c r="BK402" s="78">
        <f t="shared" si="295"/>
        <v>0.32</v>
      </c>
      <c r="BL402" s="78">
        <f t="shared" si="296"/>
        <v>0.32</v>
      </c>
      <c r="BM402" s="78">
        <f t="shared" si="297"/>
        <v>0.32</v>
      </c>
      <c r="BN402" s="78">
        <f t="shared" si="298"/>
        <v>0.32</v>
      </c>
      <c r="BO402" s="78">
        <f t="shared" si="299"/>
        <v>0.32</v>
      </c>
      <c r="BP402" s="78">
        <f t="shared" si="300"/>
        <v>0.32</v>
      </c>
      <c r="BQ402" s="78">
        <f t="shared" si="301"/>
        <v>0.32</v>
      </c>
      <c r="BR402" s="78">
        <f t="shared" si="302"/>
        <v>0.32</v>
      </c>
      <c r="BS402" s="77"/>
      <c r="BT402" s="77"/>
    </row>
    <row r="403" spans="1:72" ht="14.1" customHeight="1" x14ac:dyDescent="0.2">
      <c r="A403" s="55" t="str">
        <f t="shared" si="273"/>
        <v>GDS-5 (Seasonal)_Rider GUA - DS (All Cust)</v>
      </c>
      <c r="B403" s="80" t="s">
        <v>675</v>
      </c>
      <c r="C403" s="83" t="s">
        <v>844</v>
      </c>
      <c r="D403" s="150"/>
      <c r="E403" s="81"/>
      <c r="F403" s="73" t="s">
        <v>649</v>
      </c>
      <c r="G403" s="73">
        <v>0</v>
      </c>
      <c r="H403" s="73">
        <v>6</v>
      </c>
      <c r="I403" s="74" t="s">
        <v>641</v>
      </c>
      <c r="J403" s="75" t="s">
        <v>634</v>
      </c>
      <c r="K403" s="74"/>
      <c r="L403" s="82">
        <v>0.56999999999999995</v>
      </c>
      <c r="M403" s="138">
        <v>0.56999999999999995</v>
      </c>
      <c r="N403" s="138">
        <v>0.56999999999999995</v>
      </c>
      <c r="O403" s="138">
        <v>0.56999999999999995</v>
      </c>
      <c r="P403" s="138">
        <v>0.56999999999999995</v>
      </c>
      <c r="Q403" s="138">
        <v>0.56999999999999995</v>
      </c>
      <c r="R403" s="138">
        <v>0.32</v>
      </c>
      <c r="S403" s="138">
        <v>0.32</v>
      </c>
      <c r="T403" s="138">
        <v>0.32</v>
      </c>
      <c r="U403" s="138">
        <v>0.32</v>
      </c>
      <c r="V403" s="138">
        <v>0.32</v>
      </c>
      <c r="W403" s="138">
        <v>0.32</v>
      </c>
      <c r="X403" s="138">
        <v>0.32</v>
      </c>
      <c r="Y403" s="138">
        <f t="shared" si="303"/>
        <v>0.32</v>
      </c>
      <c r="Z403" s="138">
        <f t="shared" si="304"/>
        <v>0.32</v>
      </c>
      <c r="AA403" s="138">
        <f t="shared" si="305"/>
        <v>0.32</v>
      </c>
      <c r="AB403" s="138">
        <f t="shared" si="306"/>
        <v>0.32</v>
      </c>
      <c r="AC403" s="138">
        <f t="shared" si="307"/>
        <v>0.32</v>
      </c>
      <c r="AD403" s="138">
        <f t="shared" si="308"/>
        <v>0.32</v>
      </c>
      <c r="AE403" s="138">
        <f t="shared" si="309"/>
        <v>0.32</v>
      </c>
      <c r="AF403" s="138">
        <f t="shared" si="310"/>
        <v>0.32</v>
      </c>
      <c r="AG403" s="138">
        <f t="shared" si="311"/>
        <v>0.32</v>
      </c>
      <c r="AH403" s="138">
        <f t="shared" si="312"/>
        <v>0.32</v>
      </c>
      <c r="AI403" s="138">
        <f t="shared" si="313"/>
        <v>0.32</v>
      </c>
      <c r="AJ403" s="138">
        <f t="shared" si="314"/>
        <v>0.32</v>
      </c>
      <c r="AK403" s="138">
        <f t="shared" si="315"/>
        <v>0.32</v>
      </c>
      <c r="AL403" s="138">
        <f t="shared" si="316"/>
        <v>0.31999999999999995</v>
      </c>
      <c r="AM403" s="138">
        <f t="shared" si="317"/>
        <v>0.3616666666666668</v>
      </c>
      <c r="AO403" s="77" t="str">
        <f t="shared" si="274"/>
        <v>GDS-5 (Seasonal)</v>
      </c>
      <c r="AP403" s="78" t="s">
        <v>676</v>
      </c>
      <c r="AQ403" s="77" t="str">
        <f t="shared" si="275"/>
        <v>Rider GUA - DS (All Cust)</v>
      </c>
      <c r="AR403" s="78" t="str">
        <f t="shared" si="276"/>
        <v>Billing Cycle</v>
      </c>
      <c r="AS403" s="79">
        <f t="shared" si="277"/>
        <v>6</v>
      </c>
      <c r="AT403" s="78">
        <f t="shared" si="278"/>
        <v>1</v>
      </c>
      <c r="AU403" s="78">
        <f t="shared" si="279"/>
        <v>0.56999999999999995</v>
      </c>
      <c r="AV403" s="78">
        <f t="shared" si="280"/>
        <v>0.56999999999999995</v>
      </c>
      <c r="AW403" s="78">
        <f t="shared" si="281"/>
        <v>0.56999999999999995</v>
      </c>
      <c r="AX403" s="78">
        <f t="shared" si="282"/>
        <v>0.56999999999999995</v>
      </c>
      <c r="AY403" s="78">
        <f t="shared" si="283"/>
        <v>0.56999999999999995</v>
      </c>
      <c r="AZ403" s="78">
        <f t="shared" si="284"/>
        <v>0.32</v>
      </c>
      <c r="BA403" s="78">
        <f t="shared" si="285"/>
        <v>0.32</v>
      </c>
      <c r="BB403" s="78">
        <f t="shared" si="286"/>
        <v>0.32</v>
      </c>
      <c r="BC403" s="78">
        <f t="shared" si="287"/>
        <v>0.32</v>
      </c>
      <c r="BD403" s="78">
        <f t="shared" si="288"/>
        <v>0.32</v>
      </c>
      <c r="BE403" s="78">
        <f t="shared" si="289"/>
        <v>0.32</v>
      </c>
      <c r="BF403" s="78">
        <f t="shared" si="290"/>
        <v>0.32</v>
      </c>
      <c r="BG403" s="78">
        <f t="shared" si="291"/>
        <v>0.32</v>
      </c>
      <c r="BH403" s="78">
        <f t="shared" si="292"/>
        <v>0.32</v>
      </c>
      <c r="BI403" s="78">
        <f t="shared" si="293"/>
        <v>0.32</v>
      </c>
      <c r="BJ403" s="78">
        <f t="shared" si="294"/>
        <v>0.32</v>
      </c>
      <c r="BK403" s="78">
        <f t="shared" si="295"/>
        <v>0.32</v>
      </c>
      <c r="BL403" s="78">
        <f t="shared" si="296"/>
        <v>0.32</v>
      </c>
      <c r="BM403" s="78">
        <f t="shared" si="297"/>
        <v>0.32</v>
      </c>
      <c r="BN403" s="78">
        <f t="shared" si="298"/>
        <v>0.32</v>
      </c>
      <c r="BO403" s="78">
        <f t="shared" si="299"/>
        <v>0.32</v>
      </c>
      <c r="BP403" s="78">
        <f t="shared" si="300"/>
        <v>0.32</v>
      </c>
      <c r="BQ403" s="78">
        <f t="shared" si="301"/>
        <v>0.32</v>
      </c>
      <c r="BR403" s="78">
        <f t="shared" si="302"/>
        <v>0.32</v>
      </c>
      <c r="BS403" s="77"/>
      <c r="BT403" s="77"/>
    </row>
    <row r="404" spans="1:72" ht="14.1" customHeight="1" x14ac:dyDescent="0.2">
      <c r="A404" s="55" t="str">
        <f t="shared" si="273"/>
        <v>GDS-6 (Inadequate Capacity)_Rider GUA - DS (All Cust)</v>
      </c>
      <c r="B404" s="80" t="s">
        <v>700</v>
      </c>
      <c r="C404" s="83" t="s">
        <v>844</v>
      </c>
      <c r="D404" s="150"/>
      <c r="E404" s="81"/>
      <c r="F404" s="73"/>
      <c r="G404" s="73"/>
      <c r="H404" s="73"/>
      <c r="I404" s="74"/>
      <c r="J404" s="75"/>
      <c r="K404" s="74"/>
      <c r="L404" s="82">
        <v>1</v>
      </c>
      <c r="M404" s="138">
        <v>1</v>
      </c>
      <c r="N404" s="138">
        <v>1</v>
      </c>
      <c r="O404" s="138">
        <v>1</v>
      </c>
      <c r="P404" s="138">
        <v>1</v>
      </c>
      <c r="Q404" s="138">
        <v>1</v>
      </c>
      <c r="R404" s="138">
        <v>0.32</v>
      </c>
      <c r="S404" s="138">
        <v>0.32</v>
      </c>
      <c r="T404" s="138">
        <v>0.32</v>
      </c>
      <c r="U404" s="138">
        <v>0.32</v>
      </c>
      <c r="V404" s="138">
        <v>0.32</v>
      </c>
      <c r="W404" s="138">
        <v>0.32</v>
      </c>
      <c r="X404" s="138">
        <v>0.32</v>
      </c>
      <c r="Y404" s="138">
        <f t="shared" si="303"/>
        <v>0.32</v>
      </c>
      <c r="Z404" s="138">
        <f t="shared" si="304"/>
        <v>0.32</v>
      </c>
      <c r="AA404" s="138">
        <f t="shared" si="305"/>
        <v>0.32</v>
      </c>
      <c r="AB404" s="138">
        <f t="shared" si="306"/>
        <v>0.32</v>
      </c>
      <c r="AC404" s="138">
        <f t="shared" si="307"/>
        <v>0.32</v>
      </c>
      <c r="AD404" s="138">
        <f t="shared" si="308"/>
        <v>0.32</v>
      </c>
      <c r="AE404" s="138">
        <f t="shared" si="309"/>
        <v>0.32</v>
      </c>
      <c r="AF404" s="138">
        <f t="shared" si="310"/>
        <v>0.32</v>
      </c>
      <c r="AG404" s="138">
        <f t="shared" si="311"/>
        <v>0.32</v>
      </c>
      <c r="AH404" s="138">
        <f t="shared" si="312"/>
        <v>0.32</v>
      </c>
      <c r="AI404" s="138">
        <f t="shared" si="313"/>
        <v>0.32</v>
      </c>
      <c r="AJ404" s="138">
        <f t="shared" si="314"/>
        <v>0.32</v>
      </c>
      <c r="AK404" s="138">
        <f t="shared" si="315"/>
        <v>0.32</v>
      </c>
      <c r="AL404" s="138">
        <f t="shared" si="316"/>
        <v>0.31999999999999995</v>
      </c>
      <c r="AM404" s="138">
        <f t="shared" si="317"/>
        <v>0.43333333333333357</v>
      </c>
      <c r="AO404" s="77" t="str">
        <f t="shared" si="274"/>
        <v>GDS-6 (Inadequate Capacity)</v>
      </c>
      <c r="AP404" s="78" t="s">
        <v>701</v>
      </c>
      <c r="AQ404" s="77" t="str">
        <f t="shared" si="275"/>
        <v>Rider GUA - DS (All Cust)</v>
      </c>
      <c r="AR404" s="78">
        <f t="shared" si="276"/>
        <v>0</v>
      </c>
      <c r="AS404" s="79">
        <f t="shared" si="277"/>
        <v>0</v>
      </c>
      <c r="AT404" s="78">
        <f t="shared" si="278"/>
        <v>1</v>
      </c>
      <c r="AU404" s="78">
        <f t="shared" si="279"/>
        <v>1</v>
      </c>
      <c r="AV404" s="78">
        <f t="shared" si="280"/>
        <v>1</v>
      </c>
      <c r="AW404" s="78">
        <f t="shared" si="281"/>
        <v>1</v>
      </c>
      <c r="AX404" s="78">
        <f t="shared" si="282"/>
        <v>1</v>
      </c>
      <c r="AY404" s="78">
        <f t="shared" si="283"/>
        <v>1</v>
      </c>
      <c r="AZ404" s="78">
        <f t="shared" si="284"/>
        <v>0</v>
      </c>
      <c r="BA404" s="78">
        <f t="shared" si="285"/>
        <v>0</v>
      </c>
      <c r="BB404" s="78">
        <f t="shared" si="286"/>
        <v>0</v>
      </c>
      <c r="BC404" s="78">
        <f t="shared" si="287"/>
        <v>0</v>
      </c>
      <c r="BD404" s="78">
        <f t="shared" si="288"/>
        <v>0</v>
      </c>
      <c r="BE404" s="78">
        <f t="shared" si="289"/>
        <v>0</v>
      </c>
      <c r="BF404" s="78">
        <f t="shared" si="290"/>
        <v>0</v>
      </c>
      <c r="BG404" s="78">
        <f t="shared" si="291"/>
        <v>0</v>
      </c>
      <c r="BH404" s="78">
        <f t="shared" si="292"/>
        <v>0</v>
      </c>
      <c r="BI404" s="78">
        <f t="shared" si="293"/>
        <v>0</v>
      </c>
      <c r="BJ404" s="78">
        <f t="shared" si="294"/>
        <v>0</v>
      </c>
      <c r="BK404" s="78">
        <f t="shared" si="295"/>
        <v>0</v>
      </c>
      <c r="BL404" s="78">
        <f t="shared" si="296"/>
        <v>0</v>
      </c>
      <c r="BM404" s="78">
        <f t="shared" si="297"/>
        <v>0</v>
      </c>
      <c r="BN404" s="78">
        <f t="shared" si="298"/>
        <v>0</v>
      </c>
      <c r="BO404" s="78">
        <f t="shared" si="299"/>
        <v>0</v>
      </c>
      <c r="BP404" s="78">
        <f t="shared" si="300"/>
        <v>0</v>
      </c>
      <c r="BQ404" s="78">
        <f t="shared" si="301"/>
        <v>0</v>
      </c>
      <c r="BR404" s="78">
        <f t="shared" si="302"/>
        <v>0</v>
      </c>
      <c r="BS404" s="77"/>
      <c r="BT404" s="77"/>
    </row>
    <row r="405" spans="1:72" ht="14.1" customHeight="1" x14ac:dyDescent="0.2">
      <c r="A405" s="55" t="str">
        <f t="shared" si="273"/>
        <v>GDS-7 (Special Contracts)_Rider GUA - DS (All Cust)</v>
      </c>
      <c r="B405" s="85" t="s">
        <v>845</v>
      </c>
      <c r="C405" s="83" t="s">
        <v>844</v>
      </c>
      <c r="D405" s="150"/>
      <c r="E405" s="81"/>
      <c r="F405" s="73" t="s">
        <v>649</v>
      </c>
      <c r="G405" s="73">
        <v>0</v>
      </c>
      <c r="H405" s="73">
        <v>6</v>
      </c>
      <c r="I405" s="74" t="s">
        <v>641</v>
      </c>
      <c r="J405" s="75" t="s">
        <v>634</v>
      </c>
      <c r="K405" s="74"/>
      <c r="L405" s="82">
        <v>0.56999999999999995</v>
      </c>
      <c r="M405" s="138">
        <v>0.56999999999999995</v>
      </c>
      <c r="N405" s="138">
        <v>0.56999999999999995</v>
      </c>
      <c r="O405" s="138">
        <v>0.56999999999999995</v>
      </c>
      <c r="P405" s="138">
        <v>0.56999999999999995</v>
      </c>
      <c r="Q405" s="138">
        <v>0.56999999999999995</v>
      </c>
      <c r="R405" s="138">
        <v>0.32</v>
      </c>
      <c r="S405" s="138">
        <v>0.32</v>
      </c>
      <c r="T405" s="138">
        <v>0.32</v>
      </c>
      <c r="U405" s="138">
        <v>0.32</v>
      </c>
      <c r="V405" s="138">
        <v>0.32</v>
      </c>
      <c r="W405" s="138">
        <v>0.32</v>
      </c>
      <c r="X405" s="138">
        <v>0.32</v>
      </c>
      <c r="Y405" s="138">
        <f t="shared" si="303"/>
        <v>0.32</v>
      </c>
      <c r="Z405" s="138">
        <f t="shared" si="304"/>
        <v>0.32</v>
      </c>
      <c r="AA405" s="138">
        <f t="shared" si="305"/>
        <v>0.32</v>
      </c>
      <c r="AB405" s="138">
        <f t="shared" si="306"/>
        <v>0.32</v>
      </c>
      <c r="AC405" s="138">
        <f t="shared" si="307"/>
        <v>0.32</v>
      </c>
      <c r="AD405" s="138">
        <f t="shared" si="308"/>
        <v>0.32</v>
      </c>
      <c r="AE405" s="138">
        <f t="shared" si="309"/>
        <v>0.32</v>
      </c>
      <c r="AF405" s="138">
        <f t="shared" si="310"/>
        <v>0.32</v>
      </c>
      <c r="AG405" s="138">
        <f t="shared" si="311"/>
        <v>0.32</v>
      </c>
      <c r="AH405" s="138">
        <f t="shared" si="312"/>
        <v>0.32</v>
      </c>
      <c r="AI405" s="138">
        <f t="shared" si="313"/>
        <v>0.32</v>
      </c>
      <c r="AJ405" s="138">
        <f t="shared" si="314"/>
        <v>0.32</v>
      </c>
      <c r="AK405" s="138">
        <f t="shared" si="315"/>
        <v>0.32</v>
      </c>
      <c r="AL405" s="138">
        <f t="shared" si="316"/>
        <v>0.31999999999999995</v>
      </c>
      <c r="AM405" s="138">
        <f t="shared" si="317"/>
        <v>0.3616666666666668</v>
      </c>
      <c r="AO405" s="77" t="str">
        <f t="shared" si="274"/>
        <v>GDS-7 (Special Contracts)</v>
      </c>
      <c r="AP405" s="78" t="s">
        <v>846</v>
      </c>
      <c r="AQ405" s="77" t="str">
        <f t="shared" si="275"/>
        <v>Rider GUA - DS (All Cust)</v>
      </c>
      <c r="AR405" s="78" t="str">
        <f t="shared" si="276"/>
        <v>Billing Cycle</v>
      </c>
      <c r="AS405" s="79">
        <f t="shared" si="277"/>
        <v>6</v>
      </c>
      <c r="AT405" s="78">
        <f t="shared" si="278"/>
        <v>1</v>
      </c>
      <c r="AU405" s="78">
        <f t="shared" si="279"/>
        <v>0.56999999999999995</v>
      </c>
      <c r="AV405" s="78">
        <f t="shared" si="280"/>
        <v>0.56999999999999995</v>
      </c>
      <c r="AW405" s="78">
        <f t="shared" si="281"/>
        <v>0.56999999999999995</v>
      </c>
      <c r="AX405" s="78">
        <f t="shared" si="282"/>
        <v>0.56999999999999995</v>
      </c>
      <c r="AY405" s="78">
        <f t="shared" si="283"/>
        <v>0.56999999999999995</v>
      </c>
      <c r="AZ405" s="78">
        <f t="shared" si="284"/>
        <v>0.32</v>
      </c>
      <c r="BA405" s="78">
        <f t="shared" si="285"/>
        <v>0.32</v>
      </c>
      <c r="BB405" s="78">
        <f t="shared" si="286"/>
        <v>0.32</v>
      </c>
      <c r="BC405" s="78">
        <f t="shared" si="287"/>
        <v>0.32</v>
      </c>
      <c r="BD405" s="78">
        <f t="shared" si="288"/>
        <v>0.32</v>
      </c>
      <c r="BE405" s="78">
        <f t="shared" si="289"/>
        <v>0.32</v>
      </c>
      <c r="BF405" s="78">
        <f t="shared" si="290"/>
        <v>0.32</v>
      </c>
      <c r="BG405" s="78">
        <f t="shared" si="291"/>
        <v>0.32</v>
      </c>
      <c r="BH405" s="78">
        <f t="shared" si="292"/>
        <v>0.32</v>
      </c>
      <c r="BI405" s="78">
        <f t="shared" si="293"/>
        <v>0.32</v>
      </c>
      <c r="BJ405" s="78">
        <f t="shared" si="294"/>
        <v>0.32</v>
      </c>
      <c r="BK405" s="78">
        <f t="shared" si="295"/>
        <v>0.32</v>
      </c>
      <c r="BL405" s="78">
        <f t="shared" si="296"/>
        <v>0.32</v>
      </c>
      <c r="BM405" s="78">
        <f t="shared" si="297"/>
        <v>0.32</v>
      </c>
      <c r="BN405" s="78">
        <f t="shared" si="298"/>
        <v>0.32</v>
      </c>
      <c r="BO405" s="78">
        <f t="shared" si="299"/>
        <v>0.32</v>
      </c>
      <c r="BP405" s="78">
        <f t="shared" si="300"/>
        <v>0.32</v>
      </c>
      <c r="BQ405" s="78">
        <f t="shared" si="301"/>
        <v>0.32</v>
      </c>
      <c r="BR405" s="78">
        <f t="shared" si="302"/>
        <v>0.32</v>
      </c>
      <c r="BS405" s="77"/>
      <c r="BT405" s="77"/>
    </row>
    <row r="406" spans="1:72" ht="14.1" customHeight="1" x14ac:dyDescent="0.2">
      <c r="A406" s="55" t="str">
        <f t="shared" si="273"/>
        <v>GDS-1 (Residential)_Rider GUA - Supply (Only Rider S Cust)</v>
      </c>
      <c r="B406" s="80" t="s">
        <v>95</v>
      </c>
      <c r="C406" s="71" t="s">
        <v>847</v>
      </c>
      <c r="D406" s="150" t="s">
        <v>557</v>
      </c>
      <c r="E406" s="81"/>
      <c r="F406" s="73" t="s">
        <v>649</v>
      </c>
      <c r="G406" s="73">
        <v>0</v>
      </c>
      <c r="H406" s="73">
        <v>6</v>
      </c>
      <c r="I406" s="74" t="s">
        <v>641</v>
      </c>
      <c r="J406" s="75" t="s">
        <v>634</v>
      </c>
      <c r="K406" s="74"/>
      <c r="L406" s="82">
        <v>-0.19</v>
      </c>
      <c r="M406" s="138">
        <v>-0.19</v>
      </c>
      <c r="N406" s="138">
        <v>-0.19</v>
      </c>
      <c r="O406" s="138">
        <v>-0.19</v>
      </c>
      <c r="P406" s="138">
        <v>-0.19</v>
      </c>
      <c r="Q406" s="138">
        <v>-0.19</v>
      </c>
      <c r="R406" s="138">
        <v>0</v>
      </c>
      <c r="S406" s="138">
        <v>0</v>
      </c>
      <c r="T406" s="138">
        <v>0</v>
      </c>
      <c r="U406" s="138">
        <v>0</v>
      </c>
      <c r="V406" s="138">
        <v>0</v>
      </c>
      <c r="W406" s="138">
        <v>0</v>
      </c>
      <c r="X406" s="138">
        <v>0</v>
      </c>
      <c r="Y406" s="138">
        <f t="shared" si="303"/>
        <v>0</v>
      </c>
      <c r="Z406" s="138">
        <f t="shared" si="304"/>
        <v>0</v>
      </c>
      <c r="AA406" s="138">
        <f t="shared" si="305"/>
        <v>0</v>
      </c>
      <c r="AB406" s="138">
        <f t="shared" si="306"/>
        <v>0</v>
      </c>
      <c r="AC406" s="138">
        <f t="shared" si="307"/>
        <v>0</v>
      </c>
      <c r="AD406" s="138">
        <f t="shared" si="308"/>
        <v>0</v>
      </c>
      <c r="AE406" s="138">
        <f t="shared" si="309"/>
        <v>0</v>
      </c>
      <c r="AF406" s="138">
        <f t="shared" si="310"/>
        <v>0</v>
      </c>
      <c r="AG406" s="138">
        <f t="shared" si="311"/>
        <v>0</v>
      </c>
      <c r="AH406" s="138">
        <f t="shared" si="312"/>
        <v>0</v>
      </c>
      <c r="AI406" s="138">
        <f t="shared" si="313"/>
        <v>0</v>
      </c>
      <c r="AJ406" s="138">
        <f t="shared" si="314"/>
        <v>0</v>
      </c>
      <c r="AK406" s="138">
        <f t="shared" si="315"/>
        <v>0</v>
      </c>
      <c r="AL406" s="138">
        <f t="shared" si="316"/>
        <v>0</v>
      </c>
      <c r="AM406" s="138">
        <f t="shared" si="317"/>
        <v>-3.1666666666666669E-2</v>
      </c>
      <c r="AO406" s="77" t="str">
        <f t="shared" si="274"/>
        <v>GDS-1 (Residential)</v>
      </c>
      <c r="AP406" s="78" t="s">
        <v>668</v>
      </c>
      <c r="AQ406" s="77" t="str">
        <f t="shared" si="275"/>
        <v>Rider GUA - Supply (Only Rider S Cust)</v>
      </c>
      <c r="AR406" s="78" t="str">
        <f t="shared" si="276"/>
        <v>Billing Cycle</v>
      </c>
      <c r="AS406" s="79">
        <f t="shared" si="277"/>
        <v>6</v>
      </c>
      <c r="AT406" s="78">
        <f t="shared" si="278"/>
        <v>0</v>
      </c>
      <c r="AU406" s="78">
        <f t="shared" si="279"/>
        <v>-0.19</v>
      </c>
      <c r="AV406" s="78">
        <f t="shared" si="280"/>
        <v>-0.19</v>
      </c>
      <c r="AW406" s="78">
        <f t="shared" si="281"/>
        <v>-0.19</v>
      </c>
      <c r="AX406" s="78">
        <f t="shared" si="282"/>
        <v>-0.19</v>
      </c>
      <c r="AY406" s="78">
        <f t="shared" si="283"/>
        <v>-0.19</v>
      </c>
      <c r="AZ406" s="78">
        <f t="shared" si="284"/>
        <v>0</v>
      </c>
      <c r="BA406" s="78">
        <f t="shared" si="285"/>
        <v>0</v>
      </c>
      <c r="BB406" s="78">
        <f t="shared" si="286"/>
        <v>0</v>
      </c>
      <c r="BC406" s="78">
        <f t="shared" si="287"/>
        <v>0</v>
      </c>
      <c r="BD406" s="78">
        <f t="shared" si="288"/>
        <v>0</v>
      </c>
      <c r="BE406" s="78">
        <f t="shared" si="289"/>
        <v>0</v>
      </c>
      <c r="BF406" s="78">
        <f t="shared" si="290"/>
        <v>0</v>
      </c>
      <c r="BG406" s="78">
        <f t="shared" si="291"/>
        <v>0</v>
      </c>
      <c r="BH406" s="78">
        <f t="shared" si="292"/>
        <v>0</v>
      </c>
      <c r="BI406" s="78">
        <f t="shared" si="293"/>
        <v>0</v>
      </c>
      <c r="BJ406" s="78">
        <f t="shared" si="294"/>
        <v>0</v>
      </c>
      <c r="BK406" s="78">
        <f t="shared" si="295"/>
        <v>0</v>
      </c>
      <c r="BL406" s="78">
        <f t="shared" si="296"/>
        <v>0</v>
      </c>
      <c r="BM406" s="78">
        <f t="shared" si="297"/>
        <v>0</v>
      </c>
      <c r="BN406" s="78">
        <f t="shared" si="298"/>
        <v>0</v>
      </c>
      <c r="BO406" s="78">
        <f t="shared" si="299"/>
        <v>0</v>
      </c>
      <c r="BP406" s="78">
        <f t="shared" si="300"/>
        <v>0</v>
      </c>
      <c r="BQ406" s="78">
        <f t="shared" si="301"/>
        <v>0</v>
      </c>
      <c r="BR406" s="78">
        <f t="shared" si="302"/>
        <v>0</v>
      </c>
      <c r="BS406" s="77"/>
      <c r="BT406" s="77"/>
    </row>
    <row r="407" spans="1:72" ht="14.1" customHeight="1" x14ac:dyDescent="0.2">
      <c r="A407" s="55" t="str">
        <f t="shared" si="273"/>
        <v>GDS-2 (Small General Delivery)_Rider GUA - Supply (Only Rider S Cust)</v>
      </c>
      <c r="B407" s="80" t="s">
        <v>669</v>
      </c>
      <c r="C407" s="71" t="s">
        <v>847</v>
      </c>
      <c r="D407" s="150"/>
      <c r="E407" s="81"/>
      <c r="F407" s="73" t="s">
        <v>649</v>
      </c>
      <c r="G407" s="73">
        <v>0</v>
      </c>
      <c r="H407" s="73">
        <v>6</v>
      </c>
      <c r="I407" s="74" t="s">
        <v>641</v>
      </c>
      <c r="J407" s="75" t="s">
        <v>634</v>
      </c>
      <c r="K407" s="74"/>
      <c r="L407" s="82">
        <v>-7.0000000000000007E-2</v>
      </c>
      <c r="M407" s="138">
        <v>-7.0000000000000007E-2</v>
      </c>
      <c r="N407" s="138">
        <v>-7.0000000000000007E-2</v>
      </c>
      <c r="O407" s="138">
        <v>-7.0000000000000007E-2</v>
      </c>
      <c r="P407" s="138">
        <v>-7.0000000000000007E-2</v>
      </c>
      <c r="Q407" s="138">
        <v>-7.0000000000000007E-2</v>
      </c>
      <c r="R407" s="138">
        <v>0.26</v>
      </c>
      <c r="S407" s="138">
        <v>0.26</v>
      </c>
      <c r="T407" s="138">
        <v>0.26</v>
      </c>
      <c r="U407" s="138">
        <v>0.26</v>
      </c>
      <c r="V407" s="138">
        <v>0.26</v>
      </c>
      <c r="W407" s="138">
        <v>0.26</v>
      </c>
      <c r="X407" s="138">
        <v>0.26</v>
      </c>
      <c r="Y407" s="138">
        <f t="shared" si="303"/>
        <v>0.26</v>
      </c>
      <c r="Z407" s="138">
        <f t="shared" si="304"/>
        <v>0.26</v>
      </c>
      <c r="AA407" s="138">
        <f t="shared" si="305"/>
        <v>0.26</v>
      </c>
      <c r="AB407" s="138">
        <f t="shared" si="306"/>
        <v>0.26</v>
      </c>
      <c r="AC407" s="138">
        <f t="shared" si="307"/>
        <v>0.26</v>
      </c>
      <c r="AD407" s="138">
        <f t="shared" si="308"/>
        <v>0.26</v>
      </c>
      <c r="AE407" s="138">
        <f t="shared" si="309"/>
        <v>0.26</v>
      </c>
      <c r="AF407" s="138">
        <f t="shared" si="310"/>
        <v>0.26</v>
      </c>
      <c r="AG407" s="138">
        <f t="shared" si="311"/>
        <v>0.26</v>
      </c>
      <c r="AH407" s="138">
        <f t="shared" si="312"/>
        <v>0.26</v>
      </c>
      <c r="AI407" s="138">
        <f t="shared" si="313"/>
        <v>0.26</v>
      </c>
      <c r="AJ407" s="138">
        <f t="shared" si="314"/>
        <v>0.26</v>
      </c>
      <c r="AK407" s="138">
        <f t="shared" si="315"/>
        <v>0.26</v>
      </c>
      <c r="AL407" s="138">
        <f t="shared" si="316"/>
        <v>0.25999999999999995</v>
      </c>
      <c r="AM407" s="138">
        <f t="shared" si="317"/>
        <v>0.20499999999999993</v>
      </c>
      <c r="AO407" s="77" t="str">
        <f t="shared" si="274"/>
        <v>GDS-2 (Small General Delivery)</v>
      </c>
      <c r="AP407" s="78" t="s">
        <v>670</v>
      </c>
      <c r="AQ407" s="77" t="str">
        <f t="shared" si="275"/>
        <v>Rider GUA - Supply (Only Rider S Cust)</v>
      </c>
      <c r="AR407" s="78" t="str">
        <f t="shared" si="276"/>
        <v>Billing Cycle</v>
      </c>
      <c r="AS407" s="79">
        <f t="shared" si="277"/>
        <v>6</v>
      </c>
      <c r="AT407" s="78">
        <f t="shared" si="278"/>
        <v>0</v>
      </c>
      <c r="AU407" s="78">
        <f t="shared" si="279"/>
        <v>-7.0000000000000007E-2</v>
      </c>
      <c r="AV407" s="78">
        <f t="shared" si="280"/>
        <v>-7.0000000000000007E-2</v>
      </c>
      <c r="AW407" s="78">
        <f t="shared" si="281"/>
        <v>-7.0000000000000007E-2</v>
      </c>
      <c r="AX407" s="78">
        <f t="shared" si="282"/>
        <v>-7.0000000000000007E-2</v>
      </c>
      <c r="AY407" s="78">
        <f t="shared" si="283"/>
        <v>-7.0000000000000007E-2</v>
      </c>
      <c r="AZ407" s="78">
        <f t="shared" si="284"/>
        <v>0.26</v>
      </c>
      <c r="BA407" s="78">
        <f t="shared" si="285"/>
        <v>0.26</v>
      </c>
      <c r="BB407" s="78">
        <f t="shared" si="286"/>
        <v>0.26</v>
      </c>
      <c r="BC407" s="78">
        <f t="shared" si="287"/>
        <v>0.26</v>
      </c>
      <c r="BD407" s="78">
        <f t="shared" si="288"/>
        <v>0.26</v>
      </c>
      <c r="BE407" s="78">
        <f t="shared" si="289"/>
        <v>0.26</v>
      </c>
      <c r="BF407" s="78">
        <f t="shared" si="290"/>
        <v>0.26</v>
      </c>
      <c r="BG407" s="78">
        <f t="shared" si="291"/>
        <v>0.26</v>
      </c>
      <c r="BH407" s="78">
        <f t="shared" si="292"/>
        <v>0.26</v>
      </c>
      <c r="BI407" s="78">
        <f t="shared" si="293"/>
        <v>0.26</v>
      </c>
      <c r="BJ407" s="78">
        <f t="shared" si="294"/>
        <v>0.26</v>
      </c>
      <c r="BK407" s="78">
        <f t="shared" si="295"/>
        <v>0.26</v>
      </c>
      <c r="BL407" s="78">
        <f t="shared" si="296"/>
        <v>0.26</v>
      </c>
      <c r="BM407" s="78">
        <f t="shared" si="297"/>
        <v>0.26</v>
      </c>
      <c r="BN407" s="78">
        <f t="shared" si="298"/>
        <v>0.26</v>
      </c>
      <c r="BO407" s="78">
        <f t="shared" si="299"/>
        <v>0.26</v>
      </c>
      <c r="BP407" s="78">
        <f t="shared" si="300"/>
        <v>0.26</v>
      </c>
      <c r="BQ407" s="78">
        <f t="shared" si="301"/>
        <v>0.26</v>
      </c>
      <c r="BR407" s="78">
        <f t="shared" si="302"/>
        <v>0.26</v>
      </c>
      <c r="BS407" s="77"/>
      <c r="BT407" s="77"/>
    </row>
    <row r="408" spans="1:72" ht="14.1" customHeight="1" x14ac:dyDescent="0.2">
      <c r="A408" s="55" t="str">
        <f t="shared" si="273"/>
        <v>GDS-3 (Intermediate General Delivery)_Rider GUA - Supply (Only Rider S Cust)</v>
      </c>
      <c r="B408" s="80" t="s">
        <v>671</v>
      </c>
      <c r="C408" s="71" t="s">
        <v>847</v>
      </c>
      <c r="D408" s="150"/>
      <c r="E408" s="81"/>
      <c r="F408" s="73" t="s">
        <v>649</v>
      </c>
      <c r="G408" s="73">
        <v>0</v>
      </c>
      <c r="H408" s="73">
        <v>6</v>
      </c>
      <c r="I408" s="74" t="s">
        <v>641</v>
      </c>
      <c r="J408" s="75" t="s">
        <v>634</v>
      </c>
      <c r="K408" s="74"/>
      <c r="L408" s="82">
        <v>-7.0000000000000007E-2</v>
      </c>
      <c r="M408" s="138">
        <v>-7.0000000000000007E-2</v>
      </c>
      <c r="N408" s="138">
        <v>-7.0000000000000007E-2</v>
      </c>
      <c r="O408" s="138">
        <v>-7.0000000000000007E-2</v>
      </c>
      <c r="P408" s="138">
        <v>-7.0000000000000007E-2</v>
      </c>
      <c r="Q408" s="138">
        <v>-7.0000000000000007E-2</v>
      </c>
      <c r="R408" s="138">
        <v>0.26</v>
      </c>
      <c r="S408" s="138">
        <v>0.26</v>
      </c>
      <c r="T408" s="138">
        <v>0.26</v>
      </c>
      <c r="U408" s="138">
        <v>0.26</v>
      </c>
      <c r="V408" s="138">
        <v>0.26</v>
      </c>
      <c r="W408" s="138">
        <v>0.26</v>
      </c>
      <c r="X408" s="138">
        <v>0.26</v>
      </c>
      <c r="Y408" s="138">
        <f t="shared" si="303"/>
        <v>0.26</v>
      </c>
      <c r="Z408" s="138">
        <f t="shared" si="304"/>
        <v>0.26</v>
      </c>
      <c r="AA408" s="138">
        <f t="shared" si="305"/>
        <v>0.26</v>
      </c>
      <c r="AB408" s="138">
        <f t="shared" si="306"/>
        <v>0.26</v>
      </c>
      <c r="AC408" s="138">
        <f t="shared" si="307"/>
        <v>0.26</v>
      </c>
      <c r="AD408" s="138">
        <f t="shared" si="308"/>
        <v>0.26</v>
      </c>
      <c r="AE408" s="138">
        <f t="shared" si="309"/>
        <v>0.26</v>
      </c>
      <c r="AF408" s="138">
        <f t="shared" si="310"/>
        <v>0.26</v>
      </c>
      <c r="AG408" s="138">
        <f t="shared" si="311"/>
        <v>0.26</v>
      </c>
      <c r="AH408" s="138">
        <f t="shared" si="312"/>
        <v>0.26</v>
      </c>
      <c r="AI408" s="138">
        <f t="shared" si="313"/>
        <v>0.26</v>
      </c>
      <c r="AJ408" s="138">
        <f t="shared" si="314"/>
        <v>0.26</v>
      </c>
      <c r="AK408" s="138">
        <f t="shared" si="315"/>
        <v>0.26</v>
      </c>
      <c r="AL408" s="138">
        <f t="shared" si="316"/>
        <v>0.25999999999999995</v>
      </c>
      <c r="AM408" s="138">
        <f t="shared" si="317"/>
        <v>0.20499999999999993</v>
      </c>
      <c r="AO408" s="77" t="str">
        <f t="shared" si="274"/>
        <v>GDS-3 (Intermediate General Delivery)</v>
      </c>
      <c r="AP408" s="78" t="s">
        <v>672</v>
      </c>
      <c r="AQ408" s="77" t="str">
        <f t="shared" si="275"/>
        <v>Rider GUA - Supply (Only Rider S Cust)</v>
      </c>
      <c r="AR408" s="78" t="str">
        <f t="shared" si="276"/>
        <v>Billing Cycle</v>
      </c>
      <c r="AS408" s="79">
        <f t="shared" si="277"/>
        <v>6</v>
      </c>
      <c r="AT408" s="78">
        <f t="shared" si="278"/>
        <v>0</v>
      </c>
      <c r="AU408" s="78">
        <f t="shared" si="279"/>
        <v>-7.0000000000000007E-2</v>
      </c>
      <c r="AV408" s="78">
        <f t="shared" si="280"/>
        <v>-7.0000000000000007E-2</v>
      </c>
      <c r="AW408" s="78">
        <f t="shared" si="281"/>
        <v>-7.0000000000000007E-2</v>
      </c>
      <c r="AX408" s="78">
        <f t="shared" si="282"/>
        <v>-7.0000000000000007E-2</v>
      </c>
      <c r="AY408" s="78">
        <f t="shared" si="283"/>
        <v>-7.0000000000000007E-2</v>
      </c>
      <c r="AZ408" s="78">
        <f t="shared" si="284"/>
        <v>0.26</v>
      </c>
      <c r="BA408" s="78">
        <f t="shared" si="285"/>
        <v>0.26</v>
      </c>
      <c r="BB408" s="78">
        <f t="shared" si="286"/>
        <v>0.26</v>
      </c>
      <c r="BC408" s="78">
        <f t="shared" si="287"/>
        <v>0.26</v>
      </c>
      <c r="BD408" s="78">
        <f t="shared" si="288"/>
        <v>0.26</v>
      </c>
      <c r="BE408" s="78">
        <f t="shared" si="289"/>
        <v>0.26</v>
      </c>
      <c r="BF408" s="78">
        <f t="shared" si="290"/>
        <v>0.26</v>
      </c>
      <c r="BG408" s="78">
        <f t="shared" si="291"/>
        <v>0.26</v>
      </c>
      <c r="BH408" s="78">
        <f t="shared" si="292"/>
        <v>0.26</v>
      </c>
      <c r="BI408" s="78">
        <f t="shared" si="293"/>
        <v>0.26</v>
      </c>
      <c r="BJ408" s="78">
        <f t="shared" si="294"/>
        <v>0.26</v>
      </c>
      <c r="BK408" s="78">
        <f t="shared" si="295"/>
        <v>0.26</v>
      </c>
      <c r="BL408" s="78">
        <f t="shared" si="296"/>
        <v>0.26</v>
      </c>
      <c r="BM408" s="78">
        <f t="shared" si="297"/>
        <v>0.26</v>
      </c>
      <c r="BN408" s="78">
        <f t="shared" si="298"/>
        <v>0.26</v>
      </c>
      <c r="BO408" s="78">
        <f t="shared" si="299"/>
        <v>0.26</v>
      </c>
      <c r="BP408" s="78">
        <f t="shared" si="300"/>
        <v>0.26</v>
      </c>
      <c r="BQ408" s="78">
        <f t="shared" si="301"/>
        <v>0.26</v>
      </c>
      <c r="BR408" s="78">
        <f t="shared" si="302"/>
        <v>0.26</v>
      </c>
      <c r="BS408" s="77"/>
      <c r="BT408" s="77"/>
    </row>
    <row r="409" spans="1:72" ht="14.1" customHeight="1" x14ac:dyDescent="0.2">
      <c r="A409" s="55" t="str">
        <f t="shared" si="273"/>
        <v>GDS-4 (Large General Delivery)_Rider GUA - Supply (Only Rider S Cust)</v>
      </c>
      <c r="B409" s="80" t="s">
        <v>673</v>
      </c>
      <c r="C409" s="71" t="s">
        <v>847</v>
      </c>
      <c r="D409" s="150"/>
      <c r="E409" s="81"/>
      <c r="F409" s="73" t="s">
        <v>649</v>
      </c>
      <c r="G409" s="73">
        <v>0</v>
      </c>
      <c r="H409" s="73">
        <v>6</v>
      </c>
      <c r="I409" s="74" t="s">
        <v>641</v>
      </c>
      <c r="J409" s="75" t="s">
        <v>634</v>
      </c>
      <c r="K409" s="74"/>
      <c r="L409" s="82">
        <v>-0.03</v>
      </c>
      <c r="M409" s="138">
        <v>-0.03</v>
      </c>
      <c r="N409" s="138">
        <v>-0.03</v>
      </c>
      <c r="O409" s="138">
        <v>-0.03</v>
      </c>
      <c r="P409" s="138">
        <v>-0.03</v>
      </c>
      <c r="Q409" s="138">
        <v>-0.03</v>
      </c>
      <c r="R409" s="138">
        <v>0.26</v>
      </c>
      <c r="S409" s="138">
        <v>0.26</v>
      </c>
      <c r="T409" s="138">
        <v>0.26</v>
      </c>
      <c r="U409" s="138">
        <v>0.26</v>
      </c>
      <c r="V409" s="138">
        <v>0.26</v>
      </c>
      <c r="W409" s="138">
        <v>0.26</v>
      </c>
      <c r="X409" s="138">
        <v>0.26</v>
      </c>
      <c r="Y409" s="138">
        <f t="shared" si="303"/>
        <v>0.26</v>
      </c>
      <c r="Z409" s="138">
        <f t="shared" si="304"/>
        <v>0.26</v>
      </c>
      <c r="AA409" s="138">
        <f t="shared" si="305"/>
        <v>0.26</v>
      </c>
      <c r="AB409" s="138">
        <f t="shared" si="306"/>
        <v>0.26</v>
      </c>
      <c r="AC409" s="138">
        <f t="shared" si="307"/>
        <v>0.26</v>
      </c>
      <c r="AD409" s="138">
        <f t="shared" si="308"/>
        <v>0.26</v>
      </c>
      <c r="AE409" s="138">
        <f t="shared" si="309"/>
        <v>0.26</v>
      </c>
      <c r="AF409" s="138">
        <f t="shared" si="310"/>
        <v>0.26</v>
      </c>
      <c r="AG409" s="138">
        <f t="shared" si="311"/>
        <v>0.26</v>
      </c>
      <c r="AH409" s="138">
        <f t="shared" si="312"/>
        <v>0.26</v>
      </c>
      <c r="AI409" s="138">
        <f t="shared" si="313"/>
        <v>0.26</v>
      </c>
      <c r="AJ409" s="138">
        <f t="shared" si="314"/>
        <v>0.26</v>
      </c>
      <c r="AK409" s="138">
        <f t="shared" si="315"/>
        <v>0.26</v>
      </c>
      <c r="AL409" s="138">
        <f t="shared" si="316"/>
        <v>0.25999999999999995</v>
      </c>
      <c r="AM409" s="138">
        <f t="shared" si="317"/>
        <v>0.21166666666666659</v>
      </c>
      <c r="AO409" s="77" t="str">
        <f t="shared" si="274"/>
        <v>GDS-4 (Large General Delivery)</v>
      </c>
      <c r="AP409" s="78" t="s">
        <v>674</v>
      </c>
      <c r="AQ409" s="77" t="str">
        <f t="shared" si="275"/>
        <v>Rider GUA - Supply (Only Rider S Cust)</v>
      </c>
      <c r="AR409" s="78" t="str">
        <f t="shared" si="276"/>
        <v>Billing Cycle</v>
      </c>
      <c r="AS409" s="79">
        <f t="shared" si="277"/>
        <v>6</v>
      </c>
      <c r="AT409" s="78">
        <f t="shared" si="278"/>
        <v>0</v>
      </c>
      <c r="AU409" s="78">
        <f t="shared" si="279"/>
        <v>-0.03</v>
      </c>
      <c r="AV409" s="78">
        <f t="shared" si="280"/>
        <v>-0.03</v>
      </c>
      <c r="AW409" s="78">
        <f t="shared" si="281"/>
        <v>-0.03</v>
      </c>
      <c r="AX409" s="78">
        <f t="shared" si="282"/>
        <v>-0.03</v>
      </c>
      <c r="AY409" s="78">
        <f t="shared" si="283"/>
        <v>-0.03</v>
      </c>
      <c r="AZ409" s="78">
        <f t="shared" si="284"/>
        <v>0.26</v>
      </c>
      <c r="BA409" s="78">
        <f t="shared" si="285"/>
        <v>0.26</v>
      </c>
      <c r="BB409" s="78">
        <f t="shared" si="286"/>
        <v>0.26</v>
      </c>
      <c r="BC409" s="78">
        <f t="shared" si="287"/>
        <v>0.26</v>
      </c>
      <c r="BD409" s="78">
        <f t="shared" si="288"/>
        <v>0.26</v>
      </c>
      <c r="BE409" s="78">
        <f t="shared" si="289"/>
        <v>0.26</v>
      </c>
      <c r="BF409" s="78">
        <f t="shared" si="290"/>
        <v>0.26</v>
      </c>
      <c r="BG409" s="78">
        <f t="shared" si="291"/>
        <v>0.26</v>
      </c>
      <c r="BH409" s="78">
        <f t="shared" si="292"/>
        <v>0.26</v>
      </c>
      <c r="BI409" s="78">
        <f t="shared" si="293"/>
        <v>0.26</v>
      </c>
      <c r="BJ409" s="78">
        <f t="shared" si="294"/>
        <v>0.26</v>
      </c>
      <c r="BK409" s="78">
        <f t="shared" si="295"/>
        <v>0.26</v>
      </c>
      <c r="BL409" s="78">
        <f t="shared" si="296"/>
        <v>0.26</v>
      </c>
      <c r="BM409" s="78">
        <f t="shared" si="297"/>
        <v>0.26</v>
      </c>
      <c r="BN409" s="78">
        <f t="shared" si="298"/>
        <v>0.26</v>
      </c>
      <c r="BO409" s="78">
        <f t="shared" si="299"/>
        <v>0.26</v>
      </c>
      <c r="BP409" s="78">
        <f t="shared" si="300"/>
        <v>0.26</v>
      </c>
      <c r="BQ409" s="78">
        <f t="shared" si="301"/>
        <v>0.26</v>
      </c>
      <c r="BR409" s="78">
        <f t="shared" si="302"/>
        <v>0.26</v>
      </c>
      <c r="BS409" s="77"/>
      <c r="BT409" s="77"/>
    </row>
    <row r="410" spans="1:72" ht="14.1" customHeight="1" x14ac:dyDescent="0.2">
      <c r="A410" s="55" t="str">
        <f t="shared" si="273"/>
        <v>GDS-5 (Seasonal)_Rider GUA - Supply (Only Rider S Cust)</v>
      </c>
      <c r="B410" s="80" t="s">
        <v>675</v>
      </c>
      <c r="C410" s="71" t="s">
        <v>847</v>
      </c>
      <c r="D410" s="150"/>
      <c r="E410" s="81"/>
      <c r="F410" s="73" t="s">
        <v>649</v>
      </c>
      <c r="G410" s="73">
        <v>0</v>
      </c>
      <c r="H410" s="73">
        <v>6</v>
      </c>
      <c r="I410" s="74" t="s">
        <v>641</v>
      </c>
      <c r="J410" s="75" t="s">
        <v>634</v>
      </c>
      <c r="K410" s="74"/>
      <c r="L410" s="82">
        <v>-7.0000000000000007E-2</v>
      </c>
      <c r="M410" s="138">
        <v>-7.0000000000000007E-2</v>
      </c>
      <c r="N410" s="138">
        <v>-7.0000000000000007E-2</v>
      </c>
      <c r="O410" s="138">
        <v>-7.0000000000000007E-2</v>
      </c>
      <c r="P410" s="138">
        <v>-7.0000000000000007E-2</v>
      </c>
      <c r="Q410" s="138">
        <v>-7.0000000000000007E-2</v>
      </c>
      <c r="R410" s="138">
        <v>0.26</v>
      </c>
      <c r="S410" s="138">
        <v>0.26</v>
      </c>
      <c r="T410" s="138">
        <v>0.26</v>
      </c>
      <c r="U410" s="138">
        <v>0.26</v>
      </c>
      <c r="V410" s="138">
        <v>0.26</v>
      </c>
      <c r="W410" s="138">
        <v>0.26</v>
      </c>
      <c r="X410" s="138">
        <v>0.26</v>
      </c>
      <c r="Y410" s="138">
        <f t="shared" si="303"/>
        <v>0.26</v>
      </c>
      <c r="Z410" s="138">
        <f t="shared" si="304"/>
        <v>0.26</v>
      </c>
      <c r="AA410" s="138">
        <f t="shared" si="305"/>
        <v>0.26</v>
      </c>
      <c r="AB410" s="138">
        <f t="shared" si="306"/>
        <v>0.26</v>
      </c>
      <c r="AC410" s="138">
        <f t="shared" si="307"/>
        <v>0.26</v>
      </c>
      <c r="AD410" s="138">
        <f t="shared" si="308"/>
        <v>0.26</v>
      </c>
      <c r="AE410" s="138">
        <f t="shared" si="309"/>
        <v>0.26</v>
      </c>
      <c r="AF410" s="138">
        <f t="shared" si="310"/>
        <v>0.26</v>
      </c>
      <c r="AG410" s="138">
        <f t="shared" si="311"/>
        <v>0.26</v>
      </c>
      <c r="AH410" s="138">
        <f t="shared" si="312"/>
        <v>0.26</v>
      </c>
      <c r="AI410" s="138">
        <f t="shared" si="313"/>
        <v>0.26</v>
      </c>
      <c r="AJ410" s="138">
        <f t="shared" si="314"/>
        <v>0.26</v>
      </c>
      <c r="AK410" s="138">
        <f t="shared" si="315"/>
        <v>0.26</v>
      </c>
      <c r="AL410" s="138">
        <f t="shared" si="316"/>
        <v>0.25999999999999995</v>
      </c>
      <c r="AM410" s="138">
        <f t="shared" si="317"/>
        <v>0.20499999999999993</v>
      </c>
      <c r="AO410" s="77" t="str">
        <f t="shared" si="274"/>
        <v>GDS-5 (Seasonal)</v>
      </c>
      <c r="AP410" s="78" t="s">
        <v>676</v>
      </c>
      <c r="AQ410" s="77" t="str">
        <f t="shared" si="275"/>
        <v>Rider GUA - Supply (Only Rider S Cust)</v>
      </c>
      <c r="AR410" s="78" t="str">
        <f t="shared" si="276"/>
        <v>Billing Cycle</v>
      </c>
      <c r="AS410" s="79">
        <f t="shared" si="277"/>
        <v>6</v>
      </c>
      <c r="AT410" s="78">
        <f t="shared" si="278"/>
        <v>0</v>
      </c>
      <c r="AU410" s="78">
        <f t="shared" si="279"/>
        <v>-7.0000000000000007E-2</v>
      </c>
      <c r="AV410" s="78">
        <f t="shared" si="280"/>
        <v>-7.0000000000000007E-2</v>
      </c>
      <c r="AW410" s="78">
        <f t="shared" si="281"/>
        <v>-7.0000000000000007E-2</v>
      </c>
      <c r="AX410" s="78">
        <f t="shared" si="282"/>
        <v>-7.0000000000000007E-2</v>
      </c>
      <c r="AY410" s="78">
        <f t="shared" si="283"/>
        <v>-7.0000000000000007E-2</v>
      </c>
      <c r="AZ410" s="78">
        <f t="shared" si="284"/>
        <v>0.26</v>
      </c>
      <c r="BA410" s="78">
        <f t="shared" si="285"/>
        <v>0.26</v>
      </c>
      <c r="BB410" s="78">
        <f t="shared" si="286"/>
        <v>0.26</v>
      </c>
      <c r="BC410" s="78">
        <f t="shared" si="287"/>
        <v>0.26</v>
      </c>
      <c r="BD410" s="78">
        <f t="shared" si="288"/>
        <v>0.26</v>
      </c>
      <c r="BE410" s="78">
        <f t="shared" si="289"/>
        <v>0.26</v>
      </c>
      <c r="BF410" s="78">
        <f t="shared" si="290"/>
        <v>0.26</v>
      </c>
      <c r="BG410" s="78">
        <f t="shared" si="291"/>
        <v>0.26</v>
      </c>
      <c r="BH410" s="78">
        <f t="shared" si="292"/>
        <v>0.26</v>
      </c>
      <c r="BI410" s="78">
        <f t="shared" si="293"/>
        <v>0.26</v>
      </c>
      <c r="BJ410" s="78">
        <f t="shared" si="294"/>
        <v>0.26</v>
      </c>
      <c r="BK410" s="78">
        <f t="shared" si="295"/>
        <v>0.26</v>
      </c>
      <c r="BL410" s="78">
        <f t="shared" si="296"/>
        <v>0.26</v>
      </c>
      <c r="BM410" s="78">
        <f t="shared" si="297"/>
        <v>0.26</v>
      </c>
      <c r="BN410" s="78">
        <f t="shared" si="298"/>
        <v>0.26</v>
      </c>
      <c r="BO410" s="78">
        <f t="shared" si="299"/>
        <v>0.26</v>
      </c>
      <c r="BP410" s="78">
        <f t="shared" si="300"/>
        <v>0.26</v>
      </c>
      <c r="BQ410" s="78">
        <f t="shared" si="301"/>
        <v>0.26</v>
      </c>
      <c r="BR410" s="78">
        <f t="shared" si="302"/>
        <v>0.26</v>
      </c>
      <c r="BS410" s="77"/>
      <c r="BT410" s="77"/>
    </row>
    <row r="411" spans="1:72" ht="14.1" customHeight="1" x14ac:dyDescent="0.2">
      <c r="A411" s="55" t="str">
        <f t="shared" si="273"/>
        <v>GDS-6 (Inadequate Capacity)_Rider GUA - Supply (Only Rider S Cust)</v>
      </c>
      <c r="B411" s="80" t="s">
        <v>700</v>
      </c>
      <c r="C411" s="71" t="s">
        <v>847</v>
      </c>
      <c r="D411" s="150"/>
      <c r="E411" s="81"/>
      <c r="F411" s="73"/>
      <c r="G411" s="73"/>
      <c r="H411" s="73"/>
      <c r="I411" s="74"/>
      <c r="J411" s="75"/>
      <c r="K411" s="74"/>
      <c r="L411" s="82">
        <v>0</v>
      </c>
      <c r="M411" s="138">
        <v>0</v>
      </c>
      <c r="N411" s="138">
        <v>0</v>
      </c>
      <c r="O411" s="138">
        <v>0</v>
      </c>
      <c r="P411" s="138">
        <v>0</v>
      </c>
      <c r="Q411" s="138">
        <v>0</v>
      </c>
      <c r="R411" s="138">
        <v>0.26</v>
      </c>
      <c r="S411" s="138">
        <v>0.26</v>
      </c>
      <c r="T411" s="138">
        <v>0.26</v>
      </c>
      <c r="U411" s="138">
        <v>0.26</v>
      </c>
      <c r="V411" s="138">
        <v>0.26</v>
      </c>
      <c r="W411" s="138">
        <v>0.26</v>
      </c>
      <c r="X411" s="138">
        <v>0.26</v>
      </c>
      <c r="Y411" s="138">
        <f t="shared" si="303"/>
        <v>0.26</v>
      </c>
      <c r="Z411" s="138">
        <f t="shared" si="304"/>
        <v>0.26</v>
      </c>
      <c r="AA411" s="138">
        <f t="shared" si="305"/>
        <v>0.26</v>
      </c>
      <c r="AB411" s="138">
        <f t="shared" si="306"/>
        <v>0.26</v>
      </c>
      <c r="AC411" s="138">
        <f t="shared" si="307"/>
        <v>0.26</v>
      </c>
      <c r="AD411" s="138">
        <f t="shared" si="308"/>
        <v>0.26</v>
      </c>
      <c r="AE411" s="138">
        <f t="shared" si="309"/>
        <v>0.26</v>
      </c>
      <c r="AF411" s="138">
        <f t="shared" si="310"/>
        <v>0.26</v>
      </c>
      <c r="AG411" s="138">
        <f t="shared" si="311"/>
        <v>0.26</v>
      </c>
      <c r="AH411" s="138">
        <f t="shared" si="312"/>
        <v>0.26</v>
      </c>
      <c r="AI411" s="138">
        <f t="shared" si="313"/>
        <v>0.26</v>
      </c>
      <c r="AJ411" s="138">
        <f t="shared" si="314"/>
        <v>0.26</v>
      </c>
      <c r="AK411" s="138">
        <f t="shared" si="315"/>
        <v>0.26</v>
      </c>
      <c r="AL411" s="138">
        <f t="shared" si="316"/>
        <v>0.25999999999999995</v>
      </c>
      <c r="AM411" s="138">
        <f t="shared" si="317"/>
        <v>0.21666666666666656</v>
      </c>
      <c r="AO411" s="77" t="str">
        <f t="shared" si="274"/>
        <v>GDS-6 (Inadequate Capacity)</v>
      </c>
      <c r="AP411" s="78" t="s">
        <v>701</v>
      </c>
      <c r="AQ411" s="77" t="str">
        <f t="shared" si="275"/>
        <v>Rider GUA - Supply (Only Rider S Cust)</v>
      </c>
      <c r="AR411" s="78">
        <f t="shared" si="276"/>
        <v>0</v>
      </c>
      <c r="AS411" s="79">
        <f t="shared" si="277"/>
        <v>0</v>
      </c>
      <c r="AT411" s="78">
        <f t="shared" si="278"/>
        <v>0</v>
      </c>
      <c r="AU411" s="78">
        <f t="shared" si="279"/>
        <v>0</v>
      </c>
      <c r="AV411" s="78">
        <f t="shared" si="280"/>
        <v>0</v>
      </c>
      <c r="AW411" s="78">
        <f t="shared" si="281"/>
        <v>0</v>
      </c>
      <c r="AX411" s="78">
        <f t="shared" si="282"/>
        <v>0</v>
      </c>
      <c r="AY411" s="78">
        <f t="shared" si="283"/>
        <v>0</v>
      </c>
      <c r="AZ411" s="78">
        <f t="shared" si="284"/>
        <v>0</v>
      </c>
      <c r="BA411" s="78">
        <f t="shared" si="285"/>
        <v>0</v>
      </c>
      <c r="BB411" s="78">
        <f t="shared" si="286"/>
        <v>0</v>
      </c>
      <c r="BC411" s="78">
        <f t="shared" si="287"/>
        <v>0</v>
      </c>
      <c r="BD411" s="78">
        <f t="shared" si="288"/>
        <v>0</v>
      </c>
      <c r="BE411" s="78">
        <f t="shared" si="289"/>
        <v>0</v>
      </c>
      <c r="BF411" s="78">
        <f t="shared" si="290"/>
        <v>0</v>
      </c>
      <c r="BG411" s="78">
        <f t="shared" si="291"/>
        <v>0</v>
      </c>
      <c r="BH411" s="78">
        <f t="shared" si="292"/>
        <v>0</v>
      </c>
      <c r="BI411" s="78">
        <f t="shared" si="293"/>
        <v>0</v>
      </c>
      <c r="BJ411" s="78">
        <f t="shared" si="294"/>
        <v>0</v>
      </c>
      <c r="BK411" s="78">
        <f t="shared" si="295"/>
        <v>0</v>
      </c>
      <c r="BL411" s="78">
        <f t="shared" si="296"/>
        <v>0</v>
      </c>
      <c r="BM411" s="78">
        <f t="shared" si="297"/>
        <v>0</v>
      </c>
      <c r="BN411" s="78">
        <f t="shared" si="298"/>
        <v>0</v>
      </c>
      <c r="BO411" s="78">
        <f t="shared" si="299"/>
        <v>0</v>
      </c>
      <c r="BP411" s="78">
        <f t="shared" si="300"/>
        <v>0</v>
      </c>
      <c r="BQ411" s="78">
        <f t="shared" si="301"/>
        <v>0</v>
      </c>
      <c r="BR411" s="78">
        <f t="shared" si="302"/>
        <v>0</v>
      </c>
      <c r="BS411" s="77"/>
      <c r="BT411" s="77"/>
    </row>
    <row r="412" spans="1:72" ht="14.1" customHeight="1" x14ac:dyDescent="0.2">
      <c r="A412" s="55" t="str">
        <f t="shared" si="273"/>
        <v>GDS-7 (Special Contracts)_Rider GUA - Supply (Only Rider S Cust)</v>
      </c>
      <c r="B412" s="85" t="s">
        <v>845</v>
      </c>
      <c r="C412" s="71" t="s">
        <v>847</v>
      </c>
      <c r="D412" s="150"/>
      <c r="E412" s="81"/>
      <c r="F412" s="73" t="s">
        <v>649</v>
      </c>
      <c r="G412" s="73">
        <v>0</v>
      </c>
      <c r="H412" s="73">
        <v>6</v>
      </c>
      <c r="I412" s="74" t="s">
        <v>641</v>
      </c>
      <c r="J412" s="75" t="s">
        <v>634</v>
      </c>
      <c r="K412" s="74"/>
      <c r="L412" s="82">
        <v>-7.0000000000000007E-2</v>
      </c>
      <c r="M412" s="138">
        <v>-7.0000000000000007E-2</v>
      </c>
      <c r="N412" s="138">
        <v>-7.0000000000000007E-2</v>
      </c>
      <c r="O412" s="138">
        <v>-7.0000000000000007E-2</v>
      </c>
      <c r="P412" s="138">
        <v>-7.0000000000000007E-2</v>
      </c>
      <c r="Q412" s="138">
        <v>-7.0000000000000007E-2</v>
      </c>
      <c r="R412" s="138">
        <v>0.26</v>
      </c>
      <c r="S412" s="138">
        <v>0.26</v>
      </c>
      <c r="T412" s="138">
        <v>0.26</v>
      </c>
      <c r="U412" s="138">
        <v>0.26</v>
      </c>
      <c r="V412" s="138">
        <v>0.26</v>
      </c>
      <c r="W412" s="138">
        <v>0.26</v>
      </c>
      <c r="X412" s="138">
        <v>0.26</v>
      </c>
      <c r="Y412" s="138">
        <f t="shared" si="303"/>
        <v>0.26</v>
      </c>
      <c r="Z412" s="138">
        <f t="shared" si="304"/>
        <v>0.26</v>
      </c>
      <c r="AA412" s="138">
        <f t="shared" si="305"/>
        <v>0.26</v>
      </c>
      <c r="AB412" s="138">
        <f t="shared" si="306"/>
        <v>0.26</v>
      </c>
      <c r="AC412" s="138">
        <f t="shared" si="307"/>
        <v>0.26</v>
      </c>
      <c r="AD412" s="138">
        <f t="shared" si="308"/>
        <v>0.26</v>
      </c>
      <c r="AE412" s="138">
        <f t="shared" si="309"/>
        <v>0.26</v>
      </c>
      <c r="AF412" s="138">
        <f t="shared" si="310"/>
        <v>0.26</v>
      </c>
      <c r="AG412" s="138">
        <f t="shared" si="311"/>
        <v>0.26</v>
      </c>
      <c r="AH412" s="138">
        <f t="shared" si="312"/>
        <v>0.26</v>
      </c>
      <c r="AI412" s="138">
        <f t="shared" si="313"/>
        <v>0.26</v>
      </c>
      <c r="AJ412" s="138">
        <f t="shared" si="314"/>
        <v>0.26</v>
      </c>
      <c r="AK412" s="138">
        <f t="shared" si="315"/>
        <v>0.26</v>
      </c>
      <c r="AL412" s="138">
        <f t="shared" si="316"/>
        <v>0.25999999999999995</v>
      </c>
      <c r="AM412" s="138">
        <f t="shared" si="317"/>
        <v>0.20499999999999993</v>
      </c>
      <c r="AO412" s="77" t="str">
        <f t="shared" si="274"/>
        <v>GDS-7 (Special Contracts)</v>
      </c>
      <c r="AP412" s="78" t="s">
        <v>846</v>
      </c>
      <c r="AQ412" s="77" t="str">
        <f t="shared" si="275"/>
        <v>Rider GUA - Supply (Only Rider S Cust)</v>
      </c>
      <c r="AR412" s="78" t="str">
        <f t="shared" si="276"/>
        <v>Billing Cycle</v>
      </c>
      <c r="AS412" s="79">
        <f t="shared" si="277"/>
        <v>6</v>
      </c>
      <c r="AT412" s="78">
        <f t="shared" si="278"/>
        <v>0</v>
      </c>
      <c r="AU412" s="78">
        <f t="shared" si="279"/>
        <v>-7.0000000000000007E-2</v>
      </c>
      <c r="AV412" s="78">
        <f t="shared" si="280"/>
        <v>-7.0000000000000007E-2</v>
      </c>
      <c r="AW412" s="78">
        <f t="shared" si="281"/>
        <v>-7.0000000000000007E-2</v>
      </c>
      <c r="AX412" s="78">
        <f t="shared" si="282"/>
        <v>-7.0000000000000007E-2</v>
      </c>
      <c r="AY412" s="78">
        <f t="shared" si="283"/>
        <v>-7.0000000000000007E-2</v>
      </c>
      <c r="AZ412" s="78">
        <f t="shared" si="284"/>
        <v>0.26</v>
      </c>
      <c r="BA412" s="78">
        <f t="shared" si="285"/>
        <v>0.26</v>
      </c>
      <c r="BB412" s="78">
        <f t="shared" si="286"/>
        <v>0.26</v>
      </c>
      <c r="BC412" s="78">
        <f t="shared" si="287"/>
        <v>0.26</v>
      </c>
      <c r="BD412" s="78">
        <f t="shared" si="288"/>
        <v>0.26</v>
      </c>
      <c r="BE412" s="78">
        <f t="shared" si="289"/>
        <v>0.26</v>
      </c>
      <c r="BF412" s="78">
        <f t="shared" si="290"/>
        <v>0.26</v>
      </c>
      <c r="BG412" s="78">
        <f t="shared" si="291"/>
        <v>0.26</v>
      </c>
      <c r="BH412" s="78">
        <f t="shared" si="292"/>
        <v>0.26</v>
      </c>
      <c r="BI412" s="78">
        <f t="shared" si="293"/>
        <v>0.26</v>
      </c>
      <c r="BJ412" s="78">
        <f t="shared" si="294"/>
        <v>0.26</v>
      </c>
      <c r="BK412" s="78">
        <f t="shared" si="295"/>
        <v>0.26</v>
      </c>
      <c r="BL412" s="78">
        <f t="shared" si="296"/>
        <v>0.26</v>
      </c>
      <c r="BM412" s="78">
        <f t="shared" si="297"/>
        <v>0.26</v>
      </c>
      <c r="BN412" s="78">
        <f t="shared" si="298"/>
        <v>0.26</v>
      </c>
      <c r="BO412" s="78">
        <f t="shared" si="299"/>
        <v>0.26</v>
      </c>
      <c r="BP412" s="78">
        <f t="shared" si="300"/>
        <v>0.26</v>
      </c>
      <c r="BQ412" s="78">
        <f t="shared" si="301"/>
        <v>0.26</v>
      </c>
      <c r="BR412" s="78">
        <f t="shared" si="302"/>
        <v>0.26</v>
      </c>
      <c r="BS412" s="77"/>
      <c r="BT412" s="77"/>
    </row>
    <row r="413" spans="1:72" ht="14.1" customHeight="1" x14ac:dyDescent="0.2">
      <c r="A413" s="55" t="str">
        <f t="shared" si="273"/>
        <v>DS-3 (General Delivery Service)_Rider HSS - Cash Working Capital</v>
      </c>
      <c r="B413" s="80" t="s">
        <v>666</v>
      </c>
      <c r="C413" s="83" t="s">
        <v>848</v>
      </c>
      <c r="D413" s="150"/>
      <c r="E413" s="81"/>
      <c r="F413" s="73" t="s">
        <v>640</v>
      </c>
      <c r="G413" s="73">
        <v>0</v>
      </c>
      <c r="H413" s="73">
        <v>6</v>
      </c>
      <c r="I413" s="74" t="s">
        <v>641</v>
      </c>
      <c r="J413" s="75" t="s">
        <v>634</v>
      </c>
      <c r="K413" s="74"/>
      <c r="L413" s="82">
        <v>5.5399999999999998E-3</v>
      </c>
      <c r="M413" s="138">
        <v>6.9499999999999996E-3</v>
      </c>
      <c r="N413" s="138">
        <v>6.9499999999999996E-3</v>
      </c>
      <c r="O413" s="138">
        <v>6.9499999999999996E-3</v>
      </c>
      <c r="P413" s="138">
        <v>6.9499999999999996E-3</v>
      </c>
      <c r="Q413" s="138">
        <v>6.9499999999999996E-3</v>
      </c>
      <c r="R413" s="138">
        <v>6.9499999999999996E-3</v>
      </c>
      <c r="S413" s="138">
        <v>6.9499999999999996E-3</v>
      </c>
      <c r="T413" s="138">
        <v>6.9499999999999996E-3</v>
      </c>
      <c r="U413" s="138">
        <v>6.9499999999999996E-3</v>
      </c>
      <c r="V413" s="138">
        <v>6.9499999999999996E-3</v>
      </c>
      <c r="W413" s="138">
        <v>6.9499999999999996E-3</v>
      </c>
      <c r="X413" s="138">
        <v>6.9499999999999996E-3</v>
      </c>
      <c r="Y413" s="138">
        <f t="shared" si="303"/>
        <v>6.9499999999999996E-3</v>
      </c>
      <c r="Z413" s="138">
        <f t="shared" si="304"/>
        <v>6.9499999999999996E-3</v>
      </c>
      <c r="AA413" s="138">
        <f t="shared" si="305"/>
        <v>6.9499999999999996E-3</v>
      </c>
      <c r="AB413" s="138">
        <f t="shared" si="306"/>
        <v>6.9499999999999996E-3</v>
      </c>
      <c r="AC413" s="138">
        <f t="shared" si="307"/>
        <v>6.9499999999999996E-3</v>
      </c>
      <c r="AD413" s="138">
        <f t="shared" si="308"/>
        <v>6.9499999999999996E-3</v>
      </c>
      <c r="AE413" s="138">
        <f t="shared" si="309"/>
        <v>6.9499999999999996E-3</v>
      </c>
      <c r="AF413" s="138">
        <f t="shared" si="310"/>
        <v>6.9499999999999996E-3</v>
      </c>
      <c r="AG413" s="138">
        <f t="shared" si="311"/>
        <v>6.9499999999999996E-3</v>
      </c>
      <c r="AH413" s="138">
        <f t="shared" si="312"/>
        <v>6.9499999999999996E-3</v>
      </c>
      <c r="AI413" s="138">
        <f t="shared" si="313"/>
        <v>6.9499999999999996E-3</v>
      </c>
      <c r="AJ413" s="138">
        <f t="shared" si="314"/>
        <v>6.9499999999999996E-3</v>
      </c>
      <c r="AK413" s="138">
        <f t="shared" si="315"/>
        <v>6.9499999999999996E-3</v>
      </c>
      <c r="AL413" s="138">
        <f t="shared" si="316"/>
        <v>6.9499999999999987E-3</v>
      </c>
      <c r="AM413" s="138">
        <f t="shared" si="317"/>
        <v>6.9500000000000022E-3</v>
      </c>
      <c r="AO413" s="77" t="str">
        <f t="shared" si="274"/>
        <v>DS-3 (General Delivery Service)</v>
      </c>
      <c r="AP413" s="78" t="s">
        <v>667</v>
      </c>
      <c r="AQ413" s="77" t="str">
        <f t="shared" si="275"/>
        <v>Rider HSS - Cash Working Capital</v>
      </c>
      <c r="AR413" s="78" t="str">
        <f t="shared" si="276"/>
        <v>Prorated</v>
      </c>
      <c r="AS413" s="79">
        <f t="shared" si="277"/>
        <v>6</v>
      </c>
      <c r="AT413" s="78">
        <f t="shared" si="278"/>
        <v>0</v>
      </c>
      <c r="AU413" s="78">
        <f t="shared" si="279"/>
        <v>6.9499999999999996E-3</v>
      </c>
      <c r="AV413" s="78">
        <f t="shared" si="280"/>
        <v>6.9499999999999996E-3</v>
      </c>
      <c r="AW413" s="78">
        <f t="shared" si="281"/>
        <v>6.9499999999999996E-3</v>
      </c>
      <c r="AX413" s="78">
        <f t="shared" si="282"/>
        <v>6.9499999999999996E-3</v>
      </c>
      <c r="AY413" s="78">
        <f t="shared" si="283"/>
        <v>6.9499999999999996E-3</v>
      </c>
      <c r="AZ413" s="78">
        <f t="shared" si="284"/>
        <v>6.9499999999999996E-3</v>
      </c>
      <c r="BA413" s="78">
        <f t="shared" si="285"/>
        <v>6.9499999999999996E-3</v>
      </c>
      <c r="BB413" s="78">
        <f t="shared" si="286"/>
        <v>6.9499999999999996E-3</v>
      </c>
      <c r="BC413" s="78">
        <f t="shared" si="287"/>
        <v>6.9499999999999996E-3</v>
      </c>
      <c r="BD413" s="78">
        <f t="shared" si="288"/>
        <v>6.9499999999999996E-3</v>
      </c>
      <c r="BE413" s="78">
        <f t="shared" si="289"/>
        <v>6.9499999999999996E-3</v>
      </c>
      <c r="BF413" s="78">
        <f t="shared" si="290"/>
        <v>6.9499999999999996E-3</v>
      </c>
      <c r="BG413" s="78">
        <f t="shared" si="291"/>
        <v>6.9499999999999996E-3</v>
      </c>
      <c r="BH413" s="78">
        <f t="shared" si="292"/>
        <v>6.9499999999999996E-3</v>
      </c>
      <c r="BI413" s="78">
        <f t="shared" si="293"/>
        <v>6.9499999999999996E-3</v>
      </c>
      <c r="BJ413" s="78">
        <f t="shared" si="294"/>
        <v>6.9499999999999996E-3</v>
      </c>
      <c r="BK413" s="78">
        <f t="shared" si="295"/>
        <v>6.9499999999999996E-3</v>
      </c>
      <c r="BL413" s="78">
        <f t="shared" si="296"/>
        <v>6.9499999999999996E-3</v>
      </c>
      <c r="BM413" s="78">
        <f t="shared" si="297"/>
        <v>6.9499999999999996E-3</v>
      </c>
      <c r="BN413" s="78">
        <f t="shared" si="298"/>
        <v>6.9499999999999996E-3</v>
      </c>
      <c r="BO413" s="78">
        <f t="shared" si="299"/>
        <v>6.9499999999999996E-3</v>
      </c>
      <c r="BP413" s="78">
        <f t="shared" si="300"/>
        <v>6.9499999999999996E-3</v>
      </c>
      <c r="BQ413" s="78">
        <f t="shared" si="301"/>
        <v>6.9499999999999996E-3</v>
      </c>
      <c r="BR413" s="78">
        <f t="shared" si="302"/>
        <v>6.9499999999999996E-3</v>
      </c>
      <c r="BS413" s="77"/>
      <c r="BT413" s="77"/>
    </row>
    <row r="414" spans="1:72" ht="14.1" customHeight="1" x14ac:dyDescent="0.2">
      <c r="A414" s="55" t="str">
        <f t="shared" si="273"/>
        <v>DS-4 (Large General Service)_Rider HSS - Cash Working Capital</v>
      </c>
      <c r="B414" s="80" t="s">
        <v>639</v>
      </c>
      <c r="C414" s="83" t="s">
        <v>848</v>
      </c>
      <c r="D414" s="150"/>
      <c r="E414" s="81"/>
      <c r="F414" s="73" t="s">
        <v>640</v>
      </c>
      <c r="G414" s="73">
        <v>0</v>
      </c>
      <c r="H414" s="73">
        <v>6</v>
      </c>
      <c r="I414" s="74" t="s">
        <v>641</v>
      </c>
      <c r="J414" s="75" t="s">
        <v>634</v>
      </c>
      <c r="K414" s="74"/>
      <c r="L414" s="82">
        <v>5.5399999999999998E-3</v>
      </c>
      <c r="M414" s="138">
        <v>6.9499999999999996E-3</v>
      </c>
      <c r="N414" s="138">
        <v>6.9499999999999996E-3</v>
      </c>
      <c r="O414" s="138">
        <v>6.9499999999999996E-3</v>
      </c>
      <c r="P414" s="138">
        <v>6.9499999999999996E-3</v>
      </c>
      <c r="Q414" s="138">
        <v>6.9499999999999996E-3</v>
      </c>
      <c r="R414" s="138">
        <v>6.9499999999999996E-3</v>
      </c>
      <c r="S414" s="138">
        <v>6.9499999999999996E-3</v>
      </c>
      <c r="T414" s="138">
        <v>6.9499999999999996E-3</v>
      </c>
      <c r="U414" s="138">
        <v>6.9499999999999996E-3</v>
      </c>
      <c r="V414" s="138">
        <v>6.9499999999999996E-3</v>
      </c>
      <c r="W414" s="138">
        <v>6.9499999999999996E-3</v>
      </c>
      <c r="X414" s="138">
        <v>6.9499999999999996E-3</v>
      </c>
      <c r="Y414" s="138">
        <f t="shared" si="303"/>
        <v>6.9499999999999996E-3</v>
      </c>
      <c r="Z414" s="138">
        <f t="shared" si="304"/>
        <v>6.9499999999999996E-3</v>
      </c>
      <c r="AA414" s="138">
        <f t="shared" si="305"/>
        <v>6.9499999999999996E-3</v>
      </c>
      <c r="AB414" s="138">
        <f t="shared" si="306"/>
        <v>6.9499999999999996E-3</v>
      </c>
      <c r="AC414" s="138">
        <f t="shared" si="307"/>
        <v>6.9499999999999996E-3</v>
      </c>
      <c r="AD414" s="138">
        <f t="shared" si="308"/>
        <v>6.9499999999999996E-3</v>
      </c>
      <c r="AE414" s="138">
        <f t="shared" si="309"/>
        <v>6.9499999999999996E-3</v>
      </c>
      <c r="AF414" s="138">
        <f t="shared" si="310"/>
        <v>6.9499999999999996E-3</v>
      </c>
      <c r="AG414" s="138">
        <f t="shared" si="311"/>
        <v>6.9499999999999996E-3</v>
      </c>
      <c r="AH414" s="138">
        <f t="shared" si="312"/>
        <v>6.9499999999999996E-3</v>
      </c>
      <c r="AI414" s="138">
        <f t="shared" si="313"/>
        <v>6.9499999999999996E-3</v>
      </c>
      <c r="AJ414" s="138">
        <f t="shared" si="314"/>
        <v>6.9499999999999996E-3</v>
      </c>
      <c r="AK414" s="138">
        <f t="shared" si="315"/>
        <v>6.9499999999999996E-3</v>
      </c>
      <c r="AL414" s="138">
        <f t="shared" si="316"/>
        <v>6.9499999999999987E-3</v>
      </c>
      <c r="AM414" s="138">
        <f t="shared" si="317"/>
        <v>6.9500000000000022E-3</v>
      </c>
      <c r="AO414" s="77" t="str">
        <f t="shared" si="274"/>
        <v>DS-4 (Large General Service)</v>
      </c>
      <c r="AP414" s="78" t="s">
        <v>642</v>
      </c>
      <c r="AQ414" s="77" t="str">
        <f t="shared" si="275"/>
        <v>Rider HSS - Cash Working Capital</v>
      </c>
      <c r="AR414" s="78" t="str">
        <f t="shared" si="276"/>
        <v>Prorated</v>
      </c>
      <c r="AS414" s="79">
        <f t="shared" si="277"/>
        <v>6</v>
      </c>
      <c r="AT414" s="78">
        <f t="shared" si="278"/>
        <v>0</v>
      </c>
      <c r="AU414" s="78">
        <f t="shared" si="279"/>
        <v>6.9499999999999996E-3</v>
      </c>
      <c r="AV414" s="78">
        <f t="shared" si="280"/>
        <v>6.9499999999999996E-3</v>
      </c>
      <c r="AW414" s="78">
        <f t="shared" si="281"/>
        <v>6.9499999999999996E-3</v>
      </c>
      <c r="AX414" s="78">
        <f t="shared" si="282"/>
        <v>6.9499999999999996E-3</v>
      </c>
      <c r="AY414" s="78">
        <f t="shared" si="283"/>
        <v>6.9499999999999996E-3</v>
      </c>
      <c r="AZ414" s="78">
        <f t="shared" si="284"/>
        <v>6.9499999999999996E-3</v>
      </c>
      <c r="BA414" s="78">
        <f t="shared" si="285"/>
        <v>6.9499999999999996E-3</v>
      </c>
      <c r="BB414" s="78">
        <f t="shared" si="286"/>
        <v>6.9499999999999996E-3</v>
      </c>
      <c r="BC414" s="78">
        <f t="shared" si="287"/>
        <v>6.9499999999999996E-3</v>
      </c>
      <c r="BD414" s="78">
        <f t="shared" si="288"/>
        <v>6.9499999999999996E-3</v>
      </c>
      <c r="BE414" s="78">
        <f t="shared" si="289"/>
        <v>6.9499999999999996E-3</v>
      </c>
      <c r="BF414" s="78">
        <f t="shared" si="290"/>
        <v>6.9499999999999996E-3</v>
      </c>
      <c r="BG414" s="78">
        <f t="shared" si="291"/>
        <v>6.9499999999999996E-3</v>
      </c>
      <c r="BH414" s="78">
        <f t="shared" si="292"/>
        <v>6.9499999999999996E-3</v>
      </c>
      <c r="BI414" s="78">
        <f t="shared" si="293"/>
        <v>6.9499999999999996E-3</v>
      </c>
      <c r="BJ414" s="78">
        <f t="shared" si="294"/>
        <v>6.9499999999999996E-3</v>
      </c>
      <c r="BK414" s="78">
        <f t="shared" si="295"/>
        <v>6.9499999999999996E-3</v>
      </c>
      <c r="BL414" s="78">
        <f t="shared" si="296"/>
        <v>6.9499999999999996E-3</v>
      </c>
      <c r="BM414" s="78">
        <f t="shared" si="297"/>
        <v>6.9499999999999996E-3</v>
      </c>
      <c r="BN414" s="78">
        <f t="shared" si="298"/>
        <v>6.9499999999999996E-3</v>
      </c>
      <c r="BO414" s="78">
        <f t="shared" si="299"/>
        <v>6.9499999999999996E-3</v>
      </c>
      <c r="BP414" s="78">
        <f t="shared" si="300"/>
        <v>6.9499999999999996E-3</v>
      </c>
      <c r="BQ414" s="78">
        <f t="shared" si="301"/>
        <v>6.9499999999999996E-3</v>
      </c>
      <c r="BR414" s="78">
        <f t="shared" si="302"/>
        <v>6.9499999999999996E-3</v>
      </c>
      <c r="BS414" s="77"/>
      <c r="BT414" s="77"/>
    </row>
    <row r="415" spans="1:72" ht="14.1" customHeight="1" x14ac:dyDescent="0.2">
      <c r="A415" s="55" t="str">
        <f t="shared" si="273"/>
        <v>DS-6 (DS-3) Temp. Sensitive DS_Rider HSS - Cash Working Capital</v>
      </c>
      <c r="B415" s="80" t="s">
        <v>643</v>
      </c>
      <c r="C415" s="83" t="s">
        <v>848</v>
      </c>
      <c r="D415" s="150"/>
      <c r="E415" s="81"/>
      <c r="F415" s="73" t="s">
        <v>640</v>
      </c>
      <c r="G415" s="73">
        <v>0</v>
      </c>
      <c r="H415" s="73">
        <v>6</v>
      </c>
      <c r="I415" s="74" t="s">
        <v>641</v>
      </c>
      <c r="J415" s="75" t="s">
        <v>634</v>
      </c>
      <c r="K415" s="74"/>
      <c r="L415" s="82">
        <v>5.5399999999999998E-3</v>
      </c>
      <c r="M415" s="138">
        <v>6.9499999999999996E-3</v>
      </c>
      <c r="N415" s="138">
        <v>6.9499999999999996E-3</v>
      </c>
      <c r="O415" s="138">
        <v>6.9499999999999996E-3</v>
      </c>
      <c r="P415" s="138">
        <v>6.9499999999999996E-3</v>
      </c>
      <c r="Q415" s="138">
        <v>6.9499999999999996E-3</v>
      </c>
      <c r="R415" s="138">
        <v>6.9499999999999996E-3</v>
      </c>
      <c r="S415" s="138">
        <v>6.9499999999999996E-3</v>
      </c>
      <c r="T415" s="138">
        <v>6.9499999999999996E-3</v>
      </c>
      <c r="U415" s="138">
        <v>6.9499999999999996E-3</v>
      </c>
      <c r="V415" s="138">
        <v>6.9499999999999996E-3</v>
      </c>
      <c r="W415" s="138">
        <v>6.9499999999999996E-3</v>
      </c>
      <c r="X415" s="138">
        <v>6.9499999999999996E-3</v>
      </c>
      <c r="Y415" s="138">
        <f t="shared" si="303"/>
        <v>6.9499999999999996E-3</v>
      </c>
      <c r="Z415" s="138">
        <f t="shared" si="304"/>
        <v>6.9499999999999996E-3</v>
      </c>
      <c r="AA415" s="138">
        <f t="shared" si="305"/>
        <v>6.9499999999999996E-3</v>
      </c>
      <c r="AB415" s="138">
        <f t="shared" si="306"/>
        <v>6.9499999999999996E-3</v>
      </c>
      <c r="AC415" s="138">
        <f t="shared" si="307"/>
        <v>6.9499999999999996E-3</v>
      </c>
      <c r="AD415" s="138">
        <f t="shared" si="308"/>
        <v>6.9499999999999996E-3</v>
      </c>
      <c r="AE415" s="138">
        <f t="shared" si="309"/>
        <v>6.9499999999999996E-3</v>
      </c>
      <c r="AF415" s="138">
        <f t="shared" si="310"/>
        <v>6.9499999999999996E-3</v>
      </c>
      <c r="AG415" s="138">
        <f t="shared" si="311"/>
        <v>6.9499999999999996E-3</v>
      </c>
      <c r="AH415" s="138">
        <f t="shared" si="312"/>
        <v>6.9499999999999996E-3</v>
      </c>
      <c r="AI415" s="138">
        <f t="shared" si="313"/>
        <v>6.9499999999999996E-3</v>
      </c>
      <c r="AJ415" s="138">
        <f t="shared" si="314"/>
        <v>6.9499999999999996E-3</v>
      </c>
      <c r="AK415" s="138">
        <f t="shared" si="315"/>
        <v>6.9499999999999996E-3</v>
      </c>
      <c r="AL415" s="138">
        <f t="shared" si="316"/>
        <v>6.9499999999999987E-3</v>
      </c>
      <c r="AM415" s="138">
        <f t="shared" si="317"/>
        <v>6.9500000000000022E-3</v>
      </c>
      <c r="AO415" s="77" t="str">
        <f t="shared" si="274"/>
        <v>DS-6 (DS-3) Temp. Sensitive DS</v>
      </c>
      <c r="AP415" s="78" t="s">
        <v>644</v>
      </c>
      <c r="AQ415" s="77" t="str">
        <f t="shared" si="275"/>
        <v>Rider HSS - Cash Working Capital</v>
      </c>
      <c r="AR415" s="78" t="str">
        <f t="shared" si="276"/>
        <v>Prorated</v>
      </c>
      <c r="AS415" s="79">
        <f t="shared" si="277"/>
        <v>6</v>
      </c>
      <c r="AT415" s="78">
        <f t="shared" si="278"/>
        <v>0</v>
      </c>
      <c r="AU415" s="78">
        <f t="shared" si="279"/>
        <v>6.9499999999999996E-3</v>
      </c>
      <c r="AV415" s="78">
        <f t="shared" si="280"/>
        <v>6.9499999999999996E-3</v>
      </c>
      <c r="AW415" s="78">
        <f t="shared" si="281"/>
        <v>6.9499999999999996E-3</v>
      </c>
      <c r="AX415" s="78">
        <f t="shared" si="282"/>
        <v>6.9499999999999996E-3</v>
      </c>
      <c r="AY415" s="78">
        <f t="shared" si="283"/>
        <v>6.9499999999999996E-3</v>
      </c>
      <c r="AZ415" s="78">
        <f t="shared" si="284"/>
        <v>6.9499999999999996E-3</v>
      </c>
      <c r="BA415" s="78">
        <f t="shared" si="285"/>
        <v>6.9499999999999996E-3</v>
      </c>
      <c r="BB415" s="78">
        <f t="shared" si="286"/>
        <v>6.9499999999999996E-3</v>
      </c>
      <c r="BC415" s="78">
        <f t="shared" si="287"/>
        <v>6.9499999999999996E-3</v>
      </c>
      <c r="BD415" s="78">
        <f t="shared" si="288"/>
        <v>6.9499999999999996E-3</v>
      </c>
      <c r="BE415" s="78">
        <f t="shared" si="289"/>
        <v>6.9499999999999996E-3</v>
      </c>
      <c r="BF415" s="78">
        <f t="shared" si="290"/>
        <v>6.9499999999999996E-3</v>
      </c>
      <c r="BG415" s="78">
        <f t="shared" si="291"/>
        <v>6.9499999999999996E-3</v>
      </c>
      <c r="BH415" s="78">
        <f t="shared" si="292"/>
        <v>6.9499999999999996E-3</v>
      </c>
      <c r="BI415" s="78">
        <f t="shared" si="293"/>
        <v>6.9499999999999996E-3</v>
      </c>
      <c r="BJ415" s="78">
        <f t="shared" si="294"/>
        <v>6.9499999999999996E-3</v>
      </c>
      <c r="BK415" s="78">
        <f t="shared" si="295"/>
        <v>6.9499999999999996E-3</v>
      </c>
      <c r="BL415" s="78">
        <f t="shared" si="296"/>
        <v>6.9499999999999996E-3</v>
      </c>
      <c r="BM415" s="78">
        <f t="shared" si="297"/>
        <v>6.9499999999999996E-3</v>
      </c>
      <c r="BN415" s="78">
        <f t="shared" si="298"/>
        <v>6.9499999999999996E-3</v>
      </c>
      <c r="BO415" s="78">
        <f t="shared" si="299"/>
        <v>6.9499999999999996E-3</v>
      </c>
      <c r="BP415" s="78">
        <f t="shared" si="300"/>
        <v>6.9499999999999996E-3</v>
      </c>
      <c r="BQ415" s="78">
        <f t="shared" si="301"/>
        <v>6.9499999999999996E-3</v>
      </c>
      <c r="BR415" s="78">
        <f t="shared" si="302"/>
        <v>6.9499999999999996E-3</v>
      </c>
      <c r="BS415" s="77"/>
      <c r="BT415" s="77"/>
    </row>
    <row r="416" spans="1:72" ht="14.1" customHeight="1" x14ac:dyDescent="0.2">
      <c r="A416" s="55" t="str">
        <f t="shared" si="273"/>
        <v>DS-6 (DS-4) Temp. Sensitive DS_Rider HSS - Cash Working Capital</v>
      </c>
      <c r="B416" s="80" t="s">
        <v>645</v>
      </c>
      <c r="C416" s="83" t="s">
        <v>848</v>
      </c>
      <c r="D416" s="150"/>
      <c r="E416" s="81"/>
      <c r="F416" s="73" t="s">
        <v>640</v>
      </c>
      <c r="G416" s="73">
        <v>0</v>
      </c>
      <c r="H416" s="73">
        <v>6</v>
      </c>
      <c r="I416" s="74" t="s">
        <v>641</v>
      </c>
      <c r="J416" s="75" t="s">
        <v>634</v>
      </c>
      <c r="K416" s="74"/>
      <c r="L416" s="82">
        <v>5.5399999999999998E-3</v>
      </c>
      <c r="M416" s="138">
        <v>6.9499999999999996E-3</v>
      </c>
      <c r="N416" s="138">
        <v>6.9499999999999996E-3</v>
      </c>
      <c r="O416" s="138">
        <v>6.9499999999999996E-3</v>
      </c>
      <c r="P416" s="138">
        <v>6.9499999999999996E-3</v>
      </c>
      <c r="Q416" s="138">
        <v>6.9499999999999996E-3</v>
      </c>
      <c r="R416" s="138">
        <v>6.9499999999999996E-3</v>
      </c>
      <c r="S416" s="138">
        <v>6.9499999999999996E-3</v>
      </c>
      <c r="T416" s="138">
        <v>6.9499999999999996E-3</v>
      </c>
      <c r="U416" s="138">
        <v>6.9499999999999996E-3</v>
      </c>
      <c r="V416" s="138">
        <v>6.9499999999999996E-3</v>
      </c>
      <c r="W416" s="138">
        <v>6.9499999999999996E-3</v>
      </c>
      <c r="X416" s="138">
        <v>6.9499999999999996E-3</v>
      </c>
      <c r="Y416" s="138">
        <f t="shared" si="303"/>
        <v>6.9499999999999996E-3</v>
      </c>
      <c r="Z416" s="138">
        <f t="shared" si="304"/>
        <v>6.9499999999999996E-3</v>
      </c>
      <c r="AA416" s="138">
        <f t="shared" si="305"/>
        <v>6.9499999999999996E-3</v>
      </c>
      <c r="AB416" s="138">
        <f t="shared" si="306"/>
        <v>6.9499999999999996E-3</v>
      </c>
      <c r="AC416" s="138">
        <f t="shared" si="307"/>
        <v>6.9499999999999996E-3</v>
      </c>
      <c r="AD416" s="138">
        <f t="shared" si="308"/>
        <v>6.9499999999999996E-3</v>
      </c>
      <c r="AE416" s="138">
        <f t="shared" si="309"/>
        <v>6.9499999999999996E-3</v>
      </c>
      <c r="AF416" s="138">
        <f t="shared" si="310"/>
        <v>6.9499999999999996E-3</v>
      </c>
      <c r="AG416" s="138">
        <f t="shared" si="311"/>
        <v>6.9499999999999996E-3</v>
      </c>
      <c r="AH416" s="138">
        <f t="shared" si="312"/>
        <v>6.9499999999999996E-3</v>
      </c>
      <c r="AI416" s="138">
        <f t="shared" si="313"/>
        <v>6.9499999999999996E-3</v>
      </c>
      <c r="AJ416" s="138">
        <f t="shared" si="314"/>
        <v>6.9499999999999996E-3</v>
      </c>
      <c r="AK416" s="138">
        <f t="shared" si="315"/>
        <v>6.9499999999999996E-3</v>
      </c>
      <c r="AL416" s="138">
        <f t="shared" si="316"/>
        <v>6.9499999999999987E-3</v>
      </c>
      <c r="AM416" s="138">
        <f t="shared" si="317"/>
        <v>6.9500000000000022E-3</v>
      </c>
      <c r="AO416" s="77" t="str">
        <f t="shared" si="274"/>
        <v>DS-6 (DS-4) Temp. Sensitive DS</v>
      </c>
      <c r="AP416" s="78" t="s">
        <v>646</v>
      </c>
      <c r="AQ416" s="77" t="str">
        <f t="shared" si="275"/>
        <v>Rider HSS - Cash Working Capital</v>
      </c>
      <c r="AR416" s="78" t="str">
        <f t="shared" si="276"/>
        <v>Prorated</v>
      </c>
      <c r="AS416" s="79">
        <f t="shared" si="277"/>
        <v>6</v>
      </c>
      <c r="AT416" s="78">
        <f t="shared" si="278"/>
        <v>0</v>
      </c>
      <c r="AU416" s="78">
        <f t="shared" si="279"/>
        <v>6.9499999999999996E-3</v>
      </c>
      <c r="AV416" s="78">
        <f t="shared" si="280"/>
        <v>6.9499999999999996E-3</v>
      </c>
      <c r="AW416" s="78">
        <f t="shared" si="281"/>
        <v>6.9499999999999996E-3</v>
      </c>
      <c r="AX416" s="78">
        <f t="shared" si="282"/>
        <v>6.9499999999999996E-3</v>
      </c>
      <c r="AY416" s="78">
        <f t="shared" si="283"/>
        <v>6.9499999999999996E-3</v>
      </c>
      <c r="AZ416" s="78">
        <f t="shared" si="284"/>
        <v>6.9499999999999996E-3</v>
      </c>
      <c r="BA416" s="78">
        <f t="shared" si="285"/>
        <v>6.9499999999999996E-3</v>
      </c>
      <c r="BB416" s="78">
        <f t="shared" si="286"/>
        <v>6.9499999999999996E-3</v>
      </c>
      <c r="BC416" s="78">
        <f t="shared" si="287"/>
        <v>6.9499999999999996E-3</v>
      </c>
      <c r="BD416" s="78">
        <f t="shared" si="288"/>
        <v>6.9499999999999996E-3</v>
      </c>
      <c r="BE416" s="78">
        <f t="shared" si="289"/>
        <v>6.9499999999999996E-3</v>
      </c>
      <c r="BF416" s="78">
        <f t="shared" si="290"/>
        <v>6.9499999999999996E-3</v>
      </c>
      <c r="BG416" s="78">
        <f t="shared" si="291"/>
        <v>6.9499999999999996E-3</v>
      </c>
      <c r="BH416" s="78">
        <f t="shared" si="292"/>
        <v>6.9499999999999996E-3</v>
      </c>
      <c r="BI416" s="78">
        <f t="shared" si="293"/>
        <v>6.9499999999999996E-3</v>
      </c>
      <c r="BJ416" s="78">
        <f t="shared" si="294"/>
        <v>6.9499999999999996E-3</v>
      </c>
      <c r="BK416" s="78">
        <f t="shared" si="295"/>
        <v>6.9499999999999996E-3</v>
      </c>
      <c r="BL416" s="78">
        <f t="shared" si="296"/>
        <v>6.9499999999999996E-3</v>
      </c>
      <c r="BM416" s="78">
        <f t="shared" si="297"/>
        <v>6.9499999999999996E-3</v>
      </c>
      <c r="BN416" s="78">
        <f t="shared" si="298"/>
        <v>6.9499999999999996E-3</v>
      </c>
      <c r="BO416" s="78">
        <f t="shared" si="299"/>
        <v>6.9499999999999996E-3</v>
      </c>
      <c r="BP416" s="78">
        <f t="shared" si="300"/>
        <v>6.9499999999999996E-3</v>
      </c>
      <c r="BQ416" s="78">
        <f t="shared" si="301"/>
        <v>6.9499999999999996E-3</v>
      </c>
      <c r="BR416" s="78">
        <f t="shared" si="302"/>
        <v>6.9499999999999996E-3</v>
      </c>
      <c r="BS416" s="77"/>
      <c r="BT416" s="77"/>
    </row>
    <row r="417" spans="1:72" ht="14.1" customHeight="1" x14ac:dyDescent="0.2">
      <c r="A417" s="55" t="str">
        <f t="shared" si="273"/>
        <v>DS-3 (General Delivery Service)_Rider HSS - Procurement Charge</v>
      </c>
      <c r="B417" s="80" t="s">
        <v>666</v>
      </c>
      <c r="C417" s="83" t="s">
        <v>849</v>
      </c>
      <c r="D417" s="150"/>
      <c r="E417" s="81"/>
      <c r="F417" s="73" t="s">
        <v>640</v>
      </c>
      <c r="G417" s="73">
        <v>0</v>
      </c>
      <c r="H417" s="73">
        <v>6</v>
      </c>
      <c r="I417" s="74" t="s">
        <v>641</v>
      </c>
      <c r="J417" s="75" t="s">
        <v>634</v>
      </c>
      <c r="K417" s="74"/>
      <c r="L417" s="82">
        <v>1.4E-2</v>
      </c>
      <c r="M417" s="138">
        <v>1.6000000000000001E-4</v>
      </c>
      <c r="N417" s="138">
        <v>1.6000000000000001E-4</v>
      </c>
      <c r="O417" s="138">
        <v>1.6000000000000001E-4</v>
      </c>
      <c r="P417" s="138">
        <v>1.6000000000000001E-4</v>
      </c>
      <c r="Q417" s="138">
        <v>1.6000000000000001E-4</v>
      </c>
      <c r="R417" s="138">
        <v>1.6000000000000001E-4</v>
      </c>
      <c r="S417" s="138">
        <v>1.6000000000000001E-4</v>
      </c>
      <c r="T417" s="138">
        <v>1.6000000000000001E-4</v>
      </c>
      <c r="U417" s="138">
        <v>1.6000000000000001E-4</v>
      </c>
      <c r="V417" s="138">
        <v>1.6000000000000001E-4</v>
      </c>
      <c r="W417" s="138">
        <v>1.6000000000000001E-4</v>
      </c>
      <c r="X417" s="138">
        <v>1.6000000000000001E-4</v>
      </c>
      <c r="Y417" s="138">
        <f t="shared" si="303"/>
        <v>1.6000000000000001E-4</v>
      </c>
      <c r="Z417" s="138">
        <f t="shared" si="304"/>
        <v>1.6000000000000001E-4</v>
      </c>
      <c r="AA417" s="138">
        <f t="shared" si="305"/>
        <v>1.6000000000000001E-4</v>
      </c>
      <c r="AB417" s="138">
        <f t="shared" si="306"/>
        <v>1.6000000000000001E-4</v>
      </c>
      <c r="AC417" s="138">
        <f t="shared" si="307"/>
        <v>1.6000000000000001E-4</v>
      </c>
      <c r="AD417" s="138">
        <f t="shared" si="308"/>
        <v>1.6000000000000001E-4</v>
      </c>
      <c r="AE417" s="138">
        <f t="shared" si="309"/>
        <v>1.6000000000000001E-4</v>
      </c>
      <c r="AF417" s="138">
        <f t="shared" si="310"/>
        <v>1.6000000000000001E-4</v>
      </c>
      <c r="AG417" s="138">
        <f t="shared" si="311"/>
        <v>1.6000000000000001E-4</v>
      </c>
      <c r="AH417" s="138">
        <f t="shared" si="312"/>
        <v>1.6000000000000001E-4</v>
      </c>
      <c r="AI417" s="138">
        <f t="shared" si="313"/>
        <v>1.6000000000000001E-4</v>
      </c>
      <c r="AJ417" s="138">
        <f t="shared" si="314"/>
        <v>1.6000000000000001E-4</v>
      </c>
      <c r="AK417" s="138">
        <f t="shared" si="315"/>
        <v>1.6000000000000001E-4</v>
      </c>
      <c r="AL417" s="138">
        <f t="shared" si="316"/>
        <v>1.6000000000000001E-4</v>
      </c>
      <c r="AM417" s="138">
        <f t="shared" si="317"/>
        <v>1.6000000000000001E-4</v>
      </c>
      <c r="AO417" s="77" t="str">
        <f t="shared" si="274"/>
        <v>DS-3 (General Delivery Service)</v>
      </c>
      <c r="AP417" s="78" t="s">
        <v>667</v>
      </c>
      <c r="AQ417" s="77" t="str">
        <f t="shared" si="275"/>
        <v>Rider HSS - Procurement Charge</v>
      </c>
      <c r="AR417" s="78" t="str">
        <f t="shared" si="276"/>
        <v>Prorated</v>
      </c>
      <c r="AS417" s="79">
        <f t="shared" si="277"/>
        <v>6</v>
      </c>
      <c r="AT417" s="78">
        <f t="shared" si="278"/>
        <v>0</v>
      </c>
      <c r="AU417" s="78">
        <f t="shared" si="279"/>
        <v>1.6000000000000001E-4</v>
      </c>
      <c r="AV417" s="78">
        <f t="shared" si="280"/>
        <v>1.6000000000000001E-4</v>
      </c>
      <c r="AW417" s="78">
        <f t="shared" si="281"/>
        <v>1.6000000000000001E-4</v>
      </c>
      <c r="AX417" s="78">
        <f t="shared" si="282"/>
        <v>1.6000000000000001E-4</v>
      </c>
      <c r="AY417" s="78">
        <f t="shared" si="283"/>
        <v>1.6000000000000001E-4</v>
      </c>
      <c r="AZ417" s="78">
        <f t="shared" si="284"/>
        <v>1.6000000000000001E-4</v>
      </c>
      <c r="BA417" s="78">
        <f t="shared" si="285"/>
        <v>1.6000000000000001E-4</v>
      </c>
      <c r="BB417" s="78">
        <f t="shared" si="286"/>
        <v>1.6000000000000001E-4</v>
      </c>
      <c r="BC417" s="78">
        <f t="shared" si="287"/>
        <v>1.6000000000000001E-4</v>
      </c>
      <c r="BD417" s="78">
        <f t="shared" si="288"/>
        <v>1.6000000000000001E-4</v>
      </c>
      <c r="BE417" s="78">
        <f t="shared" si="289"/>
        <v>1.6000000000000001E-4</v>
      </c>
      <c r="BF417" s="78">
        <f t="shared" si="290"/>
        <v>1.6000000000000001E-4</v>
      </c>
      <c r="BG417" s="78">
        <f t="shared" si="291"/>
        <v>1.6000000000000001E-4</v>
      </c>
      <c r="BH417" s="78">
        <f t="shared" si="292"/>
        <v>1.6000000000000001E-4</v>
      </c>
      <c r="BI417" s="78">
        <f t="shared" si="293"/>
        <v>1.6000000000000001E-4</v>
      </c>
      <c r="BJ417" s="78">
        <f t="shared" si="294"/>
        <v>1.6000000000000001E-4</v>
      </c>
      <c r="BK417" s="78">
        <f t="shared" si="295"/>
        <v>1.6000000000000001E-4</v>
      </c>
      <c r="BL417" s="78">
        <f t="shared" si="296"/>
        <v>1.6000000000000001E-4</v>
      </c>
      <c r="BM417" s="78">
        <f t="shared" si="297"/>
        <v>1.6000000000000001E-4</v>
      </c>
      <c r="BN417" s="78">
        <f t="shared" si="298"/>
        <v>1.6000000000000001E-4</v>
      </c>
      <c r="BO417" s="78">
        <f t="shared" si="299"/>
        <v>1.6000000000000001E-4</v>
      </c>
      <c r="BP417" s="78">
        <f t="shared" si="300"/>
        <v>1.6000000000000001E-4</v>
      </c>
      <c r="BQ417" s="78">
        <f t="shared" si="301"/>
        <v>1.6000000000000001E-4</v>
      </c>
      <c r="BR417" s="78">
        <f t="shared" si="302"/>
        <v>1.6000000000000001E-4</v>
      </c>
      <c r="BS417" s="77"/>
      <c r="BT417" s="77"/>
    </row>
    <row r="418" spans="1:72" ht="14.1" customHeight="1" x14ac:dyDescent="0.2">
      <c r="A418" s="55" t="str">
        <f t="shared" si="273"/>
        <v>DS-4 (Large General Service)_Rider HSS - Procurement Charge</v>
      </c>
      <c r="B418" s="80" t="s">
        <v>639</v>
      </c>
      <c r="C418" s="83" t="s">
        <v>849</v>
      </c>
      <c r="D418" s="150"/>
      <c r="E418" s="86"/>
      <c r="F418" s="73" t="s">
        <v>640</v>
      </c>
      <c r="G418" s="73">
        <v>0</v>
      </c>
      <c r="H418" s="73">
        <v>6</v>
      </c>
      <c r="I418" s="74" t="s">
        <v>641</v>
      </c>
      <c r="J418" s="75" t="s">
        <v>634</v>
      </c>
      <c r="K418" s="74"/>
      <c r="L418" s="82">
        <v>1.4E-2</v>
      </c>
      <c r="M418" s="138">
        <v>1.6000000000000001E-4</v>
      </c>
      <c r="N418" s="138">
        <v>1.6000000000000001E-4</v>
      </c>
      <c r="O418" s="138">
        <v>1.6000000000000001E-4</v>
      </c>
      <c r="P418" s="138">
        <v>1.6000000000000001E-4</v>
      </c>
      <c r="Q418" s="138">
        <v>1.6000000000000001E-4</v>
      </c>
      <c r="R418" s="138">
        <v>1.6000000000000001E-4</v>
      </c>
      <c r="S418" s="138">
        <v>1.6000000000000001E-4</v>
      </c>
      <c r="T418" s="138">
        <v>1.6000000000000001E-4</v>
      </c>
      <c r="U418" s="138">
        <v>1.6000000000000001E-4</v>
      </c>
      <c r="V418" s="138">
        <v>1.6000000000000001E-4</v>
      </c>
      <c r="W418" s="138">
        <v>1.6000000000000001E-4</v>
      </c>
      <c r="X418" s="138">
        <v>1.6000000000000001E-4</v>
      </c>
      <c r="Y418" s="138">
        <f t="shared" si="303"/>
        <v>1.6000000000000001E-4</v>
      </c>
      <c r="Z418" s="138">
        <f t="shared" si="304"/>
        <v>1.6000000000000001E-4</v>
      </c>
      <c r="AA418" s="138">
        <f t="shared" si="305"/>
        <v>1.6000000000000001E-4</v>
      </c>
      <c r="AB418" s="138">
        <f t="shared" si="306"/>
        <v>1.6000000000000001E-4</v>
      </c>
      <c r="AC418" s="138">
        <f t="shared" si="307"/>
        <v>1.6000000000000001E-4</v>
      </c>
      <c r="AD418" s="138">
        <f t="shared" si="308"/>
        <v>1.6000000000000001E-4</v>
      </c>
      <c r="AE418" s="138">
        <f t="shared" si="309"/>
        <v>1.6000000000000001E-4</v>
      </c>
      <c r="AF418" s="138">
        <f t="shared" si="310"/>
        <v>1.6000000000000001E-4</v>
      </c>
      <c r="AG418" s="138">
        <f t="shared" si="311"/>
        <v>1.6000000000000001E-4</v>
      </c>
      <c r="AH418" s="138">
        <f t="shared" si="312"/>
        <v>1.6000000000000001E-4</v>
      </c>
      <c r="AI418" s="138">
        <f t="shared" si="313"/>
        <v>1.6000000000000001E-4</v>
      </c>
      <c r="AJ418" s="138">
        <f t="shared" si="314"/>
        <v>1.6000000000000001E-4</v>
      </c>
      <c r="AK418" s="138">
        <f t="shared" si="315"/>
        <v>1.6000000000000001E-4</v>
      </c>
      <c r="AL418" s="138">
        <f t="shared" si="316"/>
        <v>1.6000000000000001E-4</v>
      </c>
      <c r="AM418" s="138">
        <f t="shared" si="317"/>
        <v>1.6000000000000001E-4</v>
      </c>
      <c r="AO418" s="77" t="str">
        <f t="shared" si="274"/>
        <v>DS-4 (Large General Service)</v>
      </c>
      <c r="AP418" s="78" t="s">
        <v>642</v>
      </c>
      <c r="AQ418" s="77" t="str">
        <f t="shared" si="275"/>
        <v>Rider HSS - Procurement Charge</v>
      </c>
      <c r="AR418" s="78" t="str">
        <f t="shared" si="276"/>
        <v>Prorated</v>
      </c>
      <c r="AS418" s="79">
        <f t="shared" si="277"/>
        <v>6</v>
      </c>
      <c r="AT418" s="78">
        <f t="shared" si="278"/>
        <v>0</v>
      </c>
      <c r="AU418" s="78">
        <f t="shared" si="279"/>
        <v>1.6000000000000001E-4</v>
      </c>
      <c r="AV418" s="78">
        <f t="shared" si="280"/>
        <v>1.6000000000000001E-4</v>
      </c>
      <c r="AW418" s="78">
        <f t="shared" si="281"/>
        <v>1.6000000000000001E-4</v>
      </c>
      <c r="AX418" s="78">
        <f t="shared" si="282"/>
        <v>1.6000000000000001E-4</v>
      </c>
      <c r="AY418" s="78">
        <f t="shared" si="283"/>
        <v>1.6000000000000001E-4</v>
      </c>
      <c r="AZ418" s="78">
        <f t="shared" si="284"/>
        <v>1.6000000000000001E-4</v>
      </c>
      <c r="BA418" s="78">
        <f t="shared" si="285"/>
        <v>1.6000000000000001E-4</v>
      </c>
      <c r="BB418" s="78">
        <f t="shared" si="286"/>
        <v>1.6000000000000001E-4</v>
      </c>
      <c r="BC418" s="78">
        <f t="shared" si="287"/>
        <v>1.6000000000000001E-4</v>
      </c>
      <c r="BD418" s="78">
        <f t="shared" si="288"/>
        <v>1.6000000000000001E-4</v>
      </c>
      <c r="BE418" s="78">
        <f t="shared" si="289"/>
        <v>1.6000000000000001E-4</v>
      </c>
      <c r="BF418" s="78">
        <f t="shared" si="290"/>
        <v>1.6000000000000001E-4</v>
      </c>
      <c r="BG418" s="78">
        <f t="shared" si="291"/>
        <v>1.6000000000000001E-4</v>
      </c>
      <c r="BH418" s="78">
        <f t="shared" si="292"/>
        <v>1.6000000000000001E-4</v>
      </c>
      <c r="BI418" s="78">
        <f t="shared" si="293"/>
        <v>1.6000000000000001E-4</v>
      </c>
      <c r="BJ418" s="78">
        <f t="shared" si="294"/>
        <v>1.6000000000000001E-4</v>
      </c>
      <c r="BK418" s="78">
        <f t="shared" si="295"/>
        <v>1.6000000000000001E-4</v>
      </c>
      <c r="BL418" s="78">
        <f t="shared" si="296"/>
        <v>1.6000000000000001E-4</v>
      </c>
      <c r="BM418" s="78">
        <f t="shared" si="297"/>
        <v>1.6000000000000001E-4</v>
      </c>
      <c r="BN418" s="78">
        <f t="shared" si="298"/>
        <v>1.6000000000000001E-4</v>
      </c>
      <c r="BO418" s="78">
        <f t="shared" si="299"/>
        <v>1.6000000000000001E-4</v>
      </c>
      <c r="BP418" s="78">
        <f t="shared" si="300"/>
        <v>1.6000000000000001E-4</v>
      </c>
      <c r="BQ418" s="78">
        <f t="shared" si="301"/>
        <v>1.6000000000000001E-4</v>
      </c>
      <c r="BR418" s="78">
        <f t="shared" si="302"/>
        <v>1.6000000000000001E-4</v>
      </c>
      <c r="BS418" s="77"/>
      <c r="BT418" s="77"/>
    </row>
    <row r="419" spans="1:72" ht="14.1" customHeight="1" x14ac:dyDescent="0.2">
      <c r="A419" s="55" t="str">
        <f t="shared" si="273"/>
        <v>DS-6 (DS-3) Temp. Sensitive DS_Rider HSS - Procurement Charge</v>
      </c>
      <c r="B419" s="80" t="s">
        <v>643</v>
      </c>
      <c r="C419" s="83" t="s">
        <v>849</v>
      </c>
      <c r="D419" s="150"/>
      <c r="E419" s="81"/>
      <c r="F419" s="73" t="s">
        <v>640</v>
      </c>
      <c r="G419" s="73">
        <v>0</v>
      </c>
      <c r="H419" s="73">
        <v>6</v>
      </c>
      <c r="I419" s="74" t="s">
        <v>641</v>
      </c>
      <c r="J419" s="75" t="s">
        <v>634</v>
      </c>
      <c r="K419" s="74"/>
      <c r="L419" s="82">
        <v>1.4E-2</v>
      </c>
      <c r="M419" s="138">
        <v>1.6000000000000001E-4</v>
      </c>
      <c r="N419" s="138">
        <v>1.6000000000000001E-4</v>
      </c>
      <c r="O419" s="138">
        <v>1.6000000000000001E-4</v>
      </c>
      <c r="P419" s="138">
        <v>1.6000000000000001E-4</v>
      </c>
      <c r="Q419" s="138">
        <v>1.6000000000000001E-4</v>
      </c>
      <c r="R419" s="138">
        <v>1.6000000000000001E-4</v>
      </c>
      <c r="S419" s="138">
        <v>1.6000000000000001E-4</v>
      </c>
      <c r="T419" s="138">
        <v>1.6000000000000001E-4</v>
      </c>
      <c r="U419" s="138">
        <v>1.6000000000000001E-4</v>
      </c>
      <c r="V419" s="138">
        <v>1.6000000000000001E-4</v>
      </c>
      <c r="W419" s="138">
        <v>1.6000000000000001E-4</v>
      </c>
      <c r="X419" s="138">
        <v>1.6000000000000001E-4</v>
      </c>
      <c r="Y419" s="138">
        <f t="shared" si="303"/>
        <v>1.6000000000000001E-4</v>
      </c>
      <c r="Z419" s="138">
        <f t="shared" si="304"/>
        <v>1.6000000000000001E-4</v>
      </c>
      <c r="AA419" s="138">
        <f t="shared" si="305"/>
        <v>1.6000000000000001E-4</v>
      </c>
      <c r="AB419" s="138">
        <f t="shared" si="306"/>
        <v>1.6000000000000001E-4</v>
      </c>
      <c r="AC419" s="138">
        <f t="shared" si="307"/>
        <v>1.6000000000000001E-4</v>
      </c>
      <c r="AD419" s="138">
        <f t="shared" si="308"/>
        <v>1.6000000000000001E-4</v>
      </c>
      <c r="AE419" s="138">
        <f t="shared" si="309"/>
        <v>1.6000000000000001E-4</v>
      </c>
      <c r="AF419" s="138">
        <f t="shared" si="310"/>
        <v>1.6000000000000001E-4</v>
      </c>
      <c r="AG419" s="138">
        <f t="shared" si="311"/>
        <v>1.6000000000000001E-4</v>
      </c>
      <c r="AH419" s="138">
        <f t="shared" si="312"/>
        <v>1.6000000000000001E-4</v>
      </c>
      <c r="AI419" s="138">
        <f t="shared" si="313"/>
        <v>1.6000000000000001E-4</v>
      </c>
      <c r="AJ419" s="138">
        <f t="shared" si="314"/>
        <v>1.6000000000000001E-4</v>
      </c>
      <c r="AK419" s="138">
        <f t="shared" si="315"/>
        <v>1.6000000000000001E-4</v>
      </c>
      <c r="AL419" s="138">
        <f t="shared" si="316"/>
        <v>1.6000000000000001E-4</v>
      </c>
      <c r="AM419" s="138">
        <f t="shared" si="317"/>
        <v>1.6000000000000001E-4</v>
      </c>
      <c r="AO419" s="77" t="str">
        <f t="shared" si="274"/>
        <v>DS-6 (DS-3) Temp. Sensitive DS</v>
      </c>
      <c r="AP419" s="78" t="s">
        <v>644</v>
      </c>
      <c r="AQ419" s="77" t="str">
        <f t="shared" si="275"/>
        <v>Rider HSS - Procurement Charge</v>
      </c>
      <c r="AR419" s="78" t="str">
        <f t="shared" si="276"/>
        <v>Prorated</v>
      </c>
      <c r="AS419" s="79">
        <f t="shared" si="277"/>
        <v>6</v>
      </c>
      <c r="AT419" s="78">
        <f t="shared" si="278"/>
        <v>0</v>
      </c>
      <c r="AU419" s="78">
        <f t="shared" si="279"/>
        <v>1.6000000000000001E-4</v>
      </c>
      <c r="AV419" s="78">
        <f t="shared" si="280"/>
        <v>1.6000000000000001E-4</v>
      </c>
      <c r="AW419" s="78">
        <f t="shared" si="281"/>
        <v>1.6000000000000001E-4</v>
      </c>
      <c r="AX419" s="78">
        <f t="shared" si="282"/>
        <v>1.6000000000000001E-4</v>
      </c>
      <c r="AY419" s="78">
        <f t="shared" si="283"/>
        <v>1.6000000000000001E-4</v>
      </c>
      <c r="AZ419" s="78">
        <f t="shared" si="284"/>
        <v>1.6000000000000001E-4</v>
      </c>
      <c r="BA419" s="78">
        <f t="shared" si="285"/>
        <v>1.6000000000000001E-4</v>
      </c>
      <c r="BB419" s="78">
        <f t="shared" si="286"/>
        <v>1.6000000000000001E-4</v>
      </c>
      <c r="BC419" s="78">
        <f t="shared" si="287"/>
        <v>1.6000000000000001E-4</v>
      </c>
      <c r="BD419" s="78">
        <f t="shared" si="288"/>
        <v>1.6000000000000001E-4</v>
      </c>
      <c r="BE419" s="78">
        <f t="shared" si="289"/>
        <v>1.6000000000000001E-4</v>
      </c>
      <c r="BF419" s="78">
        <f t="shared" si="290"/>
        <v>1.6000000000000001E-4</v>
      </c>
      <c r="BG419" s="78">
        <f t="shared" si="291"/>
        <v>1.6000000000000001E-4</v>
      </c>
      <c r="BH419" s="78">
        <f t="shared" si="292"/>
        <v>1.6000000000000001E-4</v>
      </c>
      <c r="BI419" s="78">
        <f t="shared" si="293"/>
        <v>1.6000000000000001E-4</v>
      </c>
      <c r="BJ419" s="78">
        <f t="shared" si="294"/>
        <v>1.6000000000000001E-4</v>
      </c>
      <c r="BK419" s="78">
        <f t="shared" si="295"/>
        <v>1.6000000000000001E-4</v>
      </c>
      <c r="BL419" s="78">
        <f t="shared" si="296"/>
        <v>1.6000000000000001E-4</v>
      </c>
      <c r="BM419" s="78">
        <f t="shared" si="297"/>
        <v>1.6000000000000001E-4</v>
      </c>
      <c r="BN419" s="78">
        <f t="shared" si="298"/>
        <v>1.6000000000000001E-4</v>
      </c>
      <c r="BO419" s="78">
        <f t="shared" si="299"/>
        <v>1.6000000000000001E-4</v>
      </c>
      <c r="BP419" s="78">
        <f t="shared" si="300"/>
        <v>1.6000000000000001E-4</v>
      </c>
      <c r="BQ419" s="78">
        <f t="shared" si="301"/>
        <v>1.6000000000000001E-4</v>
      </c>
      <c r="BR419" s="78">
        <f t="shared" si="302"/>
        <v>1.6000000000000001E-4</v>
      </c>
      <c r="BS419" s="77"/>
      <c r="BT419" s="77"/>
    </row>
    <row r="420" spans="1:72" ht="14.1" customHeight="1" x14ac:dyDescent="0.2">
      <c r="A420" s="55" t="str">
        <f t="shared" si="273"/>
        <v>DS-6 (DS-4) Temp. Sensitive DS_Rider HSS - Procurement Charge</v>
      </c>
      <c r="B420" s="80" t="s">
        <v>645</v>
      </c>
      <c r="C420" s="83" t="s">
        <v>849</v>
      </c>
      <c r="D420" s="150"/>
      <c r="E420" s="81"/>
      <c r="F420" s="73" t="s">
        <v>640</v>
      </c>
      <c r="G420" s="73">
        <v>0</v>
      </c>
      <c r="H420" s="73">
        <v>6</v>
      </c>
      <c r="I420" s="74" t="s">
        <v>641</v>
      </c>
      <c r="J420" s="75" t="s">
        <v>634</v>
      </c>
      <c r="K420" s="74"/>
      <c r="L420" s="82">
        <v>1.4E-2</v>
      </c>
      <c r="M420" s="138">
        <v>1.6000000000000001E-4</v>
      </c>
      <c r="N420" s="138">
        <v>1.6000000000000001E-4</v>
      </c>
      <c r="O420" s="138">
        <v>1.6000000000000001E-4</v>
      </c>
      <c r="P420" s="138">
        <v>1.6000000000000001E-4</v>
      </c>
      <c r="Q420" s="138">
        <v>1.6000000000000001E-4</v>
      </c>
      <c r="R420" s="138">
        <v>1.6000000000000001E-4</v>
      </c>
      <c r="S420" s="138">
        <v>1.6000000000000001E-4</v>
      </c>
      <c r="T420" s="138">
        <v>1.6000000000000001E-4</v>
      </c>
      <c r="U420" s="138">
        <v>1.6000000000000001E-4</v>
      </c>
      <c r="V420" s="138">
        <v>1.6000000000000001E-4</v>
      </c>
      <c r="W420" s="138">
        <v>1.6000000000000001E-4</v>
      </c>
      <c r="X420" s="138">
        <v>1.6000000000000001E-4</v>
      </c>
      <c r="Y420" s="138">
        <f t="shared" si="303"/>
        <v>1.6000000000000001E-4</v>
      </c>
      <c r="Z420" s="138">
        <f t="shared" si="304"/>
        <v>1.6000000000000001E-4</v>
      </c>
      <c r="AA420" s="138">
        <f t="shared" si="305"/>
        <v>1.6000000000000001E-4</v>
      </c>
      <c r="AB420" s="138">
        <f t="shared" si="306"/>
        <v>1.6000000000000001E-4</v>
      </c>
      <c r="AC420" s="138">
        <f t="shared" si="307"/>
        <v>1.6000000000000001E-4</v>
      </c>
      <c r="AD420" s="138">
        <f t="shared" si="308"/>
        <v>1.6000000000000001E-4</v>
      </c>
      <c r="AE420" s="138">
        <f t="shared" si="309"/>
        <v>1.6000000000000001E-4</v>
      </c>
      <c r="AF420" s="138">
        <f t="shared" si="310"/>
        <v>1.6000000000000001E-4</v>
      </c>
      <c r="AG420" s="138">
        <f t="shared" si="311"/>
        <v>1.6000000000000001E-4</v>
      </c>
      <c r="AH420" s="138">
        <f t="shared" si="312"/>
        <v>1.6000000000000001E-4</v>
      </c>
      <c r="AI420" s="138">
        <f t="shared" si="313"/>
        <v>1.6000000000000001E-4</v>
      </c>
      <c r="AJ420" s="138">
        <f t="shared" si="314"/>
        <v>1.6000000000000001E-4</v>
      </c>
      <c r="AK420" s="138">
        <f t="shared" si="315"/>
        <v>1.6000000000000001E-4</v>
      </c>
      <c r="AL420" s="138">
        <f t="shared" si="316"/>
        <v>1.6000000000000001E-4</v>
      </c>
      <c r="AM420" s="138">
        <f t="shared" si="317"/>
        <v>1.6000000000000001E-4</v>
      </c>
      <c r="AO420" s="77" t="str">
        <f t="shared" si="274"/>
        <v>DS-6 (DS-4) Temp. Sensitive DS</v>
      </c>
      <c r="AP420" s="78" t="s">
        <v>646</v>
      </c>
      <c r="AQ420" s="77" t="str">
        <f t="shared" si="275"/>
        <v>Rider HSS - Procurement Charge</v>
      </c>
      <c r="AR420" s="78" t="str">
        <f t="shared" si="276"/>
        <v>Prorated</v>
      </c>
      <c r="AS420" s="79">
        <f t="shared" si="277"/>
        <v>6</v>
      </c>
      <c r="AT420" s="78">
        <f t="shared" si="278"/>
        <v>0</v>
      </c>
      <c r="AU420" s="78">
        <f t="shared" si="279"/>
        <v>1.6000000000000001E-4</v>
      </c>
      <c r="AV420" s="78">
        <f t="shared" si="280"/>
        <v>1.6000000000000001E-4</v>
      </c>
      <c r="AW420" s="78">
        <f t="shared" si="281"/>
        <v>1.6000000000000001E-4</v>
      </c>
      <c r="AX420" s="78">
        <f t="shared" si="282"/>
        <v>1.6000000000000001E-4</v>
      </c>
      <c r="AY420" s="78">
        <f t="shared" si="283"/>
        <v>1.6000000000000001E-4</v>
      </c>
      <c r="AZ420" s="78">
        <f t="shared" si="284"/>
        <v>1.6000000000000001E-4</v>
      </c>
      <c r="BA420" s="78">
        <f t="shared" si="285"/>
        <v>1.6000000000000001E-4</v>
      </c>
      <c r="BB420" s="78">
        <f t="shared" si="286"/>
        <v>1.6000000000000001E-4</v>
      </c>
      <c r="BC420" s="78">
        <f t="shared" si="287"/>
        <v>1.6000000000000001E-4</v>
      </c>
      <c r="BD420" s="78">
        <f t="shared" si="288"/>
        <v>1.6000000000000001E-4</v>
      </c>
      <c r="BE420" s="78">
        <f t="shared" si="289"/>
        <v>1.6000000000000001E-4</v>
      </c>
      <c r="BF420" s="78">
        <f t="shared" si="290"/>
        <v>1.6000000000000001E-4</v>
      </c>
      <c r="BG420" s="78">
        <f t="shared" si="291"/>
        <v>1.6000000000000001E-4</v>
      </c>
      <c r="BH420" s="78">
        <f t="shared" si="292"/>
        <v>1.6000000000000001E-4</v>
      </c>
      <c r="BI420" s="78">
        <f t="shared" si="293"/>
        <v>1.6000000000000001E-4</v>
      </c>
      <c r="BJ420" s="78">
        <f t="shared" si="294"/>
        <v>1.6000000000000001E-4</v>
      </c>
      <c r="BK420" s="78">
        <f t="shared" si="295"/>
        <v>1.6000000000000001E-4</v>
      </c>
      <c r="BL420" s="78">
        <f t="shared" si="296"/>
        <v>1.6000000000000001E-4</v>
      </c>
      <c r="BM420" s="78">
        <f t="shared" si="297"/>
        <v>1.6000000000000001E-4</v>
      </c>
      <c r="BN420" s="78">
        <f t="shared" si="298"/>
        <v>1.6000000000000001E-4</v>
      </c>
      <c r="BO420" s="78">
        <f t="shared" si="299"/>
        <v>1.6000000000000001E-4</v>
      </c>
      <c r="BP420" s="78">
        <f t="shared" si="300"/>
        <v>1.6000000000000001E-4</v>
      </c>
      <c r="BQ420" s="78">
        <f t="shared" si="301"/>
        <v>1.6000000000000001E-4</v>
      </c>
      <c r="BR420" s="78">
        <f t="shared" si="302"/>
        <v>1.6000000000000001E-4</v>
      </c>
      <c r="BS420" s="77"/>
      <c r="BT420" s="77"/>
    </row>
    <row r="421" spans="1:72" ht="14.1" customHeight="1" x14ac:dyDescent="0.2">
      <c r="A421" s="55" t="str">
        <f t="shared" si="273"/>
        <v>DS-3 (General Delivery Service)_Rider HSS - Uncollectible Adjustment</v>
      </c>
      <c r="B421" s="80" t="s">
        <v>666</v>
      </c>
      <c r="C421" s="83" t="s">
        <v>850</v>
      </c>
      <c r="D421" s="150"/>
      <c r="E421" s="81"/>
      <c r="F421" s="73" t="s">
        <v>640</v>
      </c>
      <c r="G421" s="73">
        <v>0</v>
      </c>
      <c r="H421" s="73">
        <v>6</v>
      </c>
      <c r="I421" s="74" t="s">
        <v>641</v>
      </c>
      <c r="J421" s="75" t="s">
        <v>634</v>
      </c>
      <c r="K421" s="74"/>
      <c r="L421" s="82">
        <v>0</v>
      </c>
      <c r="M421" s="138">
        <v>5.0000000000000001E-3</v>
      </c>
      <c r="N421" s="138">
        <v>5.0000000000000001E-3</v>
      </c>
      <c r="O421" s="138">
        <v>5.0000000000000001E-3</v>
      </c>
      <c r="P421" s="138">
        <v>5.0000000000000001E-3</v>
      </c>
      <c r="Q421" s="138">
        <v>5.0000000000000001E-3</v>
      </c>
      <c r="R421" s="138">
        <v>5.0000000000000001E-3</v>
      </c>
      <c r="S421" s="138">
        <v>5.0000000000000001E-3</v>
      </c>
      <c r="T421" s="138">
        <v>5.0000000000000001E-3</v>
      </c>
      <c r="U421" s="138">
        <v>5.0000000000000001E-3</v>
      </c>
      <c r="V421" s="138">
        <v>5.0000000000000001E-3</v>
      </c>
      <c r="W421" s="138">
        <v>5.0000000000000001E-3</v>
      </c>
      <c r="X421" s="138">
        <v>5.0000000000000001E-3</v>
      </c>
      <c r="Y421" s="138">
        <f t="shared" si="303"/>
        <v>5.0000000000000001E-3</v>
      </c>
      <c r="Z421" s="138">
        <f t="shared" si="304"/>
        <v>5.0000000000000001E-3</v>
      </c>
      <c r="AA421" s="138">
        <f t="shared" si="305"/>
        <v>5.0000000000000001E-3</v>
      </c>
      <c r="AB421" s="138">
        <f t="shared" si="306"/>
        <v>5.0000000000000001E-3</v>
      </c>
      <c r="AC421" s="138">
        <f t="shared" si="307"/>
        <v>5.0000000000000001E-3</v>
      </c>
      <c r="AD421" s="138">
        <f t="shared" si="308"/>
        <v>5.0000000000000001E-3</v>
      </c>
      <c r="AE421" s="138">
        <f t="shared" si="309"/>
        <v>5.0000000000000001E-3</v>
      </c>
      <c r="AF421" s="138">
        <f t="shared" si="310"/>
        <v>5.0000000000000001E-3</v>
      </c>
      <c r="AG421" s="138">
        <f t="shared" si="311"/>
        <v>5.0000000000000001E-3</v>
      </c>
      <c r="AH421" s="138">
        <f t="shared" si="312"/>
        <v>5.0000000000000001E-3</v>
      </c>
      <c r="AI421" s="138">
        <f t="shared" si="313"/>
        <v>5.0000000000000001E-3</v>
      </c>
      <c r="AJ421" s="138">
        <f t="shared" si="314"/>
        <v>5.0000000000000001E-3</v>
      </c>
      <c r="AK421" s="138">
        <f t="shared" si="315"/>
        <v>5.0000000000000001E-3</v>
      </c>
      <c r="AL421" s="138">
        <f t="shared" si="316"/>
        <v>4.9999999999999992E-3</v>
      </c>
      <c r="AM421" s="138">
        <f t="shared" si="317"/>
        <v>5.0000000000000018E-3</v>
      </c>
      <c r="AO421" s="77" t="str">
        <f t="shared" si="274"/>
        <v>DS-3 (General Delivery Service)</v>
      </c>
      <c r="AP421" s="78" t="s">
        <v>667</v>
      </c>
      <c r="AQ421" s="77" t="str">
        <f t="shared" si="275"/>
        <v>Rider HSS - Uncollectible Adjustment</v>
      </c>
      <c r="AR421" s="78" t="str">
        <f t="shared" si="276"/>
        <v>Prorated</v>
      </c>
      <c r="AS421" s="79">
        <f t="shared" si="277"/>
        <v>6</v>
      </c>
      <c r="AT421" s="78">
        <f t="shared" si="278"/>
        <v>0</v>
      </c>
      <c r="AU421" s="78">
        <f t="shared" si="279"/>
        <v>5.0000000000000001E-3</v>
      </c>
      <c r="AV421" s="78">
        <f t="shared" si="280"/>
        <v>5.0000000000000001E-3</v>
      </c>
      <c r="AW421" s="78">
        <f t="shared" si="281"/>
        <v>5.0000000000000001E-3</v>
      </c>
      <c r="AX421" s="78">
        <f t="shared" si="282"/>
        <v>5.0000000000000001E-3</v>
      </c>
      <c r="AY421" s="78">
        <f t="shared" si="283"/>
        <v>5.0000000000000001E-3</v>
      </c>
      <c r="AZ421" s="78">
        <f t="shared" si="284"/>
        <v>5.0000000000000001E-3</v>
      </c>
      <c r="BA421" s="78">
        <f t="shared" si="285"/>
        <v>5.0000000000000001E-3</v>
      </c>
      <c r="BB421" s="78">
        <f t="shared" si="286"/>
        <v>5.0000000000000001E-3</v>
      </c>
      <c r="BC421" s="78">
        <f t="shared" si="287"/>
        <v>5.0000000000000001E-3</v>
      </c>
      <c r="BD421" s="78">
        <f t="shared" si="288"/>
        <v>5.0000000000000001E-3</v>
      </c>
      <c r="BE421" s="78">
        <f t="shared" si="289"/>
        <v>5.0000000000000001E-3</v>
      </c>
      <c r="BF421" s="78">
        <f t="shared" si="290"/>
        <v>5.0000000000000001E-3</v>
      </c>
      <c r="BG421" s="78">
        <f t="shared" si="291"/>
        <v>5.0000000000000001E-3</v>
      </c>
      <c r="BH421" s="78">
        <f t="shared" si="292"/>
        <v>5.0000000000000001E-3</v>
      </c>
      <c r="BI421" s="78">
        <f t="shared" si="293"/>
        <v>5.0000000000000001E-3</v>
      </c>
      <c r="BJ421" s="78">
        <f t="shared" si="294"/>
        <v>5.0000000000000001E-3</v>
      </c>
      <c r="BK421" s="78">
        <f t="shared" si="295"/>
        <v>5.0000000000000001E-3</v>
      </c>
      <c r="BL421" s="78">
        <f t="shared" si="296"/>
        <v>5.0000000000000001E-3</v>
      </c>
      <c r="BM421" s="78">
        <f t="shared" si="297"/>
        <v>5.0000000000000001E-3</v>
      </c>
      <c r="BN421" s="78">
        <f t="shared" si="298"/>
        <v>5.0000000000000001E-3</v>
      </c>
      <c r="BO421" s="78">
        <f t="shared" si="299"/>
        <v>5.0000000000000001E-3</v>
      </c>
      <c r="BP421" s="78">
        <f t="shared" si="300"/>
        <v>5.0000000000000001E-3</v>
      </c>
      <c r="BQ421" s="78">
        <f t="shared" si="301"/>
        <v>5.0000000000000001E-3</v>
      </c>
      <c r="BR421" s="78">
        <f t="shared" si="302"/>
        <v>5.0000000000000001E-3</v>
      </c>
      <c r="BS421" s="77"/>
      <c r="BT421" s="77"/>
    </row>
    <row r="422" spans="1:72" ht="14.1" customHeight="1" x14ac:dyDescent="0.2">
      <c r="A422" s="55" t="str">
        <f t="shared" si="273"/>
        <v>DS-4 (Large General Service)_Rider HSS - Uncollectible Adjustment</v>
      </c>
      <c r="B422" s="80" t="s">
        <v>639</v>
      </c>
      <c r="C422" s="83" t="s">
        <v>850</v>
      </c>
      <c r="D422" s="150"/>
      <c r="E422" s="81"/>
      <c r="F422" s="73" t="s">
        <v>640</v>
      </c>
      <c r="G422" s="73">
        <v>0</v>
      </c>
      <c r="H422" s="73">
        <v>6</v>
      </c>
      <c r="I422" s="74" t="s">
        <v>641</v>
      </c>
      <c r="J422" s="75" t="s">
        <v>634</v>
      </c>
      <c r="K422" s="74"/>
      <c r="L422" s="82">
        <v>0</v>
      </c>
      <c r="M422" s="138">
        <v>4.6999999999999999E-4</v>
      </c>
      <c r="N422" s="138">
        <v>4.6999999999999999E-4</v>
      </c>
      <c r="O422" s="138">
        <v>4.6999999999999999E-4</v>
      </c>
      <c r="P422" s="138">
        <v>4.6999999999999999E-4</v>
      </c>
      <c r="Q422" s="138">
        <v>4.6999999999999999E-4</v>
      </c>
      <c r="R422" s="138">
        <v>4.6999999999999999E-4</v>
      </c>
      <c r="S422" s="138">
        <v>4.6999999999999999E-4</v>
      </c>
      <c r="T422" s="138">
        <v>4.6999999999999999E-4</v>
      </c>
      <c r="U422" s="138">
        <v>4.6999999999999999E-4</v>
      </c>
      <c r="V422" s="138">
        <v>4.6999999999999999E-4</v>
      </c>
      <c r="W422" s="138">
        <v>4.6999999999999999E-4</v>
      </c>
      <c r="X422" s="138">
        <v>4.6999999999999999E-4</v>
      </c>
      <c r="Y422" s="138">
        <f t="shared" si="303"/>
        <v>4.6999999999999999E-4</v>
      </c>
      <c r="Z422" s="138">
        <f t="shared" si="304"/>
        <v>4.6999999999999999E-4</v>
      </c>
      <c r="AA422" s="138">
        <f t="shared" si="305"/>
        <v>4.6999999999999999E-4</v>
      </c>
      <c r="AB422" s="138">
        <f t="shared" si="306"/>
        <v>4.6999999999999999E-4</v>
      </c>
      <c r="AC422" s="138">
        <f t="shared" si="307"/>
        <v>4.6999999999999999E-4</v>
      </c>
      <c r="AD422" s="138">
        <f t="shared" si="308"/>
        <v>4.6999999999999999E-4</v>
      </c>
      <c r="AE422" s="138">
        <f t="shared" si="309"/>
        <v>4.6999999999999999E-4</v>
      </c>
      <c r="AF422" s="138">
        <f t="shared" si="310"/>
        <v>4.6999999999999999E-4</v>
      </c>
      <c r="AG422" s="138">
        <f t="shared" si="311"/>
        <v>4.6999999999999999E-4</v>
      </c>
      <c r="AH422" s="138">
        <f t="shared" si="312"/>
        <v>4.6999999999999999E-4</v>
      </c>
      <c r="AI422" s="138">
        <f t="shared" si="313"/>
        <v>4.6999999999999999E-4</v>
      </c>
      <c r="AJ422" s="138">
        <f t="shared" si="314"/>
        <v>4.6999999999999999E-4</v>
      </c>
      <c r="AK422" s="138">
        <f t="shared" si="315"/>
        <v>4.6999999999999999E-4</v>
      </c>
      <c r="AL422" s="138">
        <f t="shared" si="316"/>
        <v>4.6999999999999999E-4</v>
      </c>
      <c r="AM422" s="138">
        <f t="shared" si="317"/>
        <v>4.6999999999999999E-4</v>
      </c>
      <c r="AO422" s="77" t="str">
        <f t="shared" si="274"/>
        <v>DS-4 (Large General Service)</v>
      </c>
      <c r="AP422" s="78" t="s">
        <v>642</v>
      </c>
      <c r="AQ422" s="77" t="str">
        <f t="shared" si="275"/>
        <v>Rider HSS - Uncollectible Adjustment</v>
      </c>
      <c r="AR422" s="78" t="str">
        <f t="shared" si="276"/>
        <v>Prorated</v>
      </c>
      <c r="AS422" s="79">
        <f t="shared" si="277"/>
        <v>6</v>
      </c>
      <c r="AT422" s="78">
        <f t="shared" si="278"/>
        <v>0</v>
      </c>
      <c r="AU422" s="78">
        <f t="shared" si="279"/>
        <v>4.6999999999999999E-4</v>
      </c>
      <c r="AV422" s="78">
        <f t="shared" si="280"/>
        <v>4.6999999999999999E-4</v>
      </c>
      <c r="AW422" s="78">
        <f t="shared" si="281"/>
        <v>4.6999999999999999E-4</v>
      </c>
      <c r="AX422" s="78">
        <f t="shared" si="282"/>
        <v>4.6999999999999999E-4</v>
      </c>
      <c r="AY422" s="78">
        <f t="shared" si="283"/>
        <v>4.6999999999999999E-4</v>
      </c>
      <c r="AZ422" s="78">
        <f t="shared" si="284"/>
        <v>4.6999999999999999E-4</v>
      </c>
      <c r="BA422" s="78">
        <f t="shared" si="285"/>
        <v>4.6999999999999999E-4</v>
      </c>
      <c r="BB422" s="78">
        <f t="shared" si="286"/>
        <v>4.6999999999999999E-4</v>
      </c>
      <c r="BC422" s="78">
        <f t="shared" si="287"/>
        <v>4.6999999999999999E-4</v>
      </c>
      <c r="BD422" s="78">
        <f t="shared" si="288"/>
        <v>4.6999999999999999E-4</v>
      </c>
      <c r="BE422" s="78">
        <f t="shared" si="289"/>
        <v>4.6999999999999999E-4</v>
      </c>
      <c r="BF422" s="78">
        <f t="shared" si="290"/>
        <v>4.6999999999999999E-4</v>
      </c>
      <c r="BG422" s="78">
        <f t="shared" si="291"/>
        <v>4.6999999999999999E-4</v>
      </c>
      <c r="BH422" s="78">
        <f t="shared" si="292"/>
        <v>4.6999999999999999E-4</v>
      </c>
      <c r="BI422" s="78">
        <f t="shared" si="293"/>
        <v>4.6999999999999999E-4</v>
      </c>
      <c r="BJ422" s="78">
        <f t="shared" si="294"/>
        <v>4.6999999999999999E-4</v>
      </c>
      <c r="BK422" s="78">
        <f t="shared" si="295"/>
        <v>4.6999999999999999E-4</v>
      </c>
      <c r="BL422" s="78">
        <f t="shared" si="296"/>
        <v>4.6999999999999999E-4</v>
      </c>
      <c r="BM422" s="78">
        <f t="shared" si="297"/>
        <v>4.6999999999999999E-4</v>
      </c>
      <c r="BN422" s="78">
        <f t="shared" si="298"/>
        <v>4.6999999999999999E-4</v>
      </c>
      <c r="BO422" s="78">
        <f t="shared" si="299"/>
        <v>4.6999999999999999E-4</v>
      </c>
      <c r="BP422" s="78">
        <f t="shared" si="300"/>
        <v>4.6999999999999999E-4</v>
      </c>
      <c r="BQ422" s="78">
        <f t="shared" si="301"/>
        <v>4.6999999999999999E-4</v>
      </c>
      <c r="BR422" s="78">
        <f t="shared" si="302"/>
        <v>4.6999999999999999E-4</v>
      </c>
      <c r="BS422" s="77"/>
      <c r="BT422" s="77"/>
    </row>
    <row r="423" spans="1:72" ht="14.1" customHeight="1" x14ac:dyDescent="0.2">
      <c r="A423" s="55" t="str">
        <f t="shared" si="273"/>
        <v>DS-6 (DS-3) Temp. Sensitive DS_Rider HSS - Uncollectible Adjustment</v>
      </c>
      <c r="B423" s="80" t="s">
        <v>643</v>
      </c>
      <c r="C423" s="83" t="s">
        <v>850</v>
      </c>
      <c r="D423" s="150"/>
      <c r="E423" s="81"/>
      <c r="F423" s="73" t="s">
        <v>640</v>
      </c>
      <c r="G423" s="73">
        <v>0</v>
      </c>
      <c r="H423" s="73">
        <v>6</v>
      </c>
      <c r="I423" s="74" t="s">
        <v>641</v>
      </c>
      <c r="J423" s="75" t="s">
        <v>634</v>
      </c>
      <c r="K423" s="74"/>
      <c r="L423" s="82">
        <v>0</v>
      </c>
      <c r="M423" s="138">
        <v>5.0000000000000001E-3</v>
      </c>
      <c r="N423" s="138">
        <v>5.0000000000000001E-3</v>
      </c>
      <c r="O423" s="138">
        <v>5.0000000000000001E-3</v>
      </c>
      <c r="P423" s="138">
        <v>5.0000000000000001E-3</v>
      </c>
      <c r="Q423" s="138">
        <v>5.0000000000000001E-3</v>
      </c>
      <c r="R423" s="138">
        <v>5.0000000000000001E-3</v>
      </c>
      <c r="S423" s="138">
        <v>5.0000000000000001E-3</v>
      </c>
      <c r="T423" s="138">
        <v>5.0000000000000001E-3</v>
      </c>
      <c r="U423" s="138">
        <v>5.0000000000000001E-3</v>
      </c>
      <c r="V423" s="138">
        <v>5.0000000000000001E-3</v>
      </c>
      <c r="W423" s="138">
        <v>5.0000000000000001E-3</v>
      </c>
      <c r="X423" s="138">
        <v>5.0000000000000001E-3</v>
      </c>
      <c r="Y423" s="138">
        <f t="shared" si="303"/>
        <v>5.0000000000000001E-3</v>
      </c>
      <c r="Z423" s="138">
        <f t="shared" si="304"/>
        <v>5.0000000000000001E-3</v>
      </c>
      <c r="AA423" s="138">
        <f t="shared" si="305"/>
        <v>5.0000000000000001E-3</v>
      </c>
      <c r="AB423" s="138">
        <f t="shared" si="306"/>
        <v>5.0000000000000001E-3</v>
      </c>
      <c r="AC423" s="138">
        <f t="shared" si="307"/>
        <v>5.0000000000000001E-3</v>
      </c>
      <c r="AD423" s="138">
        <f t="shared" si="308"/>
        <v>5.0000000000000001E-3</v>
      </c>
      <c r="AE423" s="138">
        <f t="shared" si="309"/>
        <v>5.0000000000000001E-3</v>
      </c>
      <c r="AF423" s="138">
        <f t="shared" si="310"/>
        <v>5.0000000000000001E-3</v>
      </c>
      <c r="AG423" s="138">
        <f t="shared" si="311"/>
        <v>5.0000000000000001E-3</v>
      </c>
      <c r="AH423" s="138">
        <f t="shared" si="312"/>
        <v>5.0000000000000001E-3</v>
      </c>
      <c r="AI423" s="138">
        <f t="shared" si="313"/>
        <v>5.0000000000000001E-3</v>
      </c>
      <c r="AJ423" s="138">
        <f t="shared" si="314"/>
        <v>5.0000000000000001E-3</v>
      </c>
      <c r="AK423" s="138">
        <f t="shared" si="315"/>
        <v>5.0000000000000001E-3</v>
      </c>
      <c r="AL423" s="138">
        <f t="shared" si="316"/>
        <v>4.9999999999999992E-3</v>
      </c>
      <c r="AM423" s="138">
        <f t="shared" si="317"/>
        <v>5.0000000000000018E-3</v>
      </c>
      <c r="AO423" s="77" t="str">
        <f t="shared" si="274"/>
        <v>DS-6 (DS-3) Temp. Sensitive DS</v>
      </c>
      <c r="AP423" s="78" t="s">
        <v>644</v>
      </c>
      <c r="AQ423" s="77" t="str">
        <f t="shared" si="275"/>
        <v>Rider HSS - Uncollectible Adjustment</v>
      </c>
      <c r="AR423" s="78" t="str">
        <f t="shared" si="276"/>
        <v>Prorated</v>
      </c>
      <c r="AS423" s="79">
        <f t="shared" si="277"/>
        <v>6</v>
      </c>
      <c r="AT423" s="78">
        <f t="shared" si="278"/>
        <v>0</v>
      </c>
      <c r="AU423" s="78">
        <f t="shared" si="279"/>
        <v>5.0000000000000001E-3</v>
      </c>
      <c r="AV423" s="78">
        <f t="shared" si="280"/>
        <v>5.0000000000000001E-3</v>
      </c>
      <c r="AW423" s="78">
        <f t="shared" si="281"/>
        <v>5.0000000000000001E-3</v>
      </c>
      <c r="AX423" s="78">
        <f t="shared" si="282"/>
        <v>5.0000000000000001E-3</v>
      </c>
      <c r="AY423" s="78">
        <f t="shared" si="283"/>
        <v>5.0000000000000001E-3</v>
      </c>
      <c r="AZ423" s="78">
        <f t="shared" si="284"/>
        <v>5.0000000000000001E-3</v>
      </c>
      <c r="BA423" s="78">
        <f t="shared" si="285"/>
        <v>5.0000000000000001E-3</v>
      </c>
      <c r="BB423" s="78">
        <f t="shared" si="286"/>
        <v>5.0000000000000001E-3</v>
      </c>
      <c r="BC423" s="78">
        <f t="shared" si="287"/>
        <v>5.0000000000000001E-3</v>
      </c>
      <c r="BD423" s="78">
        <f t="shared" si="288"/>
        <v>5.0000000000000001E-3</v>
      </c>
      <c r="BE423" s="78">
        <f t="shared" si="289"/>
        <v>5.0000000000000001E-3</v>
      </c>
      <c r="BF423" s="78">
        <f t="shared" si="290"/>
        <v>5.0000000000000001E-3</v>
      </c>
      <c r="BG423" s="78">
        <f t="shared" si="291"/>
        <v>5.0000000000000001E-3</v>
      </c>
      <c r="BH423" s="78">
        <f t="shared" si="292"/>
        <v>5.0000000000000001E-3</v>
      </c>
      <c r="BI423" s="78">
        <f t="shared" si="293"/>
        <v>5.0000000000000001E-3</v>
      </c>
      <c r="BJ423" s="78">
        <f t="shared" si="294"/>
        <v>5.0000000000000001E-3</v>
      </c>
      <c r="BK423" s="78">
        <f t="shared" si="295"/>
        <v>5.0000000000000001E-3</v>
      </c>
      <c r="BL423" s="78">
        <f t="shared" si="296"/>
        <v>5.0000000000000001E-3</v>
      </c>
      <c r="BM423" s="78">
        <f t="shared" si="297"/>
        <v>5.0000000000000001E-3</v>
      </c>
      <c r="BN423" s="78">
        <f t="shared" si="298"/>
        <v>5.0000000000000001E-3</v>
      </c>
      <c r="BO423" s="78">
        <f t="shared" si="299"/>
        <v>5.0000000000000001E-3</v>
      </c>
      <c r="BP423" s="78">
        <f t="shared" si="300"/>
        <v>5.0000000000000001E-3</v>
      </c>
      <c r="BQ423" s="78">
        <f t="shared" si="301"/>
        <v>5.0000000000000001E-3</v>
      </c>
      <c r="BR423" s="78">
        <f t="shared" si="302"/>
        <v>5.0000000000000001E-3</v>
      </c>
      <c r="BS423" s="77"/>
      <c r="BT423" s="77"/>
    </row>
    <row r="424" spans="1:72" ht="14.1" customHeight="1" x14ac:dyDescent="0.2">
      <c r="A424" s="55" t="str">
        <f t="shared" si="273"/>
        <v>DS-6 (DS-4) Temp. Sensitive DS_Rider HSS - Uncollectible Adjustment</v>
      </c>
      <c r="B424" s="80" t="s">
        <v>645</v>
      </c>
      <c r="C424" s="83" t="s">
        <v>850</v>
      </c>
      <c r="D424" s="150"/>
      <c r="E424" s="81"/>
      <c r="F424" s="73" t="s">
        <v>640</v>
      </c>
      <c r="G424" s="73">
        <v>0</v>
      </c>
      <c r="H424" s="73">
        <v>6</v>
      </c>
      <c r="I424" s="74" t="s">
        <v>641</v>
      </c>
      <c r="J424" s="75" t="s">
        <v>634</v>
      </c>
      <c r="K424" s="74"/>
      <c r="L424" s="82">
        <v>0</v>
      </c>
      <c r="M424" s="138">
        <v>4.6999999999999999E-4</v>
      </c>
      <c r="N424" s="138">
        <v>4.6999999999999999E-4</v>
      </c>
      <c r="O424" s="138">
        <v>4.6999999999999999E-4</v>
      </c>
      <c r="P424" s="138">
        <v>4.6999999999999999E-4</v>
      </c>
      <c r="Q424" s="138">
        <v>4.6999999999999999E-4</v>
      </c>
      <c r="R424" s="138">
        <v>4.6999999999999999E-4</v>
      </c>
      <c r="S424" s="138">
        <v>4.6999999999999999E-4</v>
      </c>
      <c r="T424" s="138">
        <v>4.6999999999999999E-4</v>
      </c>
      <c r="U424" s="138">
        <v>4.6999999999999999E-4</v>
      </c>
      <c r="V424" s="138">
        <v>4.6999999999999999E-4</v>
      </c>
      <c r="W424" s="138">
        <v>4.6999999999999999E-4</v>
      </c>
      <c r="X424" s="138">
        <v>4.6999999999999999E-4</v>
      </c>
      <c r="Y424" s="138">
        <f t="shared" si="303"/>
        <v>4.6999999999999999E-4</v>
      </c>
      <c r="Z424" s="138">
        <f t="shared" si="304"/>
        <v>4.6999999999999999E-4</v>
      </c>
      <c r="AA424" s="138">
        <f t="shared" si="305"/>
        <v>4.6999999999999999E-4</v>
      </c>
      <c r="AB424" s="138">
        <f t="shared" si="306"/>
        <v>4.6999999999999999E-4</v>
      </c>
      <c r="AC424" s="138">
        <f t="shared" si="307"/>
        <v>4.6999999999999999E-4</v>
      </c>
      <c r="AD424" s="138">
        <f t="shared" si="308"/>
        <v>4.6999999999999999E-4</v>
      </c>
      <c r="AE424" s="138">
        <f t="shared" si="309"/>
        <v>4.6999999999999999E-4</v>
      </c>
      <c r="AF424" s="138">
        <f t="shared" si="310"/>
        <v>4.6999999999999999E-4</v>
      </c>
      <c r="AG424" s="138">
        <f t="shared" si="311"/>
        <v>4.6999999999999999E-4</v>
      </c>
      <c r="AH424" s="138">
        <f t="shared" si="312"/>
        <v>4.6999999999999999E-4</v>
      </c>
      <c r="AI424" s="138">
        <f t="shared" si="313"/>
        <v>4.6999999999999999E-4</v>
      </c>
      <c r="AJ424" s="138">
        <f t="shared" si="314"/>
        <v>4.6999999999999999E-4</v>
      </c>
      <c r="AK424" s="138">
        <f t="shared" si="315"/>
        <v>4.6999999999999999E-4</v>
      </c>
      <c r="AL424" s="138">
        <f t="shared" si="316"/>
        <v>4.6999999999999999E-4</v>
      </c>
      <c r="AM424" s="138">
        <f t="shared" si="317"/>
        <v>4.6999999999999999E-4</v>
      </c>
      <c r="AO424" s="77" t="str">
        <f t="shared" si="274"/>
        <v>DS-6 (DS-4) Temp. Sensitive DS</v>
      </c>
      <c r="AP424" s="78" t="s">
        <v>646</v>
      </c>
      <c r="AQ424" s="77" t="str">
        <f t="shared" si="275"/>
        <v>Rider HSS - Uncollectible Adjustment</v>
      </c>
      <c r="AR424" s="78" t="str">
        <f t="shared" si="276"/>
        <v>Prorated</v>
      </c>
      <c r="AS424" s="79">
        <f t="shared" si="277"/>
        <v>6</v>
      </c>
      <c r="AT424" s="78">
        <f t="shared" si="278"/>
        <v>0</v>
      </c>
      <c r="AU424" s="78">
        <f t="shared" si="279"/>
        <v>4.6999999999999999E-4</v>
      </c>
      <c r="AV424" s="78">
        <f t="shared" si="280"/>
        <v>4.6999999999999999E-4</v>
      </c>
      <c r="AW424" s="78">
        <f t="shared" si="281"/>
        <v>4.6999999999999999E-4</v>
      </c>
      <c r="AX424" s="78">
        <f t="shared" si="282"/>
        <v>4.6999999999999999E-4</v>
      </c>
      <c r="AY424" s="78">
        <f t="shared" si="283"/>
        <v>4.6999999999999999E-4</v>
      </c>
      <c r="AZ424" s="78">
        <f t="shared" si="284"/>
        <v>4.6999999999999999E-4</v>
      </c>
      <c r="BA424" s="78">
        <f t="shared" si="285"/>
        <v>4.6999999999999999E-4</v>
      </c>
      <c r="BB424" s="78">
        <f t="shared" si="286"/>
        <v>4.6999999999999999E-4</v>
      </c>
      <c r="BC424" s="78">
        <f t="shared" si="287"/>
        <v>4.6999999999999999E-4</v>
      </c>
      <c r="BD424" s="78">
        <f t="shared" si="288"/>
        <v>4.6999999999999999E-4</v>
      </c>
      <c r="BE424" s="78">
        <f t="shared" si="289"/>
        <v>4.6999999999999999E-4</v>
      </c>
      <c r="BF424" s="78">
        <f t="shared" si="290"/>
        <v>4.6999999999999999E-4</v>
      </c>
      <c r="BG424" s="78">
        <f t="shared" si="291"/>
        <v>4.6999999999999999E-4</v>
      </c>
      <c r="BH424" s="78">
        <f t="shared" si="292"/>
        <v>4.6999999999999999E-4</v>
      </c>
      <c r="BI424" s="78">
        <f t="shared" si="293"/>
        <v>4.6999999999999999E-4</v>
      </c>
      <c r="BJ424" s="78">
        <f t="shared" si="294"/>
        <v>4.6999999999999999E-4</v>
      </c>
      <c r="BK424" s="78">
        <f t="shared" si="295"/>
        <v>4.6999999999999999E-4</v>
      </c>
      <c r="BL424" s="78">
        <f t="shared" si="296"/>
        <v>4.6999999999999999E-4</v>
      </c>
      <c r="BM424" s="78">
        <f t="shared" si="297"/>
        <v>4.6999999999999999E-4</v>
      </c>
      <c r="BN424" s="78">
        <f t="shared" si="298"/>
        <v>4.6999999999999999E-4</v>
      </c>
      <c r="BO424" s="78">
        <f t="shared" si="299"/>
        <v>4.6999999999999999E-4</v>
      </c>
      <c r="BP424" s="78">
        <f t="shared" si="300"/>
        <v>4.6999999999999999E-4</v>
      </c>
      <c r="BQ424" s="78">
        <f t="shared" si="301"/>
        <v>4.6999999999999999E-4</v>
      </c>
      <c r="BR424" s="78">
        <f t="shared" si="302"/>
        <v>4.6999999999999999E-4</v>
      </c>
      <c r="BS424" s="77"/>
      <c r="BT424" s="77"/>
    </row>
    <row r="425" spans="1:72" ht="14.1" customHeight="1" x14ac:dyDescent="0.2">
      <c r="A425" s="55" t="str">
        <f t="shared" si="273"/>
        <v>GDS-1 (Residential)_Rider ICTA (Investment Capital Tax Adjustment)</v>
      </c>
      <c r="B425" s="80" t="s">
        <v>95</v>
      </c>
      <c r="C425" s="83" t="s">
        <v>851</v>
      </c>
      <c r="D425" s="150" t="s">
        <v>602</v>
      </c>
      <c r="E425" s="81"/>
      <c r="F425" s="73" t="s">
        <v>649</v>
      </c>
      <c r="G425" s="73">
        <v>0</v>
      </c>
      <c r="H425" s="73">
        <v>6</v>
      </c>
      <c r="I425" s="74" t="s">
        <v>641</v>
      </c>
      <c r="J425" s="75" t="s">
        <v>634</v>
      </c>
      <c r="K425" s="74"/>
      <c r="L425" s="82">
        <v>0.69</v>
      </c>
      <c r="M425" s="138">
        <v>0.69</v>
      </c>
      <c r="N425" s="138">
        <v>0.69</v>
      </c>
      <c r="O425" s="138">
        <v>0.69</v>
      </c>
      <c r="P425" s="138">
        <v>0.69</v>
      </c>
      <c r="Q425" s="138">
        <v>0.69</v>
      </c>
      <c r="R425" s="138">
        <v>0.69</v>
      </c>
      <c r="S425" s="138">
        <v>0.84</v>
      </c>
      <c r="T425" s="138">
        <v>0.84</v>
      </c>
      <c r="U425" s="138">
        <v>0.84</v>
      </c>
      <c r="V425" s="138">
        <v>0.95</v>
      </c>
      <c r="W425" s="138">
        <v>0.95</v>
      </c>
      <c r="X425" s="138">
        <v>0.95</v>
      </c>
      <c r="Y425" s="138">
        <f t="shared" si="303"/>
        <v>0.95</v>
      </c>
      <c r="Z425" s="138">
        <f t="shared" si="304"/>
        <v>0.95</v>
      </c>
      <c r="AA425" s="138">
        <f t="shared" si="305"/>
        <v>0.95</v>
      </c>
      <c r="AB425" s="138">
        <f t="shared" si="306"/>
        <v>0.95</v>
      </c>
      <c r="AC425" s="138">
        <f t="shared" si="307"/>
        <v>0.95</v>
      </c>
      <c r="AD425" s="138">
        <f t="shared" si="308"/>
        <v>0.95</v>
      </c>
      <c r="AE425" s="138">
        <f t="shared" si="309"/>
        <v>0.95</v>
      </c>
      <c r="AF425" s="138">
        <f t="shared" si="310"/>
        <v>0.95</v>
      </c>
      <c r="AG425" s="138">
        <f t="shared" si="311"/>
        <v>0.95</v>
      </c>
      <c r="AH425" s="138">
        <f t="shared" si="312"/>
        <v>0.95</v>
      </c>
      <c r="AI425" s="138">
        <f t="shared" si="313"/>
        <v>0.95</v>
      </c>
      <c r="AJ425" s="138">
        <f t="shared" si="314"/>
        <v>0.95</v>
      </c>
      <c r="AK425" s="138">
        <f t="shared" si="315"/>
        <v>0.95</v>
      </c>
      <c r="AL425" s="138">
        <f t="shared" si="316"/>
        <v>0.94999999999999984</v>
      </c>
      <c r="AM425" s="138">
        <f t="shared" si="317"/>
        <v>0.882083333333333</v>
      </c>
      <c r="AO425" s="77" t="str">
        <f t="shared" si="274"/>
        <v>GDS-1 (Residential)</v>
      </c>
      <c r="AP425" s="78" t="s">
        <v>668</v>
      </c>
      <c r="AQ425" s="77" t="str">
        <f t="shared" si="275"/>
        <v>Rider ICTA (Investment Capital Tax Adjustment)</v>
      </c>
      <c r="AR425" s="78" t="str">
        <f t="shared" si="276"/>
        <v>Billing Cycle</v>
      </c>
      <c r="AS425" s="79">
        <f t="shared" si="277"/>
        <v>6</v>
      </c>
      <c r="AT425" s="78">
        <f t="shared" si="278"/>
        <v>1</v>
      </c>
      <c r="AU425" s="78">
        <f t="shared" si="279"/>
        <v>0.69</v>
      </c>
      <c r="AV425" s="78">
        <f t="shared" si="280"/>
        <v>0.69</v>
      </c>
      <c r="AW425" s="78">
        <f t="shared" si="281"/>
        <v>0.69</v>
      </c>
      <c r="AX425" s="78">
        <f t="shared" si="282"/>
        <v>0.69</v>
      </c>
      <c r="AY425" s="78">
        <f t="shared" si="283"/>
        <v>0.69</v>
      </c>
      <c r="AZ425" s="78">
        <f t="shared" si="284"/>
        <v>0.69</v>
      </c>
      <c r="BA425" s="78">
        <f t="shared" si="285"/>
        <v>0.84</v>
      </c>
      <c r="BB425" s="78">
        <f t="shared" si="286"/>
        <v>0.84</v>
      </c>
      <c r="BC425" s="78">
        <f t="shared" si="287"/>
        <v>0.84</v>
      </c>
      <c r="BD425" s="78">
        <f t="shared" si="288"/>
        <v>0.95</v>
      </c>
      <c r="BE425" s="78">
        <f t="shared" si="289"/>
        <v>0.95</v>
      </c>
      <c r="BF425" s="78">
        <f t="shared" si="290"/>
        <v>0.95</v>
      </c>
      <c r="BG425" s="78">
        <f t="shared" si="291"/>
        <v>0.95</v>
      </c>
      <c r="BH425" s="78">
        <f t="shared" si="292"/>
        <v>0.95</v>
      </c>
      <c r="BI425" s="78">
        <f t="shared" si="293"/>
        <v>0.95</v>
      </c>
      <c r="BJ425" s="78">
        <f t="shared" si="294"/>
        <v>0.95</v>
      </c>
      <c r="BK425" s="78">
        <f t="shared" si="295"/>
        <v>0.95</v>
      </c>
      <c r="BL425" s="78">
        <f t="shared" si="296"/>
        <v>0.95</v>
      </c>
      <c r="BM425" s="78">
        <f t="shared" si="297"/>
        <v>0.95</v>
      </c>
      <c r="BN425" s="78">
        <f t="shared" si="298"/>
        <v>0.95</v>
      </c>
      <c r="BO425" s="78">
        <f t="shared" si="299"/>
        <v>0.95</v>
      </c>
      <c r="BP425" s="78">
        <f t="shared" si="300"/>
        <v>0.95</v>
      </c>
      <c r="BQ425" s="78">
        <f t="shared" si="301"/>
        <v>0.95</v>
      </c>
      <c r="BR425" s="78">
        <f t="shared" si="302"/>
        <v>0.95</v>
      </c>
      <c r="BS425" s="77"/>
      <c r="BT425" s="77"/>
    </row>
    <row r="426" spans="1:72" ht="14.1" customHeight="1" x14ac:dyDescent="0.2">
      <c r="A426" s="55" t="str">
        <f t="shared" si="273"/>
        <v>GDS-6 (Inadequate Capacity)_Rider ICTA (Investment Capital Tax Adjustment)</v>
      </c>
      <c r="B426" s="80" t="s">
        <v>700</v>
      </c>
      <c r="C426" s="83" t="s">
        <v>851</v>
      </c>
      <c r="D426" s="150"/>
      <c r="E426" s="81"/>
      <c r="F426" s="73" t="s">
        <v>649</v>
      </c>
      <c r="G426" s="73">
        <v>0</v>
      </c>
      <c r="H426" s="73">
        <v>6</v>
      </c>
      <c r="I426" s="74" t="s">
        <v>641</v>
      </c>
      <c r="J426" s="75" t="s">
        <v>634</v>
      </c>
      <c r="K426" s="74"/>
      <c r="L426" s="82">
        <v>0.69</v>
      </c>
      <c r="M426" s="138">
        <v>0.69</v>
      </c>
      <c r="N426" s="138">
        <v>0.69</v>
      </c>
      <c r="O426" s="138">
        <v>0.69</v>
      </c>
      <c r="P426" s="138">
        <v>0.69</v>
      </c>
      <c r="Q426" s="138">
        <v>0.69</v>
      </c>
      <c r="R426" s="138">
        <v>0.69</v>
      </c>
      <c r="S426" s="138">
        <v>0.84</v>
      </c>
      <c r="T426" s="138">
        <v>0.84</v>
      </c>
      <c r="U426" s="138">
        <v>0.84</v>
      </c>
      <c r="V426" s="138">
        <v>0.95</v>
      </c>
      <c r="W426" s="138">
        <v>0.95</v>
      </c>
      <c r="X426" s="138">
        <v>0.95</v>
      </c>
      <c r="Y426" s="138">
        <f t="shared" si="303"/>
        <v>0.95</v>
      </c>
      <c r="Z426" s="138">
        <f t="shared" si="304"/>
        <v>0.95</v>
      </c>
      <c r="AA426" s="138">
        <f t="shared" si="305"/>
        <v>0.95</v>
      </c>
      <c r="AB426" s="138">
        <f t="shared" si="306"/>
        <v>0.95</v>
      </c>
      <c r="AC426" s="138">
        <f t="shared" si="307"/>
        <v>0.95</v>
      </c>
      <c r="AD426" s="138">
        <f t="shared" si="308"/>
        <v>0.95</v>
      </c>
      <c r="AE426" s="138">
        <f t="shared" si="309"/>
        <v>0.95</v>
      </c>
      <c r="AF426" s="138">
        <f t="shared" si="310"/>
        <v>0.95</v>
      </c>
      <c r="AG426" s="138">
        <f t="shared" si="311"/>
        <v>0.95</v>
      </c>
      <c r="AH426" s="138">
        <f t="shared" si="312"/>
        <v>0.95</v>
      </c>
      <c r="AI426" s="138">
        <f t="shared" si="313"/>
        <v>0.95</v>
      </c>
      <c r="AJ426" s="138">
        <f t="shared" si="314"/>
        <v>0.95</v>
      </c>
      <c r="AK426" s="138">
        <f t="shared" si="315"/>
        <v>0.95</v>
      </c>
      <c r="AL426" s="138">
        <f t="shared" si="316"/>
        <v>0.94999999999999984</v>
      </c>
      <c r="AM426" s="138">
        <f t="shared" si="317"/>
        <v>0.882083333333333</v>
      </c>
      <c r="AO426" s="77" t="str">
        <f t="shared" si="274"/>
        <v>GDS-6 (Inadequate Capacity)</v>
      </c>
      <c r="AP426" s="78" t="s">
        <v>701</v>
      </c>
      <c r="AQ426" s="77" t="str">
        <f t="shared" si="275"/>
        <v>Rider ICTA (Investment Capital Tax Adjustment)</v>
      </c>
      <c r="AR426" s="78" t="str">
        <f t="shared" si="276"/>
        <v>Billing Cycle</v>
      </c>
      <c r="AS426" s="79">
        <f t="shared" si="277"/>
        <v>6</v>
      </c>
      <c r="AT426" s="78">
        <f t="shared" si="278"/>
        <v>1</v>
      </c>
      <c r="AU426" s="78">
        <f t="shared" si="279"/>
        <v>0.69</v>
      </c>
      <c r="AV426" s="78">
        <f t="shared" si="280"/>
        <v>0.69</v>
      </c>
      <c r="AW426" s="78">
        <f t="shared" si="281"/>
        <v>0.69</v>
      </c>
      <c r="AX426" s="78">
        <f t="shared" si="282"/>
        <v>0.69</v>
      </c>
      <c r="AY426" s="78">
        <f t="shared" si="283"/>
        <v>0.69</v>
      </c>
      <c r="AZ426" s="78">
        <f t="shared" si="284"/>
        <v>0.69</v>
      </c>
      <c r="BA426" s="78">
        <f t="shared" si="285"/>
        <v>0.84</v>
      </c>
      <c r="BB426" s="78">
        <f t="shared" si="286"/>
        <v>0.84</v>
      </c>
      <c r="BC426" s="78">
        <f t="shared" si="287"/>
        <v>0.84</v>
      </c>
      <c r="BD426" s="78">
        <f t="shared" si="288"/>
        <v>0.95</v>
      </c>
      <c r="BE426" s="78">
        <f t="shared" si="289"/>
        <v>0.95</v>
      </c>
      <c r="BF426" s="78">
        <f t="shared" si="290"/>
        <v>0.95</v>
      </c>
      <c r="BG426" s="78">
        <f t="shared" si="291"/>
        <v>0.95</v>
      </c>
      <c r="BH426" s="78">
        <f t="shared" si="292"/>
        <v>0.95</v>
      </c>
      <c r="BI426" s="78">
        <f t="shared" si="293"/>
        <v>0.95</v>
      </c>
      <c r="BJ426" s="78">
        <f t="shared" si="294"/>
        <v>0.95</v>
      </c>
      <c r="BK426" s="78">
        <f t="shared" si="295"/>
        <v>0.95</v>
      </c>
      <c r="BL426" s="78">
        <f t="shared" si="296"/>
        <v>0.95</v>
      </c>
      <c r="BM426" s="78">
        <f t="shared" si="297"/>
        <v>0.95</v>
      </c>
      <c r="BN426" s="78">
        <f t="shared" si="298"/>
        <v>0.95</v>
      </c>
      <c r="BO426" s="78">
        <f t="shared" si="299"/>
        <v>0.95</v>
      </c>
      <c r="BP426" s="78">
        <f t="shared" si="300"/>
        <v>0.95</v>
      </c>
      <c r="BQ426" s="78">
        <f t="shared" si="301"/>
        <v>0.95</v>
      </c>
      <c r="BR426" s="78">
        <f t="shared" si="302"/>
        <v>0.95</v>
      </c>
      <c r="BS426" s="77"/>
      <c r="BT426" s="77"/>
    </row>
    <row r="427" spans="1:72" ht="14.1" customHeight="1" x14ac:dyDescent="0.2">
      <c r="A427" s="55" t="str">
        <f t="shared" si="273"/>
        <v>GDS-2 (Small General Delivery)_Rider ICTA (Investment Capital Tax Adjustment)</v>
      </c>
      <c r="B427" s="80" t="s">
        <v>669</v>
      </c>
      <c r="C427" s="83" t="s">
        <v>851</v>
      </c>
      <c r="D427" s="150"/>
      <c r="E427" s="81"/>
      <c r="F427" s="73" t="s">
        <v>649</v>
      </c>
      <c r="G427" s="73">
        <v>0</v>
      </c>
      <c r="H427" s="73">
        <v>6</v>
      </c>
      <c r="I427" s="74" t="s">
        <v>641</v>
      </c>
      <c r="J427" s="75" t="s">
        <v>634</v>
      </c>
      <c r="K427" s="74"/>
      <c r="L427" s="82">
        <v>0.69</v>
      </c>
      <c r="M427" s="138">
        <v>0.69</v>
      </c>
      <c r="N427" s="138">
        <v>0.69</v>
      </c>
      <c r="O427" s="138">
        <v>0.69</v>
      </c>
      <c r="P427" s="138">
        <v>0.69</v>
      </c>
      <c r="Q427" s="138">
        <v>0.69</v>
      </c>
      <c r="R427" s="138">
        <v>0.69</v>
      </c>
      <c r="S427" s="138">
        <v>0.84</v>
      </c>
      <c r="T427" s="138">
        <v>0.84</v>
      </c>
      <c r="U427" s="138">
        <v>0.84</v>
      </c>
      <c r="V427" s="138">
        <v>0.95</v>
      </c>
      <c r="W427" s="138">
        <v>0.95</v>
      </c>
      <c r="X427" s="138">
        <v>0.95</v>
      </c>
      <c r="Y427" s="138">
        <f t="shared" si="303"/>
        <v>0.95</v>
      </c>
      <c r="Z427" s="138">
        <f t="shared" si="304"/>
        <v>0.95</v>
      </c>
      <c r="AA427" s="138">
        <f t="shared" si="305"/>
        <v>0.95</v>
      </c>
      <c r="AB427" s="138">
        <f t="shared" si="306"/>
        <v>0.95</v>
      </c>
      <c r="AC427" s="138">
        <f t="shared" si="307"/>
        <v>0.95</v>
      </c>
      <c r="AD427" s="138">
        <f t="shared" si="308"/>
        <v>0.95</v>
      </c>
      <c r="AE427" s="138">
        <f t="shared" si="309"/>
        <v>0.95</v>
      </c>
      <c r="AF427" s="138">
        <f t="shared" si="310"/>
        <v>0.95</v>
      </c>
      <c r="AG427" s="138">
        <f t="shared" si="311"/>
        <v>0.95</v>
      </c>
      <c r="AH427" s="138">
        <f t="shared" si="312"/>
        <v>0.95</v>
      </c>
      <c r="AI427" s="138">
        <f t="shared" si="313"/>
        <v>0.95</v>
      </c>
      <c r="AJ427" s="138">
        <f t="shared" si="314"/>
        <v>0.95</v>
      </c>
      <c r="AK427" s="138">
        <f t="shared" si="315"/>
        <v>0.95</v>
      </c>
      <c r="AL427" s="138">
        <f t="shared" si="316"/>
        <v>0.94999999999999984</v>
      </c>
      <c r="AM427" s="138">
        <f t="shared" si="317"/>
        <v>0.882083333333333</v>
      </c>
      <c r="AO427" s="77" t="str">
        <f t="shared" si="274"/>
        <v>GDS-2 (Small General Delivery)</v>
      </c>
      <c r="AP427" s="78" t="s">
        <v>670</v>
      </c>
      <c r="AQ427" s="77" t="str">
        <f t="shared" si="275"/>
        <v>Rider ICTA (Investment Capital Tax Adjustment)</v>
      </c>
      <c r="AR427" s="78" t="str">
        <f t="shared" si="276"/>
        <v>Billing Cycle</v>
      </c>
      <c r="AS427" s="79">
        <f t="shared" si="277"/>
        <v>6</v>
      </c>
      <c r="AT427" s="78">
        <f t="shared" si="278"/>
        <v>1</v>
      </c>
      <c r="AU427" s="78">
        <f t="shared" si="279"/>
        <v>0.69</v>
      </c>
      <c r="AV427" s="78">
        <f t="shared" si="280"/>
        <v>0.69</v>
      </c>
      <c r="AW427" s="78">
        <f t="shared" si="281"/>
        <v>0.69</v>
      </c>
      <c r="AX427" s="78">
        <f t="shared" si="282"/>
        <v>0.69</v>
      </c>
      <c r="AY427" s="78">
        <f t="shared" si="283"/>
        <v>0.69</v>
      </c>
      <c r="AZ427" s="78">
        <f t="shared" si="284"/>
        <v>0.69</v>
      </c>
      <c r="BA427" s="78">
        <f t="shared" si="285"/>
        <v>0.84</v>
      </c>
      <c r="BB427" s="78">
        <f t="shared" si="286"/>
        <v>0.84</v>
      </c>
      <c r="BC427" s="78">
        <f t="shared" si="287"/>
        <v>0.84</v>
      </c>
      <c r="BD427" s="78">
        <f t="shared" si="288"/>
        <v>0.95</v>
      </c>
      <c r="BE427" s="78">
        <f t="shared" si="289"/>
        <v>0.95</v>
      </c>
      <c r="BF427" s="78">
        <f t="shared" si="290"/>
        <v>0.95</v>
      </c>
      <c r="BG427" s="78">
        <f t="shared" si="291"/>
        <v>0.95</v>
      </c>
      <c r="BH427" s="78">
        <f t="shared" si="292"/>
        <v>0.95</v>
      </c>
      <c r="BI427" s="78">
        <f t="shared" si="293"/>
        <v>0.95</v>
      </c>
      <c r="BJ427" s="78">
        <f t="shared" si="294"/>
        <v>0.95</v>
      </c>
      <c r="BK427" s="78">
        <f t="shared" si="295"/>
        <v>0.95</v>
      </c>
      <c r="BL427" s="78">
        <f t="shared" si="296"/>
        <v>0.95</v>
      </c>
      <c r="BM427" s="78">
        <f t="shared" si="297"/>
        <v>0.95</v>
      </c>
      <c r="BN427" s="78">
        <f t="shared" si="298"/>
        <v>0.95</v>
      </c>
      <c r="BO427" s="78">
        <f t="shared" si="299"/>
        <v>0.95</v>
      </c>
      <c r="BP427" s="78">
        <f t="shared" si="300"/>
        <v>0.95</v>
      </c>
      <c r="BQ427" s="78">
        <f t="shared" si="301"/>
        <v>0.95</v>
      </c>
      <c r="BR427" s="78">
        <f t="shared" si="302"/>
        <v>0.95</v>
      </c>
      <c r="BS427" s="77"/>
      <c r="BT427" s="77"/>
    </row>
    <row r="428" spans="1:72" ht="14.1" customHeight="1" x14ac:dyDescent="0.2">
      <c r="A428" s="55" t="str">
        <f t="shared" si="273"/>
        <v>GDS-3 (Intermediate General Delivery)_Rider ICTA (Investment Capital Tax Adjustment)</v>
      </c>
      <c r="B428" s="80" t="s">
        <v>671</v>
      </c>
      <c r="C428" s="83" t="s">
        <v>851</v>
      </c>
      <c r="D428" s="150"/>
      <c r="E428" s="81"/>
      <c r="F428" s="73" t="s">
        <v>649</v>
      </c>
      <c r="G428" s="73">
        <v>0</v>
      </c>
      <c r="H428" s="73">
        <v>6</v>
      </c>
      <c r="I428" s="74" t="s">
        <v>641</v>
      </c>
      <c r="J428" s="75" t="s">
        <v>634</v>
      </c>
      <c r="K428" s="74"/>
      <c r="L428" s="82">
        <v>0.69</v>
      </c>
      <c r="M428" s="138">
        <v>0.69</v>
      </c>
      <c r="N428" s="138">
        <v>0.69</v>
      </c>
      <c r="O428" s="138">
        <v>0.69</v>
      </c>
      <c r="P428" s="138">
        <v>0.69</v>
      </c>
      <c r="Q428" s="138">
        <v>0.69</v>
      </c>
      <c r="R428" s="138">
        <v>0.69</v>
      </c>
      <c r="S428" s="138">
        <v>0.84</v>
      </c>
      <c r="T428" s="138">
        <v>0.84</v>
      </c>
      <c r="U428" s="138">
        <v>0.84</v>
      </c>
      <c r="V428" s="138">
        <v>0.95</v>
      </c>
      <c r="W428" s="138">
        <v>0.95</v>
      </c>
      <c r="X428" s="138">
        <v>0.95</v>
      </c>
      <c r="Y428" s="138">
        <f t="shared" si="303"/>
        <v>0.95</v>
      </c>
      <c r="Z428" s="138">
        <f t="shared" si="304"/>
        <v>0.95</v>
      </c>
      <c r="AA428" s="138">
        <f t="shared" si="305"/>
        <v>0.95</v>
      </c>
      <c r="AB428" s="138">
        <f t="shared" si="306"/>
        <v>0.95</v>
      </c>
      <c r="AC428" s="138">
        <f t="shared" si="307"/>
        <v>0.95</v>
      </c>
      <c r="AD428" s="138">
        <f t="shared" si="308"/>
        <v>0.95</v>
      </c>
      <c r="AE428" s="138">
        <f t="shared" si="309"/>
        <v>0.95</v>
      </c>
      <c r="AF428" s="138">
        <f t="shared" si="310"/>
        <v>0.95</v>
      </c>
      <c r="AG428" s="138">
        <f t="shared" si="311"/>
        <v>0.95</v>
      </c>
      <c r="AH428" s="138">
        <f t="shared" si="312"/>
        <v>0.95</v>
      </c>
      <c r="AI428" s="138">
        <f t="shared" si="313"/>
        <v>0.95</v>
      </c>
      <c r="AJ428" s="138">
        <f t="shared" si="314"/>
        <v>0.95</v>
      </c>
      <c r="AK428" s="138">
        <f t="shared" si="315"/>
        <v>0.95</v>
      </c>
      <c r="AL428" s="138">
        <f t="shared" si="316"/>
        <v>0.94999999999999984</v>
      </c>
      <c r="AM428" s="138">
        <f t="shared" si="317"/>
        <v>0.882083333333333</v>
      </c>
      <c r="AO428" s="77" t="str">
        <f t="shared" si="274"/>
        <v>GDS-3 (Intermediate General Delivery)</v>
      </c>
      <c r="AP428" s="78" t="s">
        <v>672</v>
      </c>
      <c r="AQ428" s="77" t="str">
        <f t="shared" si="275"/>
        <v>Rider ICTA (Investment Capital Tax Adjustment)</v>
      </c>
      <c r="AR428" s="78" t="str">
        <f t="shared" si="276"/>
        <v>Billing Cycle</v>
      </c>
      <c r="AS428" s="79">
        <f t="shared" si="277"/>
        <v>6</v>
      </c>
      <c r="AT428" s="78">
        <f t="shared" si="278"/>
        <v>1</v>
      </c>
      <c r="AU428" s="78">
        <f t="shared" si="279"/>
        <v>0.69</v>
      </c>
      <c r="AV428" s="78">
        <f t="shared" si="280"/>
        <v>0.69</v>
      </c>
      <c r="AW428" s="78">
        <f t="shared" si="281"/>
        <v>0.69</v>
      </c>
      <c r="AX428" s="78">
        <f t="shared" si="282"/>
        <v>0.69</v>
      </c>
      <c r="AY428" s="78">
        <f t="shared" si="283"/>
        <v>0.69</v>
      </c>
      <c r="AZ428" s="78">
        <f t="shared" si="284"/>
        <v>0.69</v>
      </c>
      <c r="BA428" s="78">
        <f t="shared" si="285"/>
        <v>0.84</v>
      </c>
      <c r="BB428" s="78">
        <f t="shared" si="286"/>
        <v>0.84</v>
      </c>
      <c r="BC428" s="78">
        <f t="shared" si="287"/>
        <v>0.84</v>
      </c>
      <c r="BD428" s="78">
        <f t="shared" si="288"/>
        <v>0.95</v>
      </c>
      <c r="BE428" s="78">
        <f t="shared" si="289"/>
        <v>0.95</v>
      </c>
      <c r="BF428" s="78">
        <f t="shared" si="290"/>
        <v>0.95</v>
      </c>
      <c r="BG428" s="78">
        <f t="shared" si="291"/>
        <v>0.95</v>
      </c>
      <c r="BH428" s="78">
        <f t="shared" si="292"/>
        <v>0.95</v>
      </c>
      <c r="BI428" s="78">
        <f t="shared" si="293"/>
        <v>0.95</v>
      </c>
      <c r="BJ428" s="78">
        <f t="shared" si="294"/>
        <v>0.95</v>
      </c>
      <c r="BK428" s="78">
        <f t="shared" si="295"/>
        <v>0.95</v>
      </c>
      <c r="BL428" s="78">
        <f t="shared" si="296"/>
        <v>0.95</v>
      </c>
      <c r="BM428" s="78">
        <f t="shared" si="297"/>
        <v>0.95</v>
      </c>
      <c r="BN428" s="78">
        <f t="shared" si="298"/>
        <v>0.95</v>
      </c>
      <c r="BO428" s="78">
        <f t="shared" si="299"/>
        <v>0.95</v>
      </c>
      <c r="BP428" s="78">
        <f t="shared" si="300"/>
        <v>0.95</v>
      </c>
      <c r="BQ428" s="78">
        <f t="shared" si="301"/>
        <v>0.95</v>
      </c>
      <c r="BR428" s="78">
        <f t="shared" si="302"/>
        <v>0.95</v>
      </c>
      <c r="BS428" s="77"/>
      <c r="BT428" s="77"/>
    </row>
    <row r="429" spans="1:72" ht="14.1" customHeight="1" x14ac:dyDescent="0.2">
      <c r="A429" s="55" t="str">
        <f t="shared" si="273"/>
        <v>GDS-4 (Large General Delivery)_Rider ICTA (Investment Capital Tax Adjustment)</v>
      </c>
      <c r="B429" s="80" t="s">
        <v>673</v>
      </c>
      <c r="C429" s="83" t="s">
        <v>851</v>
      </c>
      <c r="D429" s="150"/>
      <c r="E429" s="81"/>
      <c r="F429" s="73" t="s">
        <v>649</v>
      </c>
      <c r="G429" s="73">
        <v>0</v>
      </c>
      <c r="H429" s="73">
        <v>6</v>
      </c>
      <c r="I429" s="74" t="s">
        <v>641</v>
      </c>
      <c r="J429" s="75" t="s">
        <v>634</v>
      </c>
      <c r="K429" s="74"/>
      <c r="L429" s="82">
        <v>0.69</v>
      </c>
      <c r="M429" s="138">
        <v>0.69</v>
      </c>
      <c r="N429" s="138">
        <v>0.69</v>
      </c>
      <c r="O429" s="138">
        <v>0.69</v>
      </c>
      <c r="P429" s="138">
        <v>0.69</v>
      </c>
      <c r="Q429" s="138">
        <v>0.69</v>
      </c>
      <c r="R429" s="138">
        <v>0.69</v>
      </c>
      <c r="S429" s="138">
        <v>0.84</v>
      </c>
      <c r="T429" s="138">
        <v>0.84</v>
      </c>
      <c r="U429" s="138">
        <v>0.84</v>
      </c>
      <c r="V429" s="138">
        <v>0.95</v>
      </c>
      <c r="W429" s="138">
        <v>0.95</v>
      </c>
      <c r="X429" s="138">
        <v>0.95</v>
      </c>
      <c r="Y429" s="138">
        <f t="shared" si="303"/>
        <v>0.95</v>
      </c>
      <c r="Z429" s="138">
        <f t="shared" si="304"/>
        <v>0.95</v>
      </c>
      <c r="AA429" s="138">
        <f t="shared" si="305"/>
        <v>0.95</v>
      </c>
      <c r="AB429" s="138">
        <f t="shared" si="306"/>
        <v>0.95</v>
      </c>
      <c r="AC429" s="138">
        <f t="shared" si="307"/>
        <v>0.95</v>
      </c>
      <c r="AD429" s="138">
        <f t="shared" si="308"/>
        <v>0.95</v>
      </c>
      <c r="AE429" s="138">
        <f t="shared" si="309"/>
        <v>0.95</v>
      </c>
      <c r="AF429" s="138">
        <f t="shared" si="310"/>
        <v>0.95</v>
      </c>
      <c r="AG429" s="138">
        <f t="shared" si="311"/>
        <v>0.95</v>
      </c>
      <c r="AH429" s="138">
        <f t="shared" si="312"/>
        <v>0.95</v>
      </c>
      <c r="AI429" s="138">
        <f t="shared" si="313"/>
        <v>0.95</v>
      </c>
      <c r="AJ429" s="138">
        <f t="shared" si="314"/>
        <v>0.95</v>
      </c>
      <c r="AK429" s="138">
        <f t="shared" si="315"/>
        <v>0.95</v>
      </c>
      <c r="AL429" s="138">
        <f t="shared" si="316"/>
        <v>0.94999999999999984</v>
      </c>
      <c r="AM429" s="138">
        <f t="shared" si="317"/>
        <v>0.882083333333333</v>
      </c>
      <c r="AO429" s="77" t="str">
        <f t="shared" si="274"/>
        <v>GDS-4 (Large General Delivery)</v>
      </c>
      <c r="AP429" s="78" t="s">
        <v>674</v>
      </c>
      <c r="AQ429" s="77" t="str">
        <f t="shared" si="275"/>
        <v>Rider ICTA (Investment Capital Tax Adjustment)</v>
      </c>
      <c r="AR429" s="78" t="str">
        <f t="shared" si="276"/>
        <v>Billing Cycle</v>
      </c>
      <c r="AS429" s="79">
        <f t="shared" si="277"/>
        <v>6</v>
      </c>
      <c r="AT429" s="78">
        <f t="shared" si="278"/>
        <v>1</v>
      </c>
      <c r="AU429" s="78">
        <f t="shared" si="279"/>
        <v>0.69</v>
      </c>
      <c r="AV429" s="78">
        <f t="shared" si="280"/>
        <v>0.69</v>
      </c>
      <c r="AW429" s="78">
        <f t="shared" si="281"/>
        <v>0.69</v>
      </c>
      <c r="AX429" s="78">
        <f t="shared" si="282"/>
        <v>0.69</v>
      </c>
      <c r="AY429" s="78">
        <f t="shared" si="283"/>
        <v>0.69</v>
      </c>
      <c r="AZ429" s="78">
        <f t="shared" si="284"/>
        <v>0.69</v>
      </c>
      <c r="BA429" s="78">
        <f t="shared" si="285"/>
        <v>0.84</v>
      </c>
      <c r="BB429" s="78">
        <f t="shared" si="286"/>
        <v>0.84</v>
      </c>
      <c r="BC429" s="78">
        <f t="shared" si="287"/>
        <v>0.84</v>
      </c>
      <c r="BD429" s="78">
        <f t="shared" si="288"/>
        <v>0.95</v>
      </c>
      <c r="BE429" s="78">
        <f t="shared" si="289"/>
        <v>0.95</v>
      </c>
      <c r="BF429" s="78">
        <f t="shared" si="290"/>
        <v>0.95</v>
      </c>
      <c r="BG429" s="78">
        <f t="shared" si="291"/>
        <v>0.95</v>
      </c>
      <c r="BH429" s="78">
        <f t="shared" si="292"/>
        <v>0.95</v>
      </c>
      <c r="BI429" s="78">
        <f t="shared" si="293"/>
        <v>0.95</v>
      </c>
      <c r="BJ429" s="78">
        <f t="shared" si="294"/>
        <v>0.95</v>
      </c>
      <c r="BK429" s="78">
        <f t="shared" si="295"/>
        <v>0.95</v>
      </c>
      <c r="BL429" s="78">
        <f t="shared" si="296"/>
        <v>0.95</v>
      </c>
      <c r="BM429" s="78">
        <f t="shared" si="297"/>
        <v>0.95</v>
      </c>
      <c r="BN429" s="78">
        <f t="shared" si="298"/>
        <v>0.95</v>
      </c>
      <c r="BO429" s="78">
        <f t="shared" si="299"/>
        <v>0.95</v>
      </c>
      <c r="BP429" s="78">
        <f t="shared" si="300"/>
        <v>0.95</v>
      </c>
      <c r="BQ429" s="78">
        <f t="shared" si="301"/>
        <v>0.95</v>
      </c>
      <c r="BR429" s="78">
        <f t="shared" si="302"/>
        <v>0.95</v>
      </c>
      <c r="BS429" s="77"/>
      <c r="BT429" s="77"/>
    </row>
    <row r="430" spans="1:72" ht="14.1" customHeight="1" x14ac:dyDescent="0.2">
      <c r="A430" s="55" t="str">
        <f t="shared" si="273"/>
        <v>GDS-5 (Seasonal)_Rider ICTA (Investment Capital Tax Adjustment)</v>
      </c>
      <c r="B430" s="80" t="s">
        <v>675</v>
      </c>
      <c r="C430" s="83" t="s">
        <v>851</v>
      </c>
      <c r="D430" s="150"/>
      <c r="E430" s="81"/>
      <c r="F430" s="73" t="s">
        <v>649</v>
      </c>
      <c r="G430" s="73">
        <v>0</v>
      </c>
      <c r="H430" s="73">
        <v>6</v>
      </c>
      <c r="I430" s="74" t="s">
        <v>641</v>
      </c>
      <c r="J430" s="75" t="s">
        <v>634</v>
      </c>
      <c r="K430" s="74"/>
      <c r="L430" s="82">
        <v>0.69</v>
      </c>
      <c r="M430" s="138">
        <v>0.69</v>
      </c>
      <c r="N430" s="138">
        <v>0.69</v>
      </c>
      <c r="O430" s="138">
        <v>0.69</v>
      </c>
      <c r="P430" s="138">
        <v>0.69</v>
      </c>
      <c r="Q430" s="138">
        <v>0.69</v>
      </c>
      <c r="R430" s="138">
        <v>0.69</v>
      </c>
      <c r="S430" s="138">
        <v>0.84</v>
      </c>
      <c r="T430" s="138">
        <v>0.84</v>
      </c>
      <c r="U430" s="138">
        <v>0.84</v>
      </c>
      <c r="V430" s="138">
        <v>0.95</v>
      </c>
      <c r="W430" s="138">
        <v>0.95</v>
      </c>
      <c r="X430" s="138">
        <v>0.95</v>
      </c>
      <c r="Y430" s="138">
        <f t="shared" si="303"/>
        <v>0.95</v>
      </c>
      <c r="Z430" s="138">
        <f t="shared" si="304"/>
        <v>0.95</v>
      </c>
      <c r="AA430" s="138">
        <f t="shared" si="305"/>
        <v>0.95</v>
      </c>
      <c r="AB430" s="138">
        <f t="shared" si="306"/>
        <v>0.95</v>
      </c>
      <c r="AC430" s="138">
        <f t="shared" si="307"/>
        <v>0.95</v>
      </c>
      <c r="AD430" s="138">
        <f t="shared" si="308"/>
        <v>0.95</v>
      </c>
      <c r="AE430" s="138">
        <f t="shared" si="309"/>
        <v>0.95</v>
      </c>
      <c r="AF430" s="138">
        <f t="shared" si="310"/>
        <v>0.95</v>
      </c>
      <c r="AG430" s="138">
        <f t="shared" si="311"/>
        <v>0.95</v>
      </c>
      <c r="AH430" s="138">
        <f t="shared" si="312"/>
        <v>0.95</v>
      </c>
      <c r="AI430" s="138">
        <f t="shared" si="313"/>
        <v>0.95</v>
      </c>
      <c r="AJ430" s="138">
        <f t="shared" si="314"/>
        <v>0.95</v>
      </c>
      <c r="AK430" s="138">
        <f t="shared" si="315"/>
        <v>0.95</v>
      </c>
      <c r="AL430" s="138">
        <f t="shared" si="316"/>
        <v>0.94999999999999984</v>
      </c>
      <c r="AM430" s="138">
        <f t="shared" si="317"/>
        <v>0.882083333333333</v>
      </c>
      <c r="AO430" s="77" t="str">
        <f t="shared" si="274"/>
        <v>GDS-5 (Seasonal)</v>
      </c>
      <c r="AP430" s="78" t="s">
        <v>676</v>
      </c>
      <c r="AQ430" s="77" t="str">
        <f t="shared" si="275"/>
        <v>Rider ICTA (Investment Capital Tax Adjustment)</v>
      </c>
      <c r="AR430" s="78" t="str">
        <f t="shared" si="276"/>
        <v>Billing Cycle</v>
      </c>
      <c r="AS430" s="79">
        <f t="shared" si="277"/>
        <v>6</v>
      </c>
      <c r="AT430" s="78">
        <f t="shared" si="278"/>
        <v>1</v>
      </c>
      <c r="AU430" s="78">
        <f t="shared" si="279"/>
        <v>0.69</v>
      </c>
      <c r="AV430" s="78">
        <f t="shared" si="280"/>
        <v>0.69</v>
      </c>
      <c r="AW430" s="78">
        <f t="shared" si="281"/>
        <v>0.69</v>
      </c>
      <c r="AX430" s="78">
        <f t="shared" si="282"/>
        <v>0.69</v>
      </c>
      <c r="AY430" s="78">
        <f t="shared" si="283"/>
        <v>0.69</v>
      </c>
      <c r="AZ430" s="78">
        <f t="shared" si="284"/>
        <v>0.69</v>
      </c>
      <c r="BA430" s="78">
        <f t="shared" si="285"/>
        <v>0.84</v>
      </c>
      <c r="BB430" s="78">
        <f t="shared" si="286"/>
        <v>0.84</v>
      </c>
      <c r="BC430" s="78">
        <f t="shared" si="287"/>
        <v>0.84</v>
      </c>
      <c r="BD430" s="78">
        <f t="shared" si="288"/>
        <v>0.95</v>
      </c>
      <c r="BE430" s="78">
        <f t="shared" si="289"/>
        <v>0.95</v>
      </c>
      <c r="BF430" s="78">
        <f t="shared" si="290"/>
        <v>0.95</v>
      </c>
      <c r="BG430" s="78">
        <f t="shared" si="291"/>
        <v>0.95</v>
      </c>
      <c r="BH430" s="78">
        <f t="shared" si="292"/>
        <v>0.95</v>
      </c>
      <c r="BI430" s="78">
        <f t="shared" si="293"/>
        <v>0.95</v>
      </c>
      <c r="BJ430" s="78">
        <f t="shared" si="294"/>
        <v>0.95</v>
      </c>
      <c r="BK430" s="78">
        <f t="shared" si="295"/>
        <v>0.95</v>
      </c>
      <c r="BL430" s="78">
        <f t="shared" si="296"/>
        <v>0.95</v>
      </c>
      <c r="BM430" s="78">
        <f t="shared" si="297"/>
        <v>0.95</v>
      </c>
      <c r="BN430" s="78">
        <f t="shared" si="298"/>
        <v>0.95</v>
      </c>
      <c r="BO430" s="78">
        <f t="shared" si="299"/>
        <v>0.95</v>
      </c>
      <c r="BP430" s="78">
        <f t="shared" si="300"/>
        <v>0.95</v>
      </c>
      <c r="BQ430" s="78">
        <f t="shared" si="301"/>
        <v>0.95</v>
      </c>
      <c r="BR430" s="78">
        <f t="shared" si="302"/>
        <v>0.95</v>
      </c>
      <c r="BS430" s="77"/>
      <c r="BT430" s="77"/>
    </row>
    <row r="431" spans="1:72" ht="14.1" customHeight="1" x14ac:dyDescent="0.2">
      <c r="A431" s="55" t="str">
        <f t="shared" si="273"/>
        <v>BGS-1 (Residential)_Rider PER - Cash Working Capital</v>
      </c>
      <c r="B431" s="80" t="s">
        <v>677</v>
      </c>
      <c r="C431" s="83" t="s">
        <v>852</v>
      </c>
      <c r="D431" s="150" t="s">
        <v>576</v>
      </c>
      <c r="E431" s="81"/>
      <c r="F431" s="73" t="s">
        <v>640</v>
      </c>
      <c r="G431" s="73">
        <v>0</v>
      </c>
      <c r="H431" s="73">
        <v>6</v>
      </c>
      <c r="I431" s="74" t="s">
        <v>641</v>
      </c>
      <c r="J431" s="75" t="s">
        <v>634</v>
      </c>
      <c r="K431" s="74"/>
      <c r="L431" s="82">
        <v>3.3E-4</v>
      </c>
      <c r="M431" s="138">
        <v>4.2000000000000002E-4</v>
      </c>
      <c r="N431" s="138">
        <v>4.2000000000000002E-4</v>
      </c>
      <c r="O431" s="138">
        <v>4.2000000000000002E-4</v>
      </c>
      <c r="P431" s="138">
        <v>4.2000000000000002E-4</v>
      </c>
      <c r="Q431" s="138">
        <v>4.2000000000000002E-4</v>
      </c>
      <c r="R431" s="138">
        <v>3.8000000000000002E-4</v>
      </c>
      <c r="S431" s="138">
        <v>3.8000000000000002E-4</v>
      </c>
      <c r="T431" s="138">
        <v>3.8000000000000002E-4</v>
      </c>
      <c r="U431" s="138">
        <v>3.8000000000000002E-4</v>
      </c>
      <c r="V431" s="138">
        <v>3.8000000000000002E-4</v>
      </c>
      <c r="W431" s="138">
        <v>3.8000000000000002E-4</v>
      </c>
      <c r="X431" s="138">
        <v>3.8000000000000002E-4</v>
      </c>
      <c r="Y431" s="138">
        <f t="shared" si="303"/>
        <v>3.8000000000000002E-4</v>
      </c>
      <c r="Z431" s="138">
        <f t="shared" si="304"/>
        <v>3.8000000000000002E-4</v>
      </c>
      <c r="AA431" s="138">
        <f t="shared" si="305"/>
        <v>3.8000000000000002E-4</v>
      </c>
      <c r="AB431" s="138">
        <f t="shared" si="306"/>
        <v>3.8000000000000002E-4</v>
      </c>
      <c r="AC431" s="138">
        <f t="shared" si="307"/>
        <v>3.8000000000000002E-4</v>
      </c>
      <c r="AD431" s="138">
        <f t="shared" si="308"/>
        <v>3.8000000000000002E-4</v>
      </c>
      <c r="AE431" s="138">
        <f t="shared" si="309"/>
        <v>3.8000000000000002E-4</v>
      </c>
      <c r="AF431" s="138">
        <f t="shared" si="310"/>
        <v>3.8000000000000002E-4</v>
      </c>
      <c r="AG431" s="138">
        <f t="shared" si="311"/>
        <v>3.8000000000000002E-4</v>
      </c>
      <c r="AH431" s="138">
        <f t="shared" si="312"/>
        <v>3.8000000000000002E-4</v>
      </c>
      <c r="AI431" s="138">
        <f t="shared" si="313"/>
        <v>3.8000000000000002E-4</v>
      </c>
      <c r="AJ431" s="138">
        <f t="shared" si="314"/>
        <v>3.8000000000000002E-4</v>
      </c>
      <c r="AK431" s="138">
        <f t="shared" si="315"/>
        <v>3.8000000000000002E-4</v>
      </c>
      <c r="AL431" s="138">
        <f t="shared" si="316"/>
        <v>3.8000000000000008E-4</v>
      </c>
      <c r="AM431" s="138">
        <f t="shared" si="317"/>
        <v>3.8666666666666672E-4</v>
      </c>
      <c r="AO431" s="77" t="str">
        <f t="shared" si="274"/>
        <v>BGS-1 (Residential)</v>
      </c>
      <c r="AP431" s="78" t="s">
        <v>679</v>
      </c>
      <c r="AQ431" s="77" t="str">
        <f t="shared" si="275"/>
        <v>Rider PER - Cash Working Capital</v>
      </c>
      <c r="AR431" s="78" t="str">
        <f t="shared" si="276"/>
        <v>Prorated</v>
      </c>
      <c r="AS431" s="79">
        <f t="shared" si="277"/>
        <v>6</v>
      </c>
      <c r="AT431" s="78">
        <f t="shared" si="278"/>
        <v>0</v>
      </c>
      <c r="AU431" s="78">
        <f t="shared" si="279"/>
        <v>4.2000000000000002E-4</v>
      </c>
      <c r="AV431" s="78">
        <f t="shared" si="280"/>
        <v>4.2000000000000002E-4</v>
      </c>
      <c r="AW431" s="78">
        <f t="shared" si="281"/>
        <v>4.2000000000000002E-4</v>
      </c>
      <c r="AX431" s="78">
        <f t="shared" si="282"/>
        <v>4.2000000000000002E-4</v>
      </c>
      <c r="AY431" s="78">
        <f t="shared" si="283"/>
        <v>4.2000000000000002E-4</v>
      </c>
      <c r="AZ431" s="78">
        <f t="shared" si="284"/>
        <v>3.8000000000000002E-4</v>
      </c>
      <c r="BA431" s="78">
        <f t="shared" si="285"/>
        <v>3.8000000000000002E-4</v>
      </c>
      <c r="BB431" s="78">
        <f t="shared" si="286"/>
        <v>3.8000000000000002E-4</v>
      </c>
      <c r="BC431" s="78">
        <f t="shared" si="287"/>
        <v>3.8000000000000002E-4</v>
      </c>
      <c r="BD431" s="78">
        <f t="shared" si="288"/>
        <v>3.8000000000000002E-4</v>
      </c>
      <c r="BE431" s="78">
        <f t="shared" si="289"/>
        <v>3.8000000000000002E-4</v>
      </c>
      <c r="BF431" s="78">
        <f t="shared" si="290"/>
        <v>3.8000000000000002E-4</v>
      </c>
      <c r="BG431" s="78">
        <f t="shared" si="291"/>
        <v>3.8000000000000002E-4</v>
      </c>
      <c r="BH431" s="78">
        <f t="shared" si="292"/>
        <v>3.8000000000000002E-4</v>
      </c>
      <c r="BI431" s="78">
        <f t="shared" si="293"/>
        <v>3.8000000000000002E-4</v>
      </c>
      <c r="BJ431" s="78">
        <f t="shared" si="294"/>
        <v>3.8000000000000002E-4</v>
      </c>
      <c r="BK431" s="78">
        <f t="shared" si="295"/>
        <v>3.8000000000000002E-4</v>
      </c>
      <c r="BL431" s="78">
        <f t="shared" si="296"/>
        <v>3.8000000000000002E-4</v>
      </c>
      <c r="BM431" s="78">
        <f t="shared" si="297"/>
        <v>3.8000000000000002E-4</v>
      </c>
      <c r="BN431" s="78">
        <f t="shared" si="298"/>
        <v>3.8000000000000002E-4</v>
      </c>
      <c r="BO431" s="78">
        <f t="shared" si="299"/>
        <v>3.8000000000000002E-4</v>
      </c>
      <c r="BP431" s="78">
        <f t="shared" si="300"/>
        <v>3.8000000000000002E-4</v>
      </c>
      <c r="BQ431" s="78">
        <f t="shared" si="301"/>
        <v>3.8000000000000002E-4</v>
      </c>
      <c r="BR431" s="78">
        <f t="shared" si="302"/>
        <v>3.8000000000000002E-4</v>
      </c>
      <c r="BS431" s="77"/>
      <c r="BT431" s="77"/>
    </row>
    <row r="432" spans="1:72" ht="14.1" customHeight="1" x14ac:dyDescent="0.2">
      <c r="A432" s="55" t="str">
        <f t="shared" si="273"/>
        <v>RTP-1 (Residential)_Rider PER - Cash Working Capital</v>
      </c>
      <c r="B432" s="80" t="s">
        <v>828</v>
      </c>
      <c r="C432" s="83" t="s">
        <v>852</v>
      </c>
      <c r="D432" s="150"/>
      <c r="E432" s="81"/>
      <c r="F432" s="73" t="s">
        <v>640</v>
      </c>
      <c r="G432" s="73">
        <v>0</v>
      </c>
      <c r="H432" s="73">
        <v>6</v>
      </c>
      <c r="I432" s="74" t="s">
        <v>641</v>
      </c>
      <c r="J432" s="75" t="s">
        <v>634</v>
      </c>
      <c r="K432" s="74"/>
      <c r="L432" s="82">
        <v>3.3E-4</v>
      </c>
      <c r="M432" s="138">
        <v>4.2000000000000002E-4</v>
      </c>
      <c r="N432" s="138">
        <v>4.2000000000000002E-4</v>
      </c>
      <c r="O432" s="138">
        <v>4.2000000000000002E-4</v>
      </c>
      <c r="P432" s="138">
        <v>4.2000000000000002E-4</v>
      </c>
      <c r="Q432" s="138">
        <v>4.2000000000000002E-4</v>
      </c>
      <c r="R432" s="138">
        <v>3.8000000000000002E-4</v>
      </c>
      <c r="S432" s="138">
        <v>3.8000000000000002E-4</v>
      </c>
      <c r="T432" s="138">
        <v>3.8000000000000002E-4</v>
      </c>
      <c r="U432" s="138">
        <v>3.8000000000000002E-4</v>
      </c>
      <c r="V432" s="138">
        <v>3.8000000000000002E-4</v>
      </c>
      <c r="W432" s="138">
        <v>3.8000000000000002E-4</v>
      </c>
      <c r="X432" s="138">
        <v>3.8000000000000002E-4</v>
      </c>
      <c r="Y432" s="138">
        <f t="shared" si="303"/>
        <v>3.8000000000000002E-4</v>
      </c>
      <c r="Z432" s="138">
        <f t="shared" si="304"/>
        <v>3.8000000000000002E-4</v>
      </c>
      <c r="AA432" s="138">
        <f t="shared" si="305"/>
        <v>3.8000000000000002E-4</v>
      </c>
      <c r="AB432" s="138">
        <f t="shared" si="306"/>
        <v>3.8000000000000002E-4</v>
      </c>
      <c r="AC432" s="138">
        <f t="shared" si="307"/>
        <v>3.8000000000000002E-4</v>
      </c>
      <c r="AD432" s="138">
        <f t="shared" si="308"/>
        <v>3.8000000000000002E-4</v>
      </c>
      <c r="AE432" s="138">
        <f t="shared" si="309"/>
        <v>3.8000000000000002E-4</v>
      </c>
      <c r="AF432" s="138">
        <f t="shared" si="310"/>
        <v>3.8000000000000002E-4</v>
      </c>
      <c r="AG432" s="138">
        <f t="shared" si="311"/>
        <v>3.8000000000000002E-4</v>
      </c>
      <c r="AH432" s="138">
        <f t="shared" si="312"/>
        <v>3.8000000000000002E-4</v>
      </c>
      <c r="AI432" s="138">
        <f t="shared" si="313"/>
        <v>3.8000000000000002E-4</v>
      </c>
      <c r="AJ432" s="138">
        <f t="shared" si="314"/>
        <v>3.8000000000000002E-4</v>
      </c>
      <c r="AK432" s="138">
        <f t="shared" si="315"/>
        <v>3.8000000000000002E-4</v>
      </c>
      <c r="AL432" s="138">
        <f t="shared" si="316"/>
        <v>3.8000000000000008E-4</v>
      </c>
      <c r="AM432" s="138">
        <f t="shared" si="317"/>
        <v>3.8666666666666672E-4</v>
      </c>
      <c r="AO432" s="77" t="str">
        <f t="shared" si="274"/>
        <v>RTP-1 (Residential)</v>
      </c>
      <c r="AP432" s="78" t="s">
        <v>829</v>
      </c>
      <c r="AQ432" s="77" t="str">
        <f t="shared" si="275"/>
        <v>Rider PER - Cash Working Capital</v>
      </c>
      <c r="AR432" s="78" t="str">
        <f t="shared" si="276"/>
        <v>Prorated</v>
      </c>
      <c r="AS432" s="79">
        <f t="shared" si="277"/>
        <v>6</v>
      </c>
      <c r="AT432" s="78">
        <f t="shared" si="278"/>
        <v>0</v>
      </c>
      <c r="AU432" s="78">
        <f t="shared" si="279"/>
        <v>4.2000000000000002E-4</v>
      </c>
      <c r="AV432" s="78">
        <f t="shared" si="280"/>
        <v>4.2000000000000002E-4</v>
      </c>
      <c r="AW432" s="78">
        <f t="shared" si="281"/>
        <v>4.2000000000000002E-4</v>
      </c>
      <c r="AX432" s="78">
        <f t="shared" si="282"/>
        <v>4.2000000000000002E-4</v>
      </c>
      <c r="AY432" s="78">
        <f t="shared" si="283"/>
        <v>4.2000000000000002E-4</v>
      </c>
      <c r="AZ432" s="78">
        <f t="shared" si="284"/>
        <v>3.8000000000000002E-4</v>
      </c>
      <c r="BA432" s="78">
        <f t="shared" si="285"/>
        <v>3.8000000000000002E-4</v>
      </c>
      <c r="BB432" s="78">
        <f t="shared" si="286"/>
        <v>3.8000000000000002E-4</v>
      </c>
      <c r="BC432" s="78">
        <f t="shared" si="287"/>
        <v>3.8000000000000002E-4</v>
      </c>
      <c r="BD432" s="78">
        <f t="shared" si="288"/>
        <v>3.8000000000000002E-4</v>
      </c>
      <c r="BE432" s="78">
        <f t="shared" si="289"/>
        <v>3.8000000000000002E-4</v>
      </c>
      <c r="BF432" s="78">
        <f t="shared" si="290"/>
        <v>3.8000000000000002E-4</v>
      </c>
      <c r="BG432" s="78">
        <f t="shared" si="291"/>
        <v>3.8000000000000002E-4</v>
      </c>
      <c r="BH432" s="78">
        <f t="shared" si="292"/>
        <v>3.8000000000000002E-4</v>
      </c>
      <c r="BI432" s="78">
        <f t="shared" si="293"/>
        <v>3.8000000000000002E-4</v>
      </c>
      <c r="BJ432" s="78">
        <f t="shared" si="294"/>
        <v>3.8000000000000002E-4</v>
      </c>
      <c r="BK432" s="78">
        <f t="shared" si="295"/>
        <v>3.8000000000000002E-4</v>
      </c>
      <c r="BL432" s="78">
        <f t="shared" si="296"/>
        <v>3.8000000000000002E-4</v>
      </c>
      <c r="BM432" s="78">
        <f t="shared" si="297"/>
        <v>3.8000000000000002E-4</v>
      </c>
      <c r="BN432" s="78">
        <f t="shared" si="298"/>
        <v>3.8000000000000002E-4</v>
      </c>
      <c r="BO432" s="78">
        <f t="shared" si="299"/>
        <v>3.8000000000000002E-4</v>
      </c>
      <c r="BP432" s="78">
        <f t="shared" si="300"/>
        <v>3.8000000000000002E-4</v>
      </c>
      <c r="BQ432" s="78">
        <f t="shared" si="301"/>
        <v>3.8000000000000002E-4</v>
      </c>
      <c r="BR432" s="78">
        <f t="shared" si="302"/>
        <v>3.8000000000000002E-4</v>
      </c>
      <c r="BS432" s="77"/>
      <c r="BT432" s="77"/>
    </row>
    <row r="433" spans="1:72" ht="14.1" customHeight="1" x14ac:dyDescent="0.2">
      <c r="A433" s="55" t="str">
        <f t="shared" si="273"/>
        <v>DS-5 (Lighting Service)_Rider PER - Cash Working Capital</v>
      </c>
      <c r="B433" s="80" t="s">
        <v>647</v>
      </c>
      <c r="C433" s="83" t="s">
        <v>852</v>
      </c>
      <c r="D433" s="150"/>
      <c r="E433" s="81"/>
      <c r="F433" s="73" t="s">
        <v>640</v>
      </c>
      <c r="G433" s="73">
        <v>0</v>
      </c>
      <c r="H433" s="73">
        <v>6</v>
      </c>
      <c r="I433" s="74" t="s">
        <v>641</v>
      </c>
      <c r="J433" s="75" t="s">
        <v>634</v>
      </c>
      <c r="K433" s="74"/>
      <c r="L433" s="82">
        <v>2.9999999999999997E-4</v>
      </c>
      <c r="M433" s="138">
        <v>3.8000000000000002E-4</v>
      </c>
      <c r="N433" s="138">
        <v>3.8000000000000002E-4</v>
      </c>
      <c r="O433" s="138">
        <v>3.8000000000000002E-4</v>
      </c>
      <c r="P433" s="138">
        <v>3.8000000000000002E-4</v>
      </c>
      <c r="Q433" s="138">
        <v>3.8000000000000002E-4</v>
      </c>
      <c r="R433" s="138">
        <v>0</v>
      </c>
      <c r="S433" s="138">
        <v>0</v>
      </c>
      <c r="T433" s="138">
        <v>0</v>
      </c>
      <c r="U433" s="138">
        <v>0</v>
      </c>
      <c r="V433" s="138">
        <v>3.4000000000000002E-4</v>
      </c>
      <c r="W433" s="138">
        <v>3.4000000000000002E-4</v>
      </c>
      <c r="X433" s="138">
        <v>3.4000000000000002E-4</v>
      </c>
      <c r="Y433" s="138">
        <f t="shared" si="303"/>
        <v>3.4000000000000002E-4</v>
      </c>
      <c r="Z433" s="138">
        <f t="shared" si="304"/>
        <v>3.4000000000000002E-4</v>
      </c>
      <c r="AA433" s="138">
        <f t="shared" si="305"/>
        <v>3.4000000000000002E-4</v>
      </c>
      <c r="AB433" s="138">
        <f t="shared" si="306"/>
        <v>3.4000000000000002E-4</v>
      </c>
      <c r="AC433" s="138">
        <f t="shared" si="307"/>
        <v>3.4000000000000002E-4</v>
      </c>
      <c r="AD433" s="138">
        <f t="shared" si="308"/>
        <v>3.4000000000000002E-4</v>
      </c>
      <c r="AE433" s="138">
        <f t="shared" si="309"/>
        <v>3.4000000000000002E-4</v>
      </c>
      <c r="AF433" s="138">
        <f t="shared" si="310"/>
        <v>3.4000000000000002E-4</v>
      </c>
      <c r="AG433" s="138">
        <f t="shared" si="311"/>
        <v>3.4000000000000002E-4</v>
      </c>
      <c r="AH433" s="138">
        <f t="shared" si="312"/>
        <v>3.4000000000000002E-4</v>
      </c>
      <c r="AI433" s="138">
        <f t="shared" si="313"/>
        <v>3.4000000000000002E-4</v>
      </c>
      <c r="AJ433" s="138">
        <f t="shared" si="314"/>
        <v>3.4000000000000002E-4</v>
      </c>
      <c r="AK433" s="138">
        <f t="shared" si="315"/>
        <v>3.4000000000000002E-4</v>
      </c>
      <c r="AL433" s="138">
        <f t="shared" si="316"/>
        <v>3.4000000000000002E-4</v>
      </c>
      <c r="AM433" s="138">
        <f t="shared" si="317"/>
        <v>2.9000000000000006E-4</v>
      </c>
      <c r="AO433" s="77" t="str">
        <f t="shared" si="274"/>
        <v>DS-5 (Lighting Service)</v>
      </c>
      <c r="AP433" s="78" t="s">
        <v>650</v>
      </c>
      <c r="AQ433" s="77" t="str">
        <f t="shared" si="275"/>
        <v>Rider PER - Cash Working Capital</v>
      </c>
      <c r="AR433" s="78" t="str">
        <f t="shared" si="276"/>
        <v>Prorated</v>
      </c>
      <c r="AS433" s="79">
        <f t="shared" si="277"/>
        <v>6</v>
      </c>
      <c r="AT433" s="78">
        <f t="shared" si="278"/>
        <v>0</v>
      </c>
      <c r="AU433" s="78">
        <f t="shared" si="279"/>
        <v>3.8000000000000002E-4</v>
      </c>
      <c r="AV433" s="78">
        <f t="shared" si="280"/>
        <v>3.8000000000000002E-4</v>
      </c>
      <c r="AW433" s="78">
        <f t="shared" si="281"/>
        <v>3.8000000000000002E-4</v>
      </c>
      <c r="AX433" s="78">
        <f t="shared" si="282"/>
        <v>3.8000000000000002E-4</v>
      </c>
      <c r="AY433" s="78">
        <f t="shared" si="283"/>
        <v>3.8000000000000002E-4</v>
      </c>
      <c r="AZ433" s="78">
        <f t="shared" si="284"/>
        <v>0</v>
      </c>
      <c r="BA433" s="78">
        <f t="shared" si="285"/>
        <v>0</v>
      </c>
      <c r="BB433" s="78">
        <f t="shared" si="286"/>
        <v>0</v>
      </c>
      <c r="BC433" s="78">
        <f t="shared" si="287"/>
        <v>0</v>
      </c>
      <c r="BD433" s="78">
        <f t="shared" si="288"/>
        <v>3.4000000000000002E-4</v>
      </c>
      <c r="BE433" s="78">
        <f t="shared" si="289"/>
        <v>3.4000000000000002E-4</v>
      </c>
      <c r="BF433" s="78">
        <f t="shared" si="290"/>
        <v>3.4000000000000002E-4</v>
      </c>
      <c r="BG433" s="78">
        <f t="shared" si="291"/>
        <v>3.4000000000000002E-4</v>
      </c>
      <c r="BH433" s="78">
        <f t="shared" si="292"/>
        <v>3.4000000000000002E-4</v>
      </c>
      <c r="BI433" s="78">
        <f t="shared" si="293"/>
        <v>3.4000000000000002E-4</v>
      </c>
      <c r="BJ433" s="78">
        <f t="shared" si="294"/>
        <v>3.4000000000000002E-4</v>
      </c>
      <c r="BK433" s="78">
        <f t="shared" si="295"/>
        <v>3.4000000000000002E-4</v>
      </c>
      <c r="BL433" s="78">
        <f t="shared" si="296"/>
        <v>3.4000000000000002E-4</v>
      </c>
      <c r="BM433" s="78">
        <f t="shared" si="297"/>
        <v>3.4000000000000002E-4</v>
      </c>
      <c r="BN433" s="78">
        <f t="shared" si="298"/>
        <v>3.4000000000000002E-4</v>
      </c>
      <c r="BO433" s="78">
        <f t="shared" si="299"/>
        <v>3.4000000000000002E-4</v>
      </c>
      <c r="BP433" s="78">
        <f t="shared" si="300"/>
        <v>3.4000000000000002E-4</v>
      </c>
      <c r="BQ433" s="78">
        <f t="shared" si="301"/>
        <v>3.4000000000000002E-4</v>
      </c>
      <c r="BR433" s="78">
        <f t="shared" si="302"/>
        <v>3.4000000000000002E-4</v>
      </c>
      <c r="BS433" s="77"/>
      <c r="BT433" s="77"/>
    </row>
    <row r="434" spans="1:72" ht="14.1" customHeight="1" x14ac:dyDescent="0.2">
      <c r="A434" s="55" t="str">
        <f t="shared" si="273"/>
        <v>BGS-2 (Non-Residential)_Rider PER - Cash Working Capital High Voltage</v>
      </c>
      <c r="B434" s="80" t="s">
        <v>685</v>
      </c>
      <c r="C434" s="71" t="s">
        <v>853</v>
      </c>
      <c r="D434" s="150"/>
      <c r="E434" s="81"/>
      <c r="F434" s="73" t="s">
        <v>640</v>
      </c>
      <c r="G434" s="73">
        <v>0</v>
      </c>
      <c r="H434" s="73">
        <v>6</v>
      </c>
      <c r="I434" s="74" t="s">
        <v>641</v>
      </c>
      <c r="J434" s="75" t="s">
        <v>634</v>
      </c>
      <c r="K434" s="74"/>
      <c r="L434" s="82">
        <v>4.0000000000000002E-4</v>
      </c>
      <c r="M434" s="138">
        <v>5.1000000000000004E-4</v>
      </c>
      <c r="N434" s="138">
        <v>5.1000000000000004E-4</v>
      </c>
      <c r="O434" s="138">
        <v>5.1000000000000004E-4</v>
      </c>
      <c r="P434" s="138">
        <v>5.1000000000000004E-4</v>
      </c>
      <c r="Q434" s="138">
        <v>5.1000000000000004E-4</v>
      </c>
      <c r="R434" s="138">
        <v>4.4999999999999999E-4</v>
      </c>
      <c r="S434" s="138">
        <v>4.4999999999999999E-4</v>
      </c>
      <c r="T434" s="138">
        <v>4.4999999999999999E-4</v>
      </c>
      <c r="U434" s="138">
        <v>4.4999999999999999E-4</v>
      </c>
      <c r="V434" s="138">
        <v>4.6000000000000001E-4</v>
      </c>
      <c r="W434" s="138">
        <v>4.6000000000000001E-4</v>
      </c>
      <c r="X434" s="138">
        <v>4.6000000000000001E-4</v>
      </c>
      <c r="Y434" s="138">
        <f t="shared" si="303"/>
        <v>4.6000000000000001E-4</v>
      </c>
      <c r="Z434" s="138">
        <f t="shared" si="304"/>
        <v>4.6000000000000001E-4</v>
      </c>
      <c r="AA434" s="138">
        <f t="shared" si="305"/>
        <v>4.6000000000000001E-4</v>
      </c>
      <c r="AB434" s="138">
        <f t="shared" si="306"/>
        <v>4.6000000000000001E-4</v>
      </c>
      <c r="AC434" s="138">
        <f t="shared" si="307"/>
        <v>4.6000000000000001E-4</v>
      </c>
      <c r="AD434" s="138">
        <f t="shared" si="308"/>
        <v>4.6000000000000001E-4</v>
      </c>
      <c r="AE434" s="138">
        <f t="shared" si="309"/>
        <v>4.6000000000000001E-4</v>
      </c>
      <c r="AF434" s="138">
        <f t="shared" si="310"/>
        <v>4.6000000000000001E-4</v>
      </c>
      <c r="AG434" s="138">
        <f t="shared" si="311"/>
        <v>4.6000000000000001E-4</v>
      </c>
      <c r="AH434" s="138">
        <f t="shared" si="312"/>
        <v>4.6000000000000001E-4</v>
      </c>
      <c r="AI434" s="138">
        <f t="shared" si="313"/>
        <v>4.6000000000000001E-4</v>
      </c>
      <c r="AJ434" s="138">
        <f t="shared" si="314"/>
        <v>4.6000000000000001E-4</v>
      </c>
      <c r="AK434" s="138">
        <f t="shared" si="315"/>
        <v>4.6000000000000001E-4</v>
      </c>
      <c r="AL434" s="138">
        <f t="shared" si="316"/>
        <v>4.6000000000000007E-4</v>
      </c>
      <c r="AM434" s="138">
        <f t="shared" si="317"/>
        <v>4.6666666666666688E-4</v>
      </c>
      <c r="AO434" s="77" t="str">
        <f t="shared" si="274"/>
        <v>BGS-2 (Non-Residential)</v>
      </c>
      <c r="AP434" s="78" t="s">
        <v>687</v>
      </c>
      <c r="AQ434" s="77" t="str">
        <f t="shared" si="275"/>
        <v>Rider PER - Cash Working Capital High Voltage</v>
      </c>
      <c r="AR434" s="78" t="str">
        <f t="shared" si="276"/>
        <v>Prorated</v>
      </c>
      <c r="AS434" s="79">
        <f t="shared" si="277"/>
        <v>6</v>
      </c>
      <c r="AT434" s="78">
        <f t="shared" si="278"/>
        <v>0</v>
      </c>
      <c r="AU434" s="78">
        <f t="shared" si="279"/>
        <v>5.1000000000000004E-4</v>
      </c>
      <c r="AV434" s="78">
        <f t="shared" si="280"/>
        <v>5.1000000000000004E-4</v>
      </c>
      <c r="AW434" s="78">
        <f t="shared" si="281"/>
        <v>5.1000000000000004E-4</v>
      </c>
      <c r="AX434" s="78">
        <f t="shared" si="282"/>
        <v>5.1000000000000004E-4</v>
      </c>
      <c r="AY434" s="78">
        <f t="shared" si="283"/>
        <v>5.1000000000000004E-4</v>
      </c>
      <c r="AZ434" s="78">
        <f t="shared" si="284"/>
        <v>4.4999999999999999E-4</v>
      </c>
      <c r="BA434" s="78">
        <f t="shared" si="285"/>
        <v>4.4999999999999999E-4</v>
      </c>
      <c r="BB434" s="78">
        <f t="shared" si="286"/>
        <v>4.4999999999999999E-4</v>
      </c>
      <c r="BC434" s="78">
        <f t="shared" si="287"/>
        <v>4.4999999999999999E-4</v>
      </c>
      <c r="BD434" s="78">
        <f t="shared" si="288"/>
        <v>4.6000000000000001E-4</v>
      </c>
      <c r="BE434" s="78">
        <f t="shared" si="289"/>
        <v>4.6000000000000001E-4</v>
      </c>
      <c r="BF434" s="78">
        <f t="shared" si="290"/>
        <v>4.6000000000000001E-4</v>
      </c>
      <c r="BG434" s="78">
        <f t="shared" si="291"/>
        <v>4.6000000000000001E-4</v>
      </c>
      <c r="BH434" s="78">
        <f t="shared" si="292"/>
        <v>4.6000000000000001E-4</v>
      </c>
      <c r="BI434" s="78">
        <f t="shared" si="293"/>
        <v>4.6000000000000001E-4</v>
      </c>
      <c r="BJ434" s="78">
        <f t="shared" si="294"/>
        <v>4.6000000000000001E-4</v>
      </c>
      <c r="BK434" s="78">
        <f t="shared" si="295"/>
        <v>4.6000000000000001E-4</v>
      </c>
      <c r="BL434" s="78">
        <f t="shared" si="296"/>
        <v>4.6000000000000001E-4</v>
      </c>
      <c r="BM434" s="78">
        <f t="shared" si="297"/>
        <v>4.6000000000000001E-4</v>
      </c>
      <c r="BN434" s="78">
        <f t="shared" si="298"/>
        <v>4.6000000000000001E-4</v>
      </c>
      <c r="BO434" s="78">
        <f t="shared" si="299"/>
        <v>4.6000000000000001E-4</v>
      </c>
      <c r="BP434" s="78">
        <f t="shared" si="300"/>
        <v>4.6000000000000001E-4</v>
      </c>
      <c r="BQ434" s="78">
        <f t="shared" si="301"/>
        <v>4.6000000000000001E-4</v>
      </c>
      <c r="BR434" s="78">
        <f t="shared" si="302"/>
        <v>4.6000000000000001E-4</v>
      </c>
      <c r="BS434" s="77"/>
      <c r="BT434" s="77"/>
    </row>
    <row r="435" spans="1:72" ht="14.1" customHeight="1" x14ac:dyDescent="0.2">
      <c r="A435" s="55" t="str">
        <f t="shared" si="273"/>
        <v>RTP-2 (Non-Residential)_Rider PER - Cash Working Capital High Voltage</v>
      </c>
      <c r="B435" s="80" t="s">
        <v>830</v>
      </c>
      <c r="C435" s="71" t="s">
        <v>853</v>
      </c>
      <c r="D435" s="150"/>
      <c r="E435" s="81"/>
      <c r="F435" s="73" t="s">
        <v>640</v>
      </c>
      <c r="G435" s="73">
        <v>0</v>
      </c>
      <c r="H435" s="73">
        <v>6</v>
      </c>
      <c r="I435" s="74" t="s">
        <v>641</v>
      </c>
      <c r="J435" s="75" t="s">
        <v>634</v>
      </c>
      <c r="K435" s="74"/>
      <c r="L435" s="82">
        <v>4.0000000000000002E-4</v>
      </c>
      <c r="M435" s="138">
        <v>5.1000000000000004E-4</v>
      </c>
      <c r="N435" s="138">
        <v>5.1000000000000004E-4</v>
      </c>
      <c r="O435" s="138">
        <v>5.1000000000000004E-4</v>
      </c>
      <c r="P435" s="138">
        <v>5.1000000000000004E-4</v>
      </c>
      <c r="Q435" s="138">
        <v>5.1000000000000004E-4</v>
      </c>
      <c r="R435" s="138">
        <v>4.4999999999999999E-4</v>
      </c>
      <c r="S435" s="138">
        <v>4.4999999999999999E-4</v>
      </c>
      <c r="T435" s="138">
        <v>4.4999999999999999E-4</v>
      </c>
      <c r="U435" s="138">
        <v>4.4999999999999999E-4</v>
      </c>
      <c r="V435" s="138">
        <v>4.6000000000000001E-4</v>
      </c>
      <c r="W435" s="138">
        <v>4.6000000000000001E-4</v>
      </c>
      <c r="X435" s="138">
        <v>4.6000000000000001E-4</v>
      </c>
      <c r="Y435" s="138">
        <f t="shared" si="303"/>
        <v>4.6000000000000001E-4</v>
      </c>
      <c r="Z435" s="138">
        <f t="shared" si="304"/>
        <v>4.6000000000000001E-4</v>
      </c>
      <c r="AA435" s="138">
        <f t="shared" si="305"/>
        <v>4.6000000000000001E-4</v>
      </c>
      <c r="AB435" s="138">
        <f t="shared" si="306"/>
        <v>4.6000000000000001E-4</v>
      </c>
      <c r="AC435" s="138">
        <f t="shared" si="307"/>
        <v>4.6000000000000001E-4</v>
      </c>
      <c r="AD435" s="138">
        <f t="shared" si="308"/>
        <v>4.6000000000000001E-4</v>
      </c>
      <c r="AE435" s="138">
        <f t="shared" si="309"/>
        <v>4.6000000000000001E-4</v>
      </c>
      <c r="AF435" s="138">
        <f t="shared" si="310"/>
        <v>4.6000000000000001E-4</v>
      </c>
      <c r="AG435" s="138">
        <f t="shared" si="311"/>
        <v>4.6000000000000001E-4</v>
      </c>
      <c r="AH435" s="138">
        <f t="shared" si="312"/>
        <v>4.6000000000000001E-4</v>
      </c>
      <c r="AI435" s="138">
        <f t="shared" si="313"/>
        <v>4.6000000000000001E-4</v>
      </c>
      <c r="AJ435" s="138">
        <f t="shared" si="314"/>
        <v>4.6000000000000001E-4</v>
      </c>
      <c r="AK435" s="138">
        <f t="shared" si="315"/>
        <v>4.6000000000000001E-4</v>
      </c>
      <c r="AL435" s="138">
        <f t="shared" si="316"/>
        <v>4.6000000000000007E-4</v>
      </c>
      <c r="AM435" s="138">
        <f t="shared" si="317"/>
        <v>4.6666666666666688E-4</v>
      </c>
      <c r="AO435" s="77" t="str">
        <f t="shared" si="274"/>
        <v>RTP-2 (Non-Residential)</v>
      </c>
      <c r="AP435" s="78" t="s">
        <v>831</v>
      </c>
      <c r="AQ435" s="77" t="str">
        <f t="shared" si="275"/>
        <v>Rider PER - Cash Working Capital High Voltage</v>
      </c>
      <c r="AR435" s="78" t="str">
        <f t="shared" si="276"/>
        <v>Prorated</v>
      </c>
      <c r="AS435" s="79">
        <f t="shared" si="277"/>
        <v>6</v>
      </c>
      <c r="AT435" s="78">
        <f t="shared" si="278"/>
        <v>0</v>
      </c>
      <c r="AU435" s="78">
        <f t="shared" si="279"/>
        <v>5.1000000000000004E-4</v>
      </c>
      <c r="AV435" s="78">
        <f t="shared" si="280"/>
        <v>5.1000000000000004E-4</v>
      </c>
      <c r="AW435" s="78">
        <f t="shared" si="281"/>
        <v>5.1000000000000004E-4</v>
      </c>
      <c r="AX435" s="78">
        <f t="shared" si="282"/>
        <v>5.1000000000000004E-4</v>
      </c>
      <c r="AY435" s="78">
        <f t="shared" si="283"/>
        <v>5.1000000000000004E-4</v>
      </c>
      <c r="AZ435" s="78">
        <f t="shared" si="284"/>
        <v>4.4999999999999999E-4</v>
      </c>
      <c r="BA435" s="78">
        <f t="shared" si="285"/>
        <v>4.4999999999999999E-4</v>
      </c>
      <c r="BB435" s="78">
        <f t="shared" si="286"/>
        <v>4.4999999999999999E-4</v>
      </c>
      <c r="BC435" s="78">
        <f t="shared" si="287"/>
        <v>4.4999999999999999E-4</v>
      </c>
      <c r="BD435" s="78">
        <f t="shared" si="288"/>
        <v>4.6000000000000001E-4</v>
      </c>
      <c r="BE435" s="78">
        <f t="shared" si="289"/>
        <v>4.6000000000000001E-4</v>
      </c>
      <c r="BF435" s="78">
        <f t="shared" si="290"/>
        <v>4.6000000000000001E-4</v>
      </c>
      <c r="BG435" s="78">
        <f t="shared" si="291"/>
        <v>4.6000000000000001E-4</v>
      </c>
      <c r="BH435" s="78">
        <f t="shared" si="292"/>
        <v>4.6000000000000001E-4</v>
      </c>
      <c r="BI435" s="78">
        <f t="shared" si="293"/>
        <v>4.6000000000000001E-4</v>
      </c>
      <c r="BJ435" s="78">
        <f t="shared" si="294"/>
        <v>4.6000000000000001E-4</v>
      </c>
      <c r="BK435" s="78">
        <f t="shared" si="295"/>
        <v>4.6000000000000001E-4</v>
      </c>
      <c r="BL435" s="78">
        <f t="shared" si="296"/>
        <v>4.6000000000000001E-4</v>
      </c>
      <c r="BM435" s="78">
        <f t="shared" si="297"/>
        <v>4.6000000000000001E-4</v>
      </c>
      <c r="BN435" s="78">
        <f t="shared" si="298"/>
        <v>4.6000000000000001E-4</v>
      </c>
      <c r="BO435" s="78">
        <f t="shared" si="299"/>
        <v>4.6000000000000001E-4</v>
      </c>
      <c r="BP435" s="78">
        <f t="shared" si="300"/>
        <v>4.6000000000000001E-4</v>
      </c>
      <c r="BQ435" s="78">
        <f t="shared" si="301"/>
        <v>4.6000000000000001E-4</v>
      </c>
      <c r="BR435" s="78">
        <f t="shared" si="302"/>
        <v>4.6000000000000001E-4</v>
      </c>
      <c r="BS435" s="77"/>
      <c r="BT435" s="77"/>
    </row>
    <row r="436" spans="1:72" ht="14.1" customHeight="1" x14ac:dyDescent="0.2">
      <c r="A436" s="55" t="str">
        <f t="shared" si="273"/>
        <v>BGS-2 (Non-Residential)_Rider PER - Cash Working Capital Primary</v>
      </c>
      <c r="B436" s="80" t="s">
        <v>685</v>
      </c>
      <c r="C436" s="71" t="s">
        <v>854</v>
      </c>
      <c r="D436" s="150"/>
      <c r="E436" s="81"/>
      <c r="F436" s="73" t="s">
        <v>640</v>
      </c>
      <c r="G436" s="73">
        <v>0</v>
      </c>
      <c r="H436" s="73">
        <v>6</v>
      </c>
      <c r="I436" s="74" t="s">
        <v>641</v>
      </c>
      <c r="J436" s="75" t="s">
        <v>634</v>
      </c>
      <c r="K436" s="74"/>
      <c r="L436" s="87">
        <v>4.0999999999999999E-4</v>
      </c>
      <c r="M436" s="138">
        <v>5.1000000000000004E-4</v>
      </c>
      <c r="N436" s="138">
        <v>5.1000000000000004E-4</v>
      </c>
      <c r="O436" s="138">
        <v>5.1000000000000004E-4</v>
      </c>
      <c r="P436" s="138">
        <v>5.1000000000000004E-4</v>
      </c>
      <c r="Q436" s="138">
        <v>5.1000000000000004E-4</v>
      </c>
      <c r="R436" s="138">
        <v>4.6999999999999999E-4</v>
      </c>
      <c r="S436" s="138">
        <v>4.6999999999999999E-4</v>
      </c>
      <c r="T436" s="138">
        <v>4.6999999999999999E-4</v>
      </c>
      <c r="U436" s="138">
        <v>4.6999999999999999E-4</v>
      </c>
      <c r="V436" s="138">
        <v>4.6000000000000001E-4</v>
      </c>
      <c r="W436" s="138">
        <v>4.6000000000000001E-4</v>
      </c>
      <c r="X436" s="138">
        <v>4.6000000000000001E-4</v>
      </c>
      <c r="Y436" s="138">
        <f t="shared" si="303"/>
        <v>4.6000000000000001E-4</v>
      </c>
      <c r="Z436" s="138">
        <f t="shared" si="304"/>
        <v>4.6000000000000001E-4</v>
      </c>
      <c r="AA436" s="138">
        <f t="shared" si="305"/>
        <v>4.6000000000000001E-4</v>
      </c>
      <c r="AB436" s="138">
        <f t="shared" si="306"/>
        <v>4.6000000000000001E-4</v>
      </c>
      <c r="AC436" s="138">
        <f t="shared" si="307"/>
        <v>4.6000000000000001E-4</v>
      </c>
      <c r="AD436" s="138">
        <f t="shared" si="308"/>
        <v>4.6000000000000001E-4</v>
      </c>
      <c r="AE436" s="138">
        <f t="shared" si="309"/>
        <v>4.6000000000000001E-4</v>
      </c>
      <c r="AF436" s="138">
        <f t="shared" si="310"/>
        <v>4.6000000000000001E-4</v>
      </c>
      <c r="AG436" s="138">
        <f t="shared" si="311"/>
        <v>4.6000000000000001E-4</v>
      </c>
      <c r="AH436" s="138">
        <f t="shared" si="312"/>
        <v>4.6000000000000001E-4</v>
      </c>
      <c r="AI436" s="138">
        <f t="shared" si="313"/>
        <v>4.6000000000000001E-4</v>
      </c>
      <c r="AJ436" s="138">
        <f t="shared" si="314"/>
        <v>4.6000000000000001E-4</v>
      </c>
      <c r="AK436" s="138">
        <f t="shared" si="315"/>
        <v>4.6000000000000001E-4</v>
      </c>
      <c r="AL436" s="138">
        <f t="shared" si="316"/>
        <v>4.6000000000000007E-4</v>
      </c>
      <c r="AM436" s="138">
        <f t="shared" si="317"/>
        <v>4.700000000000002E-4</v>
      </c>
      <c r="AO436" s="77" t="str">
        <f t="shared" si="274"/>
        <v>BGS-2 (Non-Residential)</v>
      </c>
      <c r="AP436" s="78" t="s">
        <v>687</v>
      </c>
      <c r="AQ436" s="77" t="str">
        <f t="shared" si="275"/>
        <v>Rider PER - Cash Working Capital Primary</v>
      </c>
      <c r="AR436" s="78" t="str">
        <f t="shared" si="276"/>
        <v>Prorated</v>
      </c>
      <c r="AS436" s="79">
        <f t="shared" si="277"/>
        <v>6</v>
      </c>
      <c r="AT436" s="78">
        <f t="shared" si="278"/>
        <v>0</v>
      </c>
      <c r="AU436" s="78">
        <f t="shared" si="279"/>
        <v>5.1000000000000004E-4</v>
      </c>
      <c r="AV436" s="78">
        <f t="shared" si="280"/>
        <v>5.1000000000000004E-4</v>
      </c>
      <c r="AW436" s="78">
        <f t="shared" si="281"/>
        <v>5.1000000000000004E-4</v>
      </c>
      <c r="AX436" s="78">
        <f t="shared" si="282"/>
        <v>5.1000000000000004E-4</v>
      </c>
      <c r="AY436" s="78">
        <f t="shared" si="283"/>
        <v>5.1000000000000004E-4</v>
      </c>
      <c r="AZ436" s="78">
        <f t="shared" si="284"/>
        <v>4.6999999999999999E-4</v>
      </c>
      <c r="BA436" s="78">
        <f t="shared" si="285"/>
        <v>4.6999999999999999E-4</v>
      </c>
      <c r="BB436" s="78">
        <f t="shared" si="286"/>
        <v>4.6999999999999999E-4</v>
      </c>
      <c r="BC436" s="78">
        <f t="shared" si="287"/>
        <v>4.6999999999999999E-4</v>
      </c>
      <c r="BD436" s="78">
        <f t="shared" si="288"/>
        <v>4.6000000000000001E-4</v>
      </c>
      <c r="BE436" s="78">
        <f t="shared" si="289"/>
        <v>4.6000000000000001E-4</v>
      </c>
      <c r="BF436" s="78">
        <f t="shared" si="290"/>
        <v>4.6000000000000001E-4</v>
      </c>
      <c r="BG436" s="78">
        <f t="shared" si="291"/>
        <v>4.6000000000000001E-4</v>
      </c>
      <c r="BH436" s="78">
        <f t="shared" si="292"/>
        <v>4.6000000000000001E-4</v>
      </c>
      <c r="BI436" s="78">
        <f t="shared" si="293"/>
        <v>4.6000000000000001E-4</v>
      </c>
      <c r="BJ436" s="78">
        <f t="shared" si="294"/>
        <v>4.6000000000000001E-4</v>
      </c>
      <c r="BK436" s="78">
        <f t="shared" si="295"/>
        <v>4.6000000000000001E-4</v>
      </c>
      <c r="BL436" s="78">
        <f t="shared" si="296"/>
        <v>4.6000000000000001E-4</v>
      </c>
      <c r="BM436" s="78">
        <f t="shared" si="297"/>
        <v>4.6000000000000001E-4</v>
      </c>
      <c r="BN436" s="78">
        <f t="shared" si="298"/>
        <v>4.6000000000000001E-4</v>
      </c>
      <c r="BO436" s="78">
        <f t="shared" si="299"/>
        <v>4.6000000000000001E-4</v>
      </c>
      <c r="BP436" s="78">
        <f t="shared" si="300"/>
        <v>4.6000000000000001E-4</v>
      </c>
      <c r="BQ436" s="78">
        <f t="shared" si="301"/>
        <v>4.6000000000000001E-4</v>
      </c>
      <c r="BR436" s="78">
        <f t="shared" si="302"/>
        <v>4.6000000000000001E-4</v>
      </c>
      <c r="BS436" s="77"/>
      <c r="BT436" s="77"/>
    </row>
    <row r="437" spans="1:72" ht="14.1" customHeight="1" x14ac:dyDescent="0.2">
      <c r="A437" s="55" t="str">
        <f t="shared" si="273"/>
        <v>RTP-2 (Non-Residential)_Rider PER - Cash Working Capital Primary</v>
      </c>
      <c r="B437" s="80" t="s">
        <v>830</v>
      </c>
      <c r="C437" s="71" t="s">
        <v>854</v>
      </c>
      <c r="D437" s="150"/>
      <c r="E437" s="81"/>
      <c r="F437" s="73" t="s">
        <v>640</v>
      </c>
      <c r="G437" s="73">
        <v>0</v>
      </c>
      <c r="H437" s="73">
        <v>6</v>
      </c>
      <c r="I437" s="74" t="s">
        <v>641</v>
      </c>
      <c r="J437" s="75" t="s">
        <v>634</v>
      </c>
      <c r="K437" s="74"/>
      <c r="L437" s="82">
        <v>4.0999999999999999E-4</v>
      </c>
      <c r="M437" s="138">
        <v>5.1000000000000004E-4</v>
      </c>
      <c r="N437" s="138">
        <v>5.1000000000000004E-4</v>
      </c>
      <c r="O437" s="138">
        <v>5.1000000000000004E-4</v>
      </c>
      <c r="P437" s="138">
        <v>5.1000000000000004E-4</v>
      </c>
      <c r="Q437" s="138">
        <v>5.1000000000000004E-4</v>
      </c>
      <c r="R437" s="138">
        <v>4.6999999999999999E-4</v>
      </c>
      <c r="S437" s="138">
        <v>4.6999999999999999E-4</v>
      </c>
      <c r="T437" s="138">
        <v>4.6999999999999999E-4</v>
      </c>
      <c r="U437" s="138">
        <v>4.6999999999999999E-4</v>
      </c>
      <c r="V437" s="138">
        <v>4.6000000000000001E-4</v>
      </c>
      <c r="W437" s="138">
        <v>4.6000000000000001E-4</v>
      </c>
      <c r="X437" s="138">
        <v>4.6000000000000001E-4</v>
      </c>
      <c r="Y437" s="138">
        <f t="shared" si="303"/>
        <v>4.6000000000000001E-4</v>
      </c>
      <c r="Z437" s="138">
        <f t="shared" si="304"/>
        <v>4.6000000000000001E-4</v>
      </c>
      <c r="AA437" s="138">
        <f t="shared" si="305"/>
        <v>4.6000000000000001E-4</v>
      </c>
      <c r="AB437" s="138">
        <f t="shared" si="306"/>
        <v>4.6000000000000001E-4</v>
      </c>
      <c r="AC437" s="138">
        <f t="shared" si="307"/>
        <v>4.6000000000000001E-4</v>
      </c>
      <c r="AD437" s="138">
        <f t="shared" si="308"/>
        <v>4.6000000000000001E-4</v>
      </c>
      <c r="AE437" s="138">
        <f t="shared" si="309"/>
        <v>4.6000000000000001E-4</v>
      </c>
      <c r="AF437" s="138">
        <f t="shared" si="310"/>
        <v>4.6000000000000001E-4</v>
      </c>
      <c r="AG437" s="138">
        <f t="shared" si="311"/>
        <v>4.6000000000000001E-4</v>
      </c>
      <c r="AH437" s="138">
        <f t="shared" si="312"/>
        <v>4.6000000000000001E-4</v>
      </c>
      <c r="AI437" s="138">
        <f t="shared" si="313"/>
        <v>4.6000000000000001E-4</v>
      </c>
      <c r="AJ437" s="138">
        <f t="shared" si="314"/>
        <v>4.6000000000000001E-4</v>
      </c>
      <c r="AK437" s="138">
        <f t="shared" si="315"/>
        <v>4.6000000000000001E-4</v>
      </c>
      <c r="AL437" s="138">
        <f t="shared" si="316"/>
        <v>4.6000000000000007E-4</v>
      </c>
      <c r="AM437" s="138">
        <f t="shared" si="317"/>
        <v>4.700000000000002E-4</v>
      </c>
      <c r="AO437" s="77" t="str">
        <f t="shared" si="274"/>
        <v>RTP-2 (Non-Residential)</v>
      </c>
      <c r="AP437" s="78" t="s">
        <v>831</v>
      </c>
      <c r="AQ437" s="77" t="str">
        <f t="shared" si="275"/>
        <v>Rider PER - Cash Working Capital Primary</v>
      </c>
      <c r="AR437" s="78" t="str">
        <f t="shared" si="276"/>
        <v>Prorated</v>
      </c>
      <c r="AS437" s="79">
        <f t="shared" si="277"/>
        <v>6</v>
      </c>
      <c r="AT437" s="78">
        <f t="shared" si="278"/>
        <v>0</v>
      </c>
      <c r="AU437" s="78">
        <f t="shared" si="279"/>
        <v>5.1000000000000004E-4</v>
      </c>
      <c r="AV437" s="78">
        <f t="shared" si="280"/>
        <v>5.1000000000000004E-4</v>
      </c>
      <c r="AW437" s="78">
        <f t="shared" si="281"/>
        <v>5.1000000000000004E-4</v>
      </c>
      <c r="AX437" s="78">
        <f t="shared" si="282"/>
        <v>5.1000000000000004E-4</v>
      </c>
      <c r="AY437" s="78">
        <f t="shared" si="283"/>
        <v>5.1000000000000004E-4</v>
      </c>
      <c r="AZ437" s="78">
        <f t="shared" si="284"/>
        <v>4.6999999999999999E-4</v>
      </c>
      <c r="BA437" s="78">
        <f t="shared" si="285"/>
        <v>4.6999999999999999E-4</v>
      </c>
      <c r="BB437" s="78">
        <f t="shared" si="286"/>
        <v>4.6999999999999999E-4</v>
      </c>
      <c r="BC437" s="78">
        <f t="shared" si="287"/>
        <v>4.6999999999999999E-4</v>
      </c>
      <c r="BD437" s="78">
        <f t="shared" si="288"/>
        <v>4.6000000000000001E-4</v>
      </c>
      <c r="BE437" s="78">
        <f t="shared" si="289"/>
        <v>4.6000000000000001E-4</v>
      </c>
      <c r="BF437" s="78">
        <f t="shared" si="290"/>
        <v>4.6000000000000001E-4</v>
      </c>
      <c r="BG437" s="78">
        <f t="shared" si="291"/>
        <v>4.6000000000000001E-4</v>
      </c>
      <c r="BH437" s="78">
        <f t="shared" si="292"/>
        <v>4.6000000000000001E-4</v>
      </c>
      <c r="BI437" s="78">
        <f t="shared" si="293"/>
        <v>4.6000000000000001E-4</v>
      </c>
      <c r="BJ437" s="78">
        <f t="shared" si="294"/>
        <v>4.6000000000000001E-4</v>
      </c>
      <c r="BK437" s="78">
        <f t="shared" si="295"/>
        <v>4.6000000000000001E-4</v>
      </c>
      <c r="BL437" s="78">
        <f t="shared" si="296"/>
        <v>4.6000000000000001E-4</v>
      </c>
      <c r="BM437" s="78">
        <f t="shared" si="297"/>
        <v>4.6000000000000001E-4</v>
      </c>
      <c r="BN437" s="78">
        <f t="shared" si="298"/>
        <v>4.6000000000000001E-4</v>
      </c>
      <c r="BO437" s="78">
        <f t="shared" si="299"/>
        <v>4.6000000000000001E-4</v>
      </c>
      <c r="BP437" s="78">
        <f t="shared" si="300"/>
        <v>4.6000000000000001E-4</v>
      </c>
      <c r="BQ437" s="78">
        <f t="shared" si="301"/>
        <v>4.6000000000000001E-4</v>
      </c>
      <c r="BR437" s="78">
        <f t="shared" si="302"/>
        <v>4.6000000000000001E-4</v>
      </c>
      <c r="BS437" s="77"/>
      <c r="BT437" s="77"/>
    </row>
    <row r="438" spans="1:72" ht="14.1" customHeight="1" x14ac:dyDescent="0.2">
      <c r="A438" s="55" t="str">
        <f t="shared" si="273"/>
        <v>BGS-2 (Non-Residential)_Rider PER - Cash Working Capital Secondary</v>
      </c>
      <c r="B438" s="80" t="s">
        <v>685</v>
      </c>
      <c r="C438" s="71" t="s">
        <v>855</v>
      </c>
      <c r="D438" s="150"/>
      <c r="E438" s="81"/>
      <c r="F438" s="73" t="s">
        <v>640</v>
      </c>
      <c r="G438" s="73">
        <v>0</v>
      </c>
      <c r="H438" s="73">
        <v>6</v>
      </c>
      <c r="I438" s="74" t="s">
        <v>641</v>
      </c>
      <c r="J438" s="75" t="s">
        <v>634</v>
      </c>
      <c r="K438" s="74"/>
      <c r="L438" s="87">
        <v>4.2000000000000002E-4</v>
      </c>
      <c r="M438" s="138">
        <v>5.1999999999999995E-4</v>
      </c>
      <c r="N438" s="138">
        <v>5.1999999999999995E-4</v>
      </c>
      <c r="O438" s="138">
        <v>5.1999999999999995E-4</v>
      </c>
      <c r="P438" s="138">
        <v>5.1999999999999995E-4</v>
      </c>
      <c r="Q438" s="138">
        <v>5.1999999999999995E-4</v>
      </c>
      <c r="R438" s="138">
        <v>4.8000000000000001E-4</v>
      </c>
      <c r="S438" s="138">
        <v>4.8000000000000001E-4</v>
      </c>
      <c r="T438" s="138">
        <v>4.8000000000000001E-4</v>
      </c>
      <c r="U438" s="138">
        <v>4.8000000000000001E-4</v>
      </c>
      <c r="V438" s="138">
        <v>4.8000000000000001E-4</v>
      </c>
      <c r="W438" s="138">
        <v>4.8000000000000001E-4</v>
      </c>
      <c r="X438" s="138">
        <v>4.8000000000000001E-4</v>
      </c>
      <c r="Y438" s="138">
        <f t="shared" si="303"/>
        <v>4.8000000000000001E-4</v>
      </c>
      <c r="Z438" s="138">
        <f t="shared" si="304"/>
        <v>4.8000000000000001E-4</v>
      </c>
      <c r="AA438" s="138">
        <f t="shared" si="305"/>
        <v>4.8000000000000001E-4</v>
      </c>
      <c r="AB438" s="138">
        <f t="shared" si="306"/>
        <v>4.8000000000000001E-4</v>
      </c>
      <c r="AC438" s="138">
        <f t="shared" si="307"/>
        <v>4.8000000000000001E-4</v>
      </c>
      <c r="AD438" s="138">
        <f t="shared" si="308"/>
        <v>4.8000000000000001E-4</v>
      </c>
      <c r="AE438" s="138">
        <f t="shared" si="309"/>
        <v>4.8000000000000001E-4</v>
      </c>
      <c r="AF438" s="138">
        <f t="shared" si="310"/>
        <v>4.8000000000000001E-4</v>
      </c>
      <c r="AG438" s="138">
        <f t="shared" si="311"/>
        <v>4.8000000000000001E-4</v>
      </c>
      <c r="AH438" s="138">
        <f t="shared" si="312"/>
        <v>4.8000000000000001E-4</v>
      </c>
      <c r="AI438" s="138">
        <f t="shared" si="313"/>
        <v>4.8000000000000001E-4</v>
      </c>
      <c r="AJ438" s="138">
        <f t="shared" si="314"/>
        <v>4.8000000000000001E-4</v>
      </c>
      <c r="AK438" s="138">
        <f t="shared" si="315"/>
        <v>4.8000000000000001E-4</v>
      </c>
      <c r="AL438" s="138">
        <f t="shared" si="316"/>
        <v>4.8000000000000012E-4</v>
      </c>
      <c r="AM438" s="138">
        <f t="shared" si="317"/>
        <v>4.8666666666666666E-4</v>
      </c>
      <c r="AO438" s="77" t="str">
        <f t="shared" si="274"/>
        <v>BGS-2 (Non-Residential)</v>
      </c>
      <c r="AP438" s="78" t="s">
        <v>687</v>
      </c>
      <c r="AQ438" s="77" t="str">
        <f t="shared" si="275"/>
        <v>Rider PER - Cash Working Capital Secondary</v>
      </c>
      <c r="AR438" s="78" t="str">
        <f t="shared" si="276"/>
        <v>Prorated</v>
      </c>
      <c r="AS438" s="79">
        <f t="shared" si="277"/>
        <v>6</v>
      </c>
      <c r="AT438" s="78">
        <f t="shared" si="278"/>
        <v>0</v>
      </c>
      <c r="AU438" s="78">
        <f t="shared" si="279"/>
        <v>5.1999999999999995E-4</v>
      </c>
      <c r="AV438" s="78">
        <f t="shared" si="280"/>
        <v>5.1999999999999995E-4</v>
      </c>
      <c r="AW438" s="78">
        <f t="shared" si="281"/>
        <v>5.1999999999999995E-4</v>
      </c>
      <c r="AX438" s="78">
        <f t="shared" si="282"/>
        <v>5.1999999999999995E-4</v>
      </c>
      <c r="AY438" s="78">
        <f t="shared" si="283"/>
        <v>5.1999999999999995E-4</v>
      </c>
      <c r="AZ438" s="78">
        <f t="shared" si="284"/>
        <v>4.8000000000000001E-4</v>
      </c>
      <c r="BA438" s="78">
        <f t="shared" si="285"/>
        <v>4.8000000000000001E-4</v>
      </c>
      <c r="BB438" s="78">
        <f t="shared" si="286"/>
        <v>4.8000000000000001E-4</v>
      </c>
      <c r="BC438" s="78">
        <f t="shared" si="287"/>
        <v>4.8000000000000001E-4</v>
      </c>
      <c r="BD438" s="78">
        <f t="shared" si="288"/>
        <v>4.8000000000000001E-4</v>
      </c>
      <c r="BE438" s="78">
        <f t="shared" si="289"/>
        <v>4.8000000000000001E-4</v>
      </c>
      <c r="BF438" s="78">
        <f t="shared" si="290"/>
        <v>4.8000000000000001E-4</v>
      </c>
      <c r="BG438" s="78">
        <f t="shared" si="291"/>
        <v>4.8000000000000001E-4</v>
      </c>
      <c r="BH438" s="78">
        <f t="shared" si="292"/>
        <v>4.8000000000000001E-4</v>
      </c>
      <c r="BI438" s="78">
        <f t="shared" si="293"/>
        <v>4.8000000000000001E-4</v>
      </c>
      <c r="BJ438" s="78">
        <f t="shared" si="294"/>
        <v>4.8000000000000001E-4</v>
      </c>
      <c r="BK438" s="78">
        <f t="shared" si="295"/>
        <v>4.8000000000000001E-4</v>
      </c>
      <c r="BL438" s="78">
        <f t="shared" si="296"/>
        <v>4.8000000000000001E-4</v>
      </c>
      <c r="BM438" s="78">
        <f t="shared" si="297"/>
        <v>4.8000000000000001E-4</v>
      </c>
      <c r="BN438" s="78">
        <f t="shared" si="298"/>
        <v>4.8000000000000001E-4</v>
      </c>
      <c r="BO438" s="78">
        <f t="shared" si="299"/>
        <v>4.8000000000000001E-4</v>
      </c>
      <c r="BP438" s="78">
        <f t="shared" si="300"/>
        <v>4.8000000000000001E-4</v>
      </c>
      <c r="BQ438" s="78">
        <f t="shared" si="301"/>
        <v>4.8000000000000001E-4</v>
      </c>
      <c r="BR438" s="78">
        <f t="shared" si="302"/>
        <v>4.8000000000000001E-4</v>
      </c>
      <c r="BS438" s="77"/>
      <c r="BT438" s="77"/>
    </row>
    <row r="439" spans="1:72" ht="14.1" customHeight="1" x14ac:dyDescent="0.2">
      <c r="A439" s="55" t="str">
        <f t="shared" si="273"/>
        <v>RTP-2 (Non-Residential)_Rider PER - Cash Working Capital Secondary</v>
      </c>
      <c r="B439" s="80" t="s">
        <v>830</v>
      </c>
      <c r="C439" s="71" t="s">
        <v>855</v>
      </c>
      <c r="D439" s="150"/>
      <c r="E439" s="81"/>
      <c r="F439" s="73" t="s">
        <v>640</v>
      </c>
      <c r="G439" s="73">
        <v>0</v>
      </c>
      <c r="H439" s="73">
        <v>6</v>
      </c>
      <c r="I439" s="74" t="s">
        <v>641</v>
      </c>
      <c r="J439" s="75" t="s">
        <v>634</v>
      </c>
      <c r="K439" s="74"/>
      <c r="L439" s="82">
        <v>4.2000000000000002E-4</v>
      </c>
      <c r="M439" s="138">
        <v>5.1999999999999995E-4</v>
      </c>
      <c r="N439" s="138">
        <v>5.1999999999999995E-4</v>
      </c>
      <c r="O439" s="138">
        <v>5.1999999999999995E-4</v>
      </c>
      <c r="P439" s="138">
        <v>5.1999999999999995E-4</v>
      </c>
      <c r="Q439" s="138">
        <v>5.1999999999999995E-4</v>
      </c>
      <c r="R439" s="138">
        <v>4.8000000000000001E-4</v>
      </c>
      <c r="S439" s="138">
        <v>4.8000000000000001E-4</v>
      </c>
      <c r="T439" s="138">
        <v>4.8000000000000001E-4</v>
      </c>
      <c r="U439" s="138">
        <v>4.8000000000000001E-4</v>
      </c>
      <c r="V439" s="138">
        <v>4.8000000000000001E-4</v>
      </c>
      <c r="W439" s="138">
        <v>4.8000000000000001E-4</v>
      </c>
      <c r="X439" s="138">
        <v>4.8000000000000001E-4</v>
      </c>
      <c r="Y439" s="138">
        <f t="shared" si="303"/>
        <v>4.8000000000000001E-4</v>
      </c>
      <c r="Z439" s="138">
        <f t="shared" si="304"/>
        <v>4.8000000000000001E-4</v>
      </c>
      <c r="AA439" s="138">
        <f t="shared" si="305"/>
        <v>4.8000000000000001E-4</v>
      </c>
      <c r="AB439" s="138">
        <f t="shared" si="306"/>
        <v>4.8000000000000001E-4</v>
      </c>
      <c r="AC439" s="138">
        <f t="shared" si="307"/>
        <v>4.8000000000000001E-4</v>
      </c>
      <c r="AD439" s="138">
        <f t="shared" si="308"/>
        <v>4.8000000000000001E-4</v>
      </c>
      <c r="AE439" s="138">
        <f t="shared" si="309"/>
        <v>4.8000000000000001E-4</v>
      </c>
      <c r="AF439" s="138">
        <f t="shared" si="310"/>
        <v>4.8000000000000001E-4</v>
      </c>
      <c r="AG439" s="138">
        <f t="shared" si="311"/>
        <v>4.8000000000000001E-4</v>
      </c>
      <c r="AH439" s="138">
        <f t="shared" si="312"/>
        <v>4.8000000000000001E-4</v>
      </c>
      <c r="AI439" s="138">
        <f t="shared" si="313"/>
        <v>4.8000000000000001E-4</v>
      </c>
      <c r="AJ439" s="138">
        <f t="shared" si="314"/>
        <v>4.8000000000000001E-4</v>
      </c>
      <c r="AK439" s="138">
        <f t="shared" si="315"/>
        <v>4.8000000000000001E-4</v>
      </c>
      <c r="AL439" s="138">
        <f t="shared" si="316"/>
        <v>4.8000000000000012E-4</v>
      </c>
      <c r="AM439" s="138">
        <f t="shared" si="317"/>
        <v>4.8666666666666666E-4</v>
      </c>
      <c r="AO439" s="77" t="str">
        <f t="shared" si="274"/>
        <v>RTP-2 (Non-Residential)</v>
      </c>
      <c r="AP439" s="78" t="s">
        <v>831</v>
      </c>
      <c r="AQ439" s="77" t="str">
        <f t="shared" si="275"/>
        <v>Rider PER - Cash Working Capital Secondary</v>
      </c>
      <c r="AR439" s="78" t="str">
        <f t="shared" si="276"/>
        <v>Prorated</v>
      </c>
      <c r="AS439" s="79">
        <f t="shared" si="277"/>
        <v>6</v>
      </c>
      <c r="AT439" s="78">
        <f t="shared" si="278"/>
        <v>0</v>
      </c>
      <c r="AU439" s="78">
        <f t="shared" si="279"/>
        <v>5.1999999999999995E-4</v>
      </c>
      <c r="AV439" s="78">
        <f t="shared" si="280"/>
        <v>5.1999999999999995E-4</v>
      </c>
      <c r="AW439" s="78">
        <f t="shared" si="281"/>
        <v>5.1999999999999995E-4</v>
      </c>
      <c r="AX439" s="78">
        <f t="shared" si="282"/>
        <v>5.1999999999999995E-4</v>
      </c>
      <c r="AY439" s="78">
        <f t="shared" si="283"/>
        <v>5.1999999999999995E-4</v>
      </c>
      <c r="AZ439" s="78">
        <f t="shared" si="284"/>
        <v>4.8000000000000001E-4</v>
      </c>
      <c r="BA439" s="78">
        <f t="shared" si="285"/>
        <v>4.8000000000000001E-4</v>
      </c>
      <c r="BB439" s="78">
        <f t="shared" si="286"/>
        <v>4.8000000000000001E-4</v>
      </c>
      <c r="BC439" s="78">
        <f t="shared" si="287"/>
        <v>4.8000000000000001E-4</v>
      </c>
      <c r="BD439" s="78">
        <f t="shared" si="288"/>
        <v>4.8000000000000001E-4</v>
      </c>
      <c r="BE439" s="78">
        <f t="shared" si="289"/>
        <v>4.8000000000000001E-4</v>
      </c>
      <c r="BF439" s="78">
        <f t="shared" si="290"/>
        <v>4.8000000000000001E-4</v>
      </c>
      <c r="BG439" s="78">
        <f t="shared" si="291"/>
        <v>4.8000000000000001E-4</v>
      </c>
      <c r="BH439" s="78">
        <f t="shared" si="292"/>
        <v>4.8000000000000001E-4</v>
      </c>
      <c r="BI439" s="78">
        <f t="shared" si="293"/>
        <v>4.8000000000000001E-4</v>
      </c>
      <c r="BJ439" s="78">
        <f t="shared" si="294"/>
        <v>4.8000000000000001E-4</v>
      </c>
      <c r="BK439" s="78">
        <f t="shared" si="295"/>
        <v>4.8000000000000001E-4</v>
      </c>
      <c r="BL439" s="78">
        <f t="shared" si="296"/>
        <v>4.8000000000000001E-4</v>
      </c>
      <c r="BM439" s="78">
        <f t="shared" si="297"/>
        <v>4.8000000000000001E-4</v>
      </c>
      <c r="BN439" s="78">
        <f t="shared" si="298"/>
        <v>4.8000000000000001E-4</v>
      </c>
      <c r="BO439" s="78">
        <f t="shared" si="299"/>
        <v>4.8000000000000001E-4</v>
      </c>
      <c r="BP439" s="78">
        <f t="shared" si="300"/>
        <v>4.8000000000000001E-4</v>
      </c>
      <c r="BQ439" s="78">
        <f t="shared" si="301"/>
        <v>4.8000000000000001E-4</v>
      </c>
      <c r="BR439" s="78">
        <f t="shared" si="302"/>
        <v>4.8000000000000001E-4</v>
      </c>
      <c r="BS439" s="77"/>
      <c r="BT439" s="77"/>
    </row>
    <row r="440" spans="1:72" ht="14.1" customHeight="1" x14ac:dyDescent="0.2">
      <c r="A440" s="55" t="str">
        <f t="shared" si="273"/>
        <v>BGS-1 (Residential)_Rider PER - Procurement Charge</v>
      </c>
      <c r="B440" s="80" t="s">
        <v>677</v>
      </c>
      <c r="C440" s="83" t="s">
        <v>856</v>
      </c>
      <c r="D440" s="150" t="s">
        <v>576</v>
      </c>
      <c r="E440" s="81"/>
      <c r="F440" s="73" t="s">
        <v>640</v>
      </c>
      <c r="G440" s="73">
        <v>0</v>
      </c>
      <c r="H440" s="73">
        <v>6</v>
      </c>
      <c r="I440" s="74" t="s">
        <v>641</v>
      </c>
      <c r="J440" s="75" t="s">
        <v>634</v>
      </c>
      <c r="K440" s="74"/>
      <c r="L440" s="82">
        <v>1.3999999999999999E-4</v>
      </c>
      <c r="M440" s="138">
        <v>1.6000000000000001E-4</v>
      </c>
      <c r="N440" s="138">
        <v>1.6000000000000001E-4</v>
      </c>
      <c r="O440" s="138">
        <v>1.6000000000000001E-4</v>
      </c>
      <c r="P440" s="138">
        <v>1.6000000000000001E-4</v>
      </c>
      <c r="Q440" s="138">
        <v>1.6000000000000001E-4</v>
      </c>
      <c r="R440" s="138">
        <v>1.6000000000000001E-4</v>
      </c>
      <c r="S440" s="138">
        <v>1.6000000000000001E-4</v>
      </c>
      <c r="T440" s="138">
        <v>1.6000000000000001E-4</v>
      </c>
      <c r="U440" s="138">
        <v>1.6000000000000001E-4</v>
      </c>
      <c r="V440" s="138">
        <v>1.6000000000000001E-4</v>
      </c>
      <c r="W440" s="138">
        <v>1.6000000000000001E-4</v>
      </c>
      <c r="X440" s="138">
        <v>1.6000000000000001E-4</v>
      </c>
      <c r="Y440" s="138">
        <f t="shared" si="303"/>
        <v>1.6000000000000001E-4</v>
      </c>
      <c r="Z440" s="138">
        <f t="shared" si="304"/>
        <v>1.6000000000000001E-4</v>
      </c>
      <c r="AA440" s="138">
        <f t="shared" si="305"/>
        <v>1.6000000000000001E-4</v>
      </c>
      <c r="AB440" s="138">
        <f t="shared" si="306"/>
        <v>1.6000000000000001E-4</v>
      </c>
      <c r="AC440" s="138">
        <f t="shared" si="307"/>
        <v>1.6000000000000001E-4</v>
      </c>
      <c r="AD440" s="138">
        <f t="shared" si="308"/>
        <v>1.6000000000000001E-4</v>
      </c>
      <c r="AE440" s="138">
        <f t="shared" si="309"/>
        <v>1.6000000000000001E-4</v>
      </c>
      <c r="AF440" s="138">
        <f t="shared" si="310"/>
        <v>1.6000000000000001E-4</v>
      </c>
      <c r="AG440" s="138">
        <f t="shared" si="311"/>
        <v>1.6000000000000001E-4</v>
      </c>
      <c r="AH440" s="138">
        <f t="shared" si="312"/>
        <v>1.6000000000000001E-4</v>
      </c>
      <c r="AI440" s="138">
        <f t="shared" si="313"/>
        <v>1.6000000000000001E-4</v>
      </c>
      <c r="AJ440" s="138">
        <f t="shared" si="314"/>
        <v>1.6000000000000001E-4</v>
      </c>
      <c r="AK440" s="138">
        <f t="shared" si="315"/>
        <v>1.6000000000000001E-4</v>
      </c>
      <c r="AL440" s="138">
        <f t="shared" si="316"/>
        <v>1.6000000000000001E-4</v>
      </c>
      <c r="AM440" s="138">
        <f t="shared" si="317"/>
        <v>1.6000000000000001E-4</v>
      </c>
      <c r="AO440" s="77" t="str">
        <f t="shared" si="274"/>
        <v>BGS-1 (Residential)</v>
      </c>
      <c r="AP440" s="78" t="s">
        <v>679</v>
      </c>
      <c r="AQ440" s="77" t="str">
        <f t="shared" si="275"/>
        <v>Rider PER - Procurement Charge</v>
      </c>
      <c r="AR440" s="78" t="str">
        <f t="shared" si="276"/>
        <v>Prorated</v>
      </c>
      <c r="AS440" s="79">
        <f t="shared" si="277"/>
        <v>6</v>
      </c>
      <c r="AT440" s="78">
        <f t="shared" si="278"/>
        <v>0</v>
      </c>
      <c r="AU440" s="78">
        <f t="shared" si="279"/>
        <v>1.6000000000000001E-4</v>
      </c>
      <c r="AV440" s="78">
        <f t="shared" si="280"/>
        <v>1.6000000000000001E-4</v>
      </c>
      <c r="AW440" s="78">
        <f t="shared" si="281"/>
        <v>1.6000000000000001E-4</v>
      </c>
      <c r="AX440" s="78">
        <f t="shared" si="282"/>
        <v>1.6000000000000001E-4</v>
      </c>
      <c r="AY440" s="78">
        <f t="shared" si="283"/>
        <v>1.6000000000000001E-4</v>
      </c>
      <c r="AZ440" s="78">
        <f t="shared" si="284"/>
        <v>1.6000000000000001E-4</v>
      </c>
      <c r="BA440" s="78">
        <f t="shared" si="285"/>
        <v>1.6000000000000001E-4</v>
      </c>
      <c r="BB440" s="78">
        <f t="shared" si="286"/>
        <v>1.6000000000000001E-4</v>
      </c>
      <c r="BC440" s="78">
        <f t="shared" si="287"/>
        <v>1.6000000000000001E-4</v>
      </c>
      <c r="BD440" s="78">
        <f t="shared" si="288"/>
        <v>1.6000000000000001E-4</v>
      </c>
      <c r="BE440" s="78">
        <f t="shared" si="289"/>
        <v>1.6000000000000001E-4</v>
      </c>
      <c r="BF440" s="78">
        <f t="shared" si="290"/>
        <v>1.6000000000000001E-4</v>
      </c>
      <c r="BG440" s="78">
        <f t="shared" si="291"/>
        <v>1.6000000000000001E-4</v>
      </c>
      <c r="BH440" s="78">
        <f t="shared" si="292"/>
        <v>1.6000000000000001E-4</v>
      </c>
      <c r="BI440" s="78">
        <f t="shared" si="293"/>
        <v>1.6000000000000001E-4</v>
      </c>
      <c r="BJ440" s="78">
        <f t="shared" si="294"/>
        <v>1.6000000000000001E-4</v>
      </c>
      <c r="BK440" s="78">
        <f t="shared" si="295"/>
        <v>1.6000000000000001E-4</v>
      </c>
      <c r="BL440" s="78">
        <f t="shared" si="296"/>
        <v>1.6000000000000001E-4</v>
      </c>
      <c r="BM440" s="78">
        <f t="shared" si="297"/>
        <v>1.6000000000000001E-4</v>
      </c>
      <c r="BN440" s="78">
        <f t="shared" si="298"/>
        <v>1.6000000000000001E-4</v>
      </c>
      <c r="BO440" s="78">
        <f t="shared" si="299"/>
        <v>1.6000000000000001E-4</v>
      </c>
      <c r="BP440" s="78">
        <f t="shared" si="300"/>
        <v>1.6000000000000001E-4</v>
      </c>
      <c r="BQ440" s="78">
        <f t="shared" si="301"/>
        <v>1.6000000000000001E-4</v>
      </c>
      <c r="BR440" s="78">
        <f t="shared" si="302"/>
        <v>1.6000000000000001E-4</v>
      </c>
      <c r="BS440" s="77"/>
      <c r="BT440" s="77"/>
    </row>
    <row r="441" spans="1:72" ht="14.1" customHeight="1" x14ac:dyDescent="0.2">
      <c r="A441" s="55" t="str">
        <f t="shared" si="273"/>
        <v>RTP-1 (Residential)_Rider PER - Procurement Charge</v>
      </c>
      <c r="B441" s="80" t="s">
        <v>828</v>
      </c>
      <c r="C441" s="83" t="s">
        <v>856</v>
      </c>
      <c r="D441" s="150"/>
      <c r="E441" s="81"/>
      <c r="F441" s="73" t="s">
        <v>640</v>
      </c>
      <c r="G441" s="73">
        <v>0</v>
      </c>
      <c r="H441" s="73">
        <v>6</v>
      </c>
      <c r="I441" s="74" t="s">
        <v>641</v>
      </c>
      <c r="J441" s="75" t="s">
        <v>634</v>
      </c>
      <c r="K441" s="74"/>
      <c r="L441" s="82">
        <v>1.3999999999999999E-4</v>
      </c>
      <c r="M441" s="138">
        <v>1.6000000000000001E-4</v>
      </c>
      <c r="N441" s="138">
        <v>1.6000000000000001E-4</v>
      </c>
      <c r="O441" s="138">
        <v>1.6000000000000001E-4</v>
      </c>
      <c r="P441" s="138">
        <v>1.6000000000000001E-4</v>
      </c>
      <c r="Q441" s="138">
        <v>1.6000000000000001E-4</v>
      </c>
      <c r="R441" s="138">
        <v>1.6000000000000001E-4</v>
      </c>
      <c r="S441" s="138">
        <v>1.6000000000000001E-4</v>
      </c>
      <c r="T441" s="138">
        <v>1.6000000000000001E-4</v>
      </c>
      <c r="U441" s="138">
        <v>1.6000000000000001E-4</v>
      </c>
      <c r="V441" s="138">
        <v>1.6000000000000001E-4</v>
      </c>
      <c r="W441" s="138">
        <v>1.6000000000000001E-4</v>
      </c>
      <c r="X441" s="138">
        <v>1.6000000000000001E-4</v>
      </c>
      <c r="Y441" s="138">
        <f t="shared" si="303"/>
        <v>1.6000000000000001E-4</v>
      </c>
      <c r="Z441" s="138">
        <f t="shared" si="304"/>
        <v>1.6000000000000001E-4</v>
      </c>
      <c r="AA441" s="138">
        <f t="shared" si="305"/>
        <v>1.6000000000000001E-4</v>
      </c>
      <c r="AB441" s="138">
        <f t="shared" si="306"/>
        <v>1.6000000000000001E-4</v>
      </c>
      <c r="AC441" s="138">
        <f t="shared" si="307"/>
        <v>1.6000000000000001E-4</v>
      </c>
      <c r="AD441" s="138">
        <f t="shared" si="308"/>
        <v>1.6000000000000001E-4</v>
      </c>
      <c r="AE441" s="138">
        <f t="shared" si="309"/>
        <v>1.6000000000000001E-4</v>
      </c>
      <c r="AF441" s="138">
        <f t="shared" si="310"/>
        <v>1.6000000000000001E-4</v>
      </c>
      <c r="AG441" s="138">
        <f t="shared" si="311"/>
        <v>1.6000000000000001E-4</v>
      </c>
      <c r="AH441" s="138">
        <f t="shared" si="312"/>
        <v>1.6000000000000001E-4</v>
      </c>
      <c r="AI441" s="138">
        <f t="shared" si="313"/>
        <v>1.6000000000000001E-4</v>
      </c>
      <c r="AJ441" s="138">
        <f t="shared" si="314"/>
        <v>1.6000000000000001E-4</v>
      </c>
      <c r="AK441" s="138">
        <f t="shared" si="315"/>
        <v>1.6000000000000001E-4</v>
      </c>
      <c r="AL441" s="138">
        <f t="shared" si="316"/>
        <v>1.6000000000000001E-4</v>
      </c>
      <c r="AM441" s="138">
        <f t="shared" si="317"/>
        <v>1.6000000000000001E-4</v>
      </c>
      <c r="AO441" s="77" t="str">
        <f t="shared" si="274"/>
        <v>RTP-1 (Residential)</v>
      </c>
      <c r="AP441" s="78" t="s">
        <v>829</v>
      </c>
      <c r="AQ441" s="77" t="str">
        <f t="shared" si="275"/>
        <v>Rider PER - Procurement Charge</v>
      </c>
      <c r="AR441" s="78" t="str">
        <f t="shared" si="276"/>
        <v>Prorated</v>
      </c>
      <c r="AS441" s="79">
        <f t="shared" si="277"/>
        <v>6</v>
      </c>
      <c r="AT441" s="78">
        <f t="shared" si="278"/>
        <v>0</v>
      </c>
      <c r="AU441" s="78">
        <f t="shared" si="279"/>
        <v>1.6000000000000001E-4</v>
      </c>
      <c r="AV441" s="78">
        <f t="shared" si="280"/>
        <v>1.6000000000000001E-4</v>
      </c>
      <c r="AW441" s="78">
        <f t="shared" si="281"/>
        <v>1.6000000000000001E-4</v>
      </c>
      <c r="AX441" s="78">
        <f t="shared" si="282"/>
        <v>1.6000000000000001E-4</v>
      </c>
      <c r="AY441" s="78">
        <f t="shared" si="283"/>
        <v>1.6000000000000001E-4</v>
      </c>
      <c r="AZ441" s="78">
        <f t="shared" si="284"/>
        <v>1.6000000000000001E-4</v>
      </c>
      <c r="BA441" s="78">
        <f t="shared" si="285"/>
        <v>1.6000000000000001E-4</v>
      </c>
      <c r="BB441" s="78">
        <f t="shared" si="286"/>
        <v>1.6000000000000001E-4</v>
      </c>
      <c r="BC441" s="78">
        <f t="shared" si="287"/>
        <v>1.6000000000000001E-4</v>
      </c>
      <c r="BD441" s="78">
        <f t="shared" si="288"/>
        <v>1.6000000000000001E-4</v>
      </c>
      <c r="BE441" s="78">
        <f t="shared" si="289"/>
        <v>1.6000000000000001E-4</v>
      </c>
      <c r="BF441" s="78">
        <f t="shared" si="290"/>
        <v>1.6000000000000001E-4</v>
      </c>
      <c r="BG441" s="78">
        <f t="shared" si="291"/>
        <v>1.6000000000000001E-4</v>
      </c>
      <c r="BH441" s="78">
        <f t="shared" si="292"/>
        <v>1.6000000000000001E-4</v>
      </c>
      <c r="BI441" s="78">
        <f t="shared" si="293"/>
        <v>1.6000000000000001E-4</v>
      </c>
      <c r="BJ441" s="78">
        <f t="shared" si="294"/>
        <v>1.6000000000000001E-4</v>
      </c>
      <c r="BK441" s="78">
        <f t="shared" si="295"/>
        <v>1.6000000000000001E-4</v>
      </c>
      <c r="BL441" s="78">
        <f t="shared" si="296"/>
        <v>1.6000000000000001E-4</v>
      </c>
      <c r="BM441" s="78">
        <f t="shared" si="297"/>
        <v>1.6000000000000001E-4</v>
      </c>
      <c r="BN441" s="78">
        <f t="shared" si="298"/>
        <v>1.6000000000000001E-4</v>
      </c>
      <c r="BO441" s="78">
        <f t="shared" si="299"/>
        <v>1.6000000000000001E-4</v>
      </c>
      <c r="BP441" s="78">
        <f t="shared" si="300"/>
        <v>1.6000000000000001E-4</v>
      </c>
      <c r="BQ441" s="78">
        <f t="shared" si="301"/>
        <v>1.6000000000000001E-4</v>
      </c>
      <c r="BR441" s="78">
        <f t="shared" si="302"/>
        <v>1.6000000000000001E-4</v>
      </c>
      <c r="BS441" s="77"/>
      <c r="BT441" s="77"/>
    </row>
    <row r="442" spans="1:72" ht="14.1" customHeight="1" x14ac:dyDescent="0.2">
      <c r="A442" s="55" t="str">
        <f t="shared" si="273"/>
        <v>DS-5 (Lighting Service)_Rider PER - Procurement Charge</v>
      </c>
      <c r="B442" s="80" t="s">
        <v>647</v>
      </c>
      <c r="C442" s="83" t="s">
        <v>856</v>
      </c>
      <c r="D442" s="150"/>
      <c r="E442" s="81"/>
      <c r="F442" s="73" t="s">
        <v>640</v>
      </c>
      <c r="G442" s="73">
        <v>0</v>
      </c>
      <c r="H442" s="73">
        <v>6</v>
      </c>
      <c r="I442" s="74" t="s">
        <v>641</v>
      </c>
      <c r="J442" s="75" t="s">
        <v>634</v>
      </c>
      <c r="K442" s="74"/>
      <c r="L442" s="82">
        <v>0</v>
      </c>
      <c r="M442" s="138">
        <v>1.6000000000000001E-4</v>
      </c>
      <c r="N442" s="138">
        <v>1.6000000000000001E-4</v>
      </c>
      <c r="O442" s="138">
        <v>1.6000000000000001E-4</v>
      </c>
      <c r="P442" s="138">
        <v>1.6000000000000001E-4</v>
      </c>
      <c r="Q442" s="138">
        <v>1.6000000000000001E-4</v>
      </c>
      <c r="R442" s="138">
        <v>1.6000000000000001E-4</v>
      </c>
      <c r="S442" s="138">
        <v>1.6000000000000001E-4</v>
      </c>
      <c r="T442" s="138">
        <v>1.6000000000000001E-4</v>
      </c>
      <c r="U442" s="138">
        <v>1.6000000000000001E-4</v>
      </c>
      <c r="V442" s="138">
        <v>1.6000000000000001E-4</v>
      </c>
      <c r="W442" s="138">
        <v>1.6000000000000001E-4</v>
      </c>
      <c r="X442" s="138">
        <v>1.6000000000000001E-4</v>
      </c>
      <c r="Y442" s="138">
        <f t="shared" si="303"/>
        <v>1.6000000000000001E-4</v>
      </c>
      <c r="Z442" s="138">
        <f t="shared" si="304"/>
        <v>1.6000000000000001E-4</v>
      </c>
      <c r="AA442" s="138">
        <f t="shared" si="305"/>
        <v>1.6000000000000001E-4</v>
      </c>
      <c r="AB442" s="138">
        <f t="shared" si="306"/>
        <v>1.6000000000000001E-4</v>
      </c>
      <c r="AC442" s="138">
        <f t="shared" si="307"/>
        <v>1.6000000000000001E-4</v>
      </c>
      <c r="AD442" s="138">
        <f t="shared" si="308"/>
        <v>1.6000000000000001E-4</v>
      </c>
      <c r="AE442" s="138">
        <f t="shared" si="309"/>
        <v>1.6000000000000001E-4</v>
      </c>
      <c r="AF442" s="138">
        <f t="shared" si="310"/>
        <v>1.6000000000000001E-4</v>
      </c>
      <c r="AG442" s="138">
        <f t="shared" si="311"/>
        <v>1.6000000000000001E-4</v>
      </c>
      <c r="AH442" s="138">
        <f t="shared" si="312"/>
        <v>1.6000000000000001E-4</v>
      </c>
      <c r="AI442" s="138">
        <f t="shared" si="313"/>
        <v>1.6000000000000001E-4</v>
      </c>
      <c r="AJ442" s="138">
        <f t="shared" si="314"/>
        <v>1.6000000000000001E-4</v>
      </c>
      <c r="AK442" s="138">
        <f t="shared" si="315"/>
        <v>1.6000000000000001E-4</v>
      </c>
      <c r="AL442" s="138">
        <f t="shared" si="316"/>
        <v>1.6000000000000001E-4</v>
      </c>
      <c r="AM442" s="138">
        <f t="shared" si="317"/>
        <v>1.6000000000000001E-4</v>
      </c>
      <c r="AO442" s="77" t="str">
        <f t="shared" si="274"/>
        <v>DS-5 (Lighting Service)</v>
      </c>
      <c r="AP442" s="78" t="s">
        <v>650</v>
      </c>
      <c r="AQ442" s="77" t="str">
        <f t="shared" si="275"/>
        <v>Rider PER - Procurement Charge</v>
      </c>
      <c r="AR442" s="78" t="str">
        <f t="shared" si="276"/>
        <v>Prorated</v>
      </c>
      <c r="AS442" s="79">
        <f t="shared" si="277"/>
        <v>6</v>
      </c>
      <c r="AT442" s="78">
        <f t="shared" si="278"/>
        <v>0</v>
      </c>
      <c r="AU442" s="78">
        <f t="shared" si="279"/>
        <v>1.6000000000000001E-4</v>
      </c>
      <c r="AV442" s="78">
        <f t="shared" si="280"/>
        <v>1.6000000000000001E-4</v>
      </c>
      <c r="AW442" s="78">
        <f t="shared" si="281"/>
        <v>1.6000000000000001E-4</v>
      </c>
      <c r="AX442" s="78">
        <f t="shared" si="282"/>
        <v>1.6000000000000001E-4</v>
      </c>
      <c r="AY442" s="78">
        <f t="shared" si="283"/>
        <v>1.6000000000000001E-4</v>
      </c>
      <c r="AZ442" s="78">
        <f t="shared" si="284"/>
        <v>1.6000000000000001E-4</v>
      </c>
      <c r="BA442" s="78">
        <f t="shared" si="285"/>
        <v>1.6000000000000001E-4</v>
      </c>
      <c r="BB442" s="78">
        <f t="shared" si="286"/>
        <v>1.6000000000000001E-4</v>
      </c>
      <c r="BC442" s="78">
        <f t="shared" si="287"/>
        <v>1.6000000000000001E-4</v>
      </c>
      <c r="BD442" s="78">
        <f t="shared" si="288"/>
        <v>1.6000000000000001E-4</v>
      </c>
      <c r="BE442" s="78">
        <f t="shared" si="289"/>
        <v>1.6000000000000001E-4</v>
      </c>
      <c r="BF442" s="78">
        <f t="shared" si="290"/>
        <v>1.6000000000000001E-4</v>
      </c>
      <c r="BG442" s="78">
        <f t="shared" si="291"/>
        <v>1.6000000000000001E-4</v>
      </c>
      <c r="BH442" s="78">
        <f t="shared" si="292"/>
        <v>1.6000000000000001E-4</v>
      </c>
      <c r="BI442" s="78">
        <f t="shared" si="293"/>
        <v>1.6000000000000001E-4</v>
      </c>
      <c r="BJ442" s="78">
        <f t="shared" si="294"/>
        <v>1.6000000000000001E-4</v>
      </c>
      <c r="BK442" s="78">
        <f t="shared" si="295"/>
        <v>1.6000000000000001E-4</v>
      </c>
      <c r="BL442" s="78">
        <f t="shared" si="296"/>
        <v>1.6000000000000001E-4</v>
      </c>
      <c r="BM442" s="78">
        <f t="shared" si="297"/>
        <v>1.6000000000000001E-4</v>
      </c>
      <c r="BN442" s="78">
        <f t="shared" si="298"/>
        <v>1.6000000000000001E-4</v>
      </c>
      <c r="BO442" s="78">
        <f t="shared" si="299"/>
        <v>1.6000000000000001E-4</v>
      </c>
      <c r="BP442" s="78">
        <f t="shared" si="300"/>
        <v>1.6000000000000001E-4</v>
      </c>
      <c r="BQ442" s="78">
        <f t="shared" si="301"/>
        <v>1.6000000000000001E-4</v>
      </c>
      <c r="BR442" s="78">
        <f t="shared" si="302"/>
        <v>1.6000000000000001E-4</v>
      </c>
      <c r="BS442" s="77"/>
      <c r="BT442" s="77"/>
    </row>
    <row r="443" spans="1:72" ht="14.1" customHeight="1" x14ac:dyDescent="0.2">
      <c r="A443" s="55" t="str">
        <f t="shared" si="273"/>
        <v>BGS-2 (Non-Residential)_Rider PER - Procurement Charge High Voltage</v>
      </c>
      <c r="B443" s="80" t="s">
        <v>685</v>
      </c>
      <c r="C443" s="71" t="s">
        <v>857</v>
      </c>
      <c r="D443" s="150"/>
      <c r="E443" s="81"/>
      <c r="F443" s="73" t="s">
        <v>640</v>
      </c>
      <c r="G443" s="73">
        <v>0</v>
      </c>
      <c r="H443" s="73">
        <v>6</v>
      </c>
      <c r="I443" s="74" t="s">
        <v>641</v>
      </c>
      <c r="J443" s="75" t="s">
        <v>634</v>
      </c>
      <c r="K443" s="74"/>
      <c r="L443" s="87">
        <v>1.3999999999999999E-4</v>
      </c>
      <c r="M443" s="138">
        <v>1.6000000000000001E-4</v>
      </c>
      <c r="N443" s="138">
        <v>1.6000000000000001E-4</v>
      </c>
      <c r="O443" s="138">
        <v>1.6000000000000001E-4</v>
      </c>
      <c r="P443" s="138">
        <v>1.6000000000000001E-4</v>
      </c>
      <c r="Q443" s="138">
        <v>1.6000000000000001E-4</v>
      </c>
      <c r="R443" s="138">
        <v>1.6000000000000001E-4</v>
      </c>
      <c r="S443" s="138">
        <v>1.6000000000000001E-4</v>
      </c>
      <c r="T443" s="138">
        <v>1.6000000000000001E-4</v>
      </c>
      <c r="U443" s="138">
        <v>1.6000000000000001E-4</v>
      </c>
      <c r="V443" s="138">
        <v>1.6000000000000001E-4</v>
      </c>
      <c r="W443" s="138">
        <v>1.6000000000000001E-4</v>
      </c>
      <c r="X443" s="138">
        <v>1.6000000000000001E-4</v>
      </c>
      <c r="Y443" s="138">
        <f t="shared" si="303"/>
        <v>1.6000000000000001E-4</v>
      </c>
      <c r="Z443" s="138">
        <f t="shared" si="304"/>
        <v>1.6000000000000001E-4</v>
      </c>
      <c r="AA443" s="138">
        <f t="shared" si="305"/>
        <v>1.6000000000000001E-4</v>
      </c>
      <c r="AB443" s="138">
        <f t="shared" si="306"/>
        <v>1.6000000000000001E-4</v>
      </c>
      <c r="AC443" s="138">
        <f t="shared" si="307"/>
        <v>1.6000000000000001E-4</v>
      </c>
      <c r="AD443" s="138">
        <f t="shared" si="308"/>
        <v>1.6000000000000001E-4</v>
      </c>
      <c r="AE443" s="138">
        <f t="shared" si="309"/>
        <v>1.6000000000000001E-4</v>
      </c>
      <c r="AF443" s="138">
        <f t="shared" si="310"/>
        <v>1.6000000000000001E-4</v>
      </c>
      <c r="AG443" s="138">
        <f t="shared" si="311"/>
        <v>1.6000000000000001E-4</v>
      </c>
      <c r="AH443" s="138">
        <f t="shared" si="312"/>
        <v>1.6000000000000001E-4</v>
      </c>
      <c r="AI443" s="138">
        <f t="shared" si="313"/>
        <v>1.6000000000000001E-4</v>
      </c>
      <c r="AJ443" s="138">
        <f t="shared" si="314"/>
        <v>1.6000000000000001E-4</v>
      </c>
      <c r="AK443" s="138">
        <f t="shared" si="315"/>
        <v>1.6000000000000001E-4</v>
      </c>
      <c r="AL443" s="138">
        <f t="shared" si="316"/>
        <v>1.6000000000000001E-4</v>
      </c>
      <c r="AM443" s="138">
        <f t="shared" si="317"/>
        <v>1.6000000000000001E-4</v>
      </c>
      <c r="AO443" s="77" t="str">
        <f t="shared" si="274"/>
        <v>BGS-2 (Non-Residential)</v>
      </c>
      <c r="AP443" s="78" t="s">
        <v>687</v>
      </c>
      <c r="AQ443" s="77" t="str">
        <f t="shared" si="275"/>
        <v>Rider PER - Procurement Charge High Voltage</v>
      </c>
      <c r="AR443" s="78" t="str">
        <f t="shared" si="276"/>
        <v>Prorated</v>
      </c>
      <c r="AS443" s="79">
        <f t="shared" si="277"/>
        <v>6</v>
      </c>
      <c r="AT443" s="78">
        <f t="shared" si="278"/>
        <v>0</v>
      </c>
      <c r="AU443" s="78">
        <f t="shared" si="279"/>
        <v>1.6000000000000001E-4</v>
      </c>
      <c r="AV443" s="78">
        <f t="shared" si="280"/>
        <v>1.6000000000000001E-4</v>
      </c>
      <c r="AW443" s="78">
        <f t="shared" si="281"/>
        <v>1.6000000000000001E-4</v>
      </c>
      <c r="AX443" s="78">
        <f t="shared" si="282"/>
        <v>1.6000000000000001E-4</v>
      </c>
      <c r="AY443" s="78">
        <f t="shared" si="283"/>
        <v>1.6000000000000001E-4</v>
      </c>
      <c r="AZ443" s="78">
        <f t="shared" si="284"/>
        <v>1.6000000000000001E-4</v>
      </c>
      <c r="BA443" s="78">
        <f t="shared" si="285"/>
        <v>1.6000000000000001E-4</v>
      </c>
      <c r="BB443" s="78">
        <f t="shared" si="286"/>
        <v>1.6000000000000001E-4</v>
      </c>
      <c r="BC443" s="78">
        <f t="shared" si="287"/>
        <v>1.6000000000000001E-4</v>
      </c>
      <c r="BD443" s="78">
        <f t="shared" si="288"/>
        <v>1.6000000000000001E-4</v>
      </c>
      <c r="BE443" s="78">
        <f t="shared" si="289"/>
        <v>1.6000000000000001E-4</v>
      </c>
      <c r="BF443" s="78">
        <f t="shared" si="290"/>
        <v>1.6000000000000001E-4</v>
      </c>
      <c r="BG443" s="78">
        <f t="shared" si="291"/>
        <v>1.6000000000000001E-4</v>
      </c>
      <c r="BH443" s="78">
        <f t="shared" si="292"/>
        <v>1.6000000000000001E-4</v>
      </c>
      <c r="BI443" s="78">
        <f t="shared" si="293"/>
        <v>1.6000000000000001E-4</v>
      </c>
      <c r="BJ443" s="78">
        <f t="shared" si="294"/>
        <v>1.6000000000000001E-4</v>
      </c>
      <c r="BK443" s="78">
        <f t="shared" si="295"/>
        <v>1.6000000000000001E-4</v>
      </c>
      <c r="BL443" s="78">
        <f t="shared" si="296"/>
        <v>1.6000000000000001E-4</v>
      </c>
      <c r="BM443" s="78">
        <f t="shared" si="297"/>
        <v>1.6000000000000001E-4</v>
      </c>
      <c r="BN443" s="78">
        <f t="shared" si="298"/>
        <v>1.6000000000000001E-4</v>
      </c>
      <c r="BO443" s="78">
        <f t="shared" si="299"/>
        <v>1.6000000000000001E-4</v>
      </c>
      <c r="BP443" s="78">
        <f t="shared" si="300"/>
        <v>1.6000000000000001E-4</v>
      </c>
      <c r="BQ443" s="78">
        <f t="shared" si="301"/>
        <v>1.6000000000000001E-4</v>
      </c>
      <c r="BR443" s="78">
        <f t="shared" si="302"/>
        <v>1.6000000000000001E-4</v>
      </c>
      <c r="BS443" s="77"/>
      <c r="BT443" s="77"/>
    </row>
    <row r="444" spans="1:72" ht="14.1" customHeight="1" x14ac:dyDescent="0.2">
      <c r="A444" s="55" t="str">
        <f t="shared" si="273"/>
        <v>RTP-2 (Non-Residential)_Rider PER - Procurement Charge High Voltage</v>
      </c>
      <c r="B444" s="80" t="s">
        <v>830</v>
      </c>
      <c r="C444" s="71" t="s">
        <v>857</v>
      </c>
      <c r="D444" s="150"/>
      <c r="E444" s="81"/>
      <c r="F444" s="73" t="s">
        <v>640</v>
      </c>
      <c r="G444" s="73">
        <v>0</v>
      </c>
      <c r="H444" s="73">
        <v>6</v>
      </c>
      <c r="I444" s="74" t="s">
        <v>641</v>
      </c>
      <c r="J444" s="75" t="s">
        <v>634</v>
      </c>
      <c r="K444" s="74"/>
      <c r="L444" s="82">
        <v>1.3999999999999999E-4</v>
      </c>
      <c r="M444" s="138">
        <v>1.6000000000000001E-4</v>
      </c>
      <c r="N444" s="138">
        <v>1.6000000000000001E-4</v>
      </c>
      <c r="O444" s="138">
        <v>1.6000000000000001E-4</v>
      </c>
      <c r="P444" s="138">
        <v>1.6000000000000001E-4</v>
      </c>
      <c r="Q444" s="138">
        <v>1.6000000000000001E-4</v>
      </c>
      <c r="R444" s="138">
        <v>1.6000000000000001E-4</v>
      </c>
      <c r="S444" s="138">
        <v>1.6000000000000001E-4</v>
      </c>
      <c r="T444" s="138">
        <v>1.6000000000000001E-4</v>
      </c>
      <c r="U444" s="138">
        <v>1.6000000000000001E-4</v>
      </c>
      <c r="V444" s="138">
        <v>1.6000000000000001E-4</v>
      </c>
      <c r="W444" s="138">
        <v>1.6000000000000001E-4</v>
      </c>
      <c r="X444" s="138">
        <v>1.6000000000000001E-4</v>
      </c>
      <c r="Y444" s="138">
        <f t="shared" si="303"/>
        <v>1.6000000000000001E-4</v>
      </c>
      <c r="Z444" s="138">
        <f t="shared" si="304"/>
        <v>1.6000000000000001E-4</v>
      </c>
      <c r="AA444" s="138">
        <f t="shared" si="305"/>
        <v>1.6000000000000001E-4</v>
      </c>
      <c r="AB444" s="138">
        <f t="shared" si="306"/>
        <v>1.6000000000000001E-4</v>
      </c>
      <c r="AC444" s="138">
        <f t="shared" si="307"/>
        <v>1.6000000000000001E-4</v>
      </c>
      <c r="AD444" s="138">
        <f t="shared" si="308"/>
        <v>1.6000000000000001E-4</v>
      </c>
      <c r="AE444" s="138">
        <f t="shared" si="309"/>
        <v>1.6000000000000001E-4</v>
      </c>
      <c r="AF444" s="138">
        <f t="shared" si="310"/>
        <v>1.6000000000000001E-4</v>
      </c>
      <c r="AG444" s="138">
        <f t="shared" si="311"/>
        <v>1.6000000000000001E-4</v>
      </c>
      <c r="AH444" s="138">
        <f t="shared" si="312"/>
        <v>1.6000000000000001E-4</v>
      </c>
      <c r="AI444" s="138">
        <f t="shared" si="313"/>
        <v>1.6000000000000001E-4</v>
      </c>
      <c r="AJ444" s="138">
        <f t="shared" si="314"/>
        <v>1.6000000000000001E-4</v>
      </c>
      <c r="AK444" s="138">
        <f t="shared" si="315"/>
        <v>1.6000000000000001E-4</v>
      </c>
      <c r="AL444" s="138">
        <f t="shared" si="316"/>
        <v>1.6000000000000001E-4</v>
      </c>
      <c r="AM444" s="138">
        <f t="shared" si="317"/>
        <v>1.6000000000000001E-4</v>
      </c>
      <c r="AO444" s="77" t="str">
        <f t="shared" si="274"/>
        <v>RTP-2 (Non-Residential)</v>
      </c>
      <c r="AP444" s="78" t="s">
        <v>831</v>
      </c>
      <c r="AQ444" s="77" t="str">
        <f t="shared" si="275"/>
        <v>Rider PER - Procurement Charge High Voltage</v>
      </c>
      <c r="AR444" s="78" t="str">
        <f t="shared" si="276"/>
        <v>Prorated</v>
      </c>
      <c r="AS444" s="79">
        <f t="shared" si="277"/>
        <v>6</v>
      </c>
      <c r="AT444" s="78">
        <f t="shared" si="278"/>
        <v>0</v>
      </c>
      <c r="AU444" s="78">
        <f t="shared" si="279"/>
        <v>1.6000000000000001E-4</v>
      </c>
      <c r="AV444" s="78">
        <f t="shared" si="280"/>
        <v>1.6000000000000001E-4</v>
      </c>
      <c r="AW444" s="78">
        <f t="shared" si="281"/>
        <v>1.6000000000000001E-4</v>
      </c>
      <c r="AX444" s="78">
        <f t="shared" si="282"/>
        <v>1.6000000000000001E-4</v>
      </c>
      <c r="AY444" s="78">
        <f t="shared" si="283"/>
        <v>1.6000000000000001E-4</v>
      </c>
      <c r="AZ444" s="78">
        <f t="shared" si="284"/>
        <v>1.6000000000000001E-4</v>
      </c>
      <c r="BA444" s="78">
        <f t="shared" si="285"/>
        <v>1.6000000000000001E-4</v>
      </c>
      <c r="BB444" s="78">
        <f t="shared" si="286"/>
        <v>1.6000000000000001E-4</v>
      </c>
      <c r="BC444" s="78">
        <f t="shared" si="287"/>
        <v>1.6000000000000001E-4</v>
      </c>
      <c r="BD444" s="78">
        <f t="shared" si="288"/>
        <v>1.6000000000000001E-4</v>
      </c>
      <c r="BE444" s="78">
        <f t="shared" si="289"/>
        <v>1.6000000000000001E-4</v>
      </c>
      <c r="BF444" s="78">
        <f t="shared" si="290"/>
        <v>1.6000000000000001E-4</v>
      </c>
      <c r="BG444" s="78">
        <f t="shared" si="291"/>
        <v>1.6000000000000001E-4</v>
      </c>
      <c r="BH444" s="78">
        <f t="shared" si="292"/>
        <v>1.6000000000000001E-4</v>
      </c>
      <c r="BI444" s="78">
        <f t="shared" si="293"/>
        <v>1.6000000000000001E-4</v>
      </c>
      <c r="BJ444" s="78">
        <f t="shared" si="294"/>
        <v>1.6000000000000001E-4</v>
      </c>
      <c r="BK444" s="78">
        <f t="shared" si="295"/>
        <v>1.6000000000000001E-4</v>
      </c>
      <c r="BL444" s="78">
        <f t="shared" si="296"/>
        <v>1.6000000000000001E-4</v>
      </c>
      <c r="BM444" s="78">
        <f t="shared" si="297"/>
        <v>1.6000000000000001E-4</v>
      </c>
      <c r="BN444" s="78">
        <f t="shared" si="298"/>
        <v>1.6000000000000001E-4</v>
      </c>
      <c r="BO444" s="78">
        <f t="shared" si="299"/>
        <v>1.6000000000000001E-4</v>
      </c>
      <c r="BP444" s="78">
        <f t="shared" si="300"/>
        <v>1.6000000000000001E-4</v>
      </c>
      <c r="BQ444" s="78">
        <f t="shared" si="301"/>
        <v>1.6000000000000001E-4</v>
      </c>
      <c r="BR444" s="78">
        <f t="shared" si="302"/>
        <v>1.6000000000000001E-4</v>
      </c>
      <c r="BS444" s="77"/>
      <c r="BT444" s="77"/>
    </row>
    <row r="445" spans="1:72" ht="14.1" customHeight="1" x14ac:dyDescent="0.2">
      <c r="A445" s="55" t="str">
        <f t="shared" si="273"/>
        <v>BGS-2 (Non-Residential)_Rider PER - Procurement Charge Primary</v>
      </c>
      <c r="B445" s="80" t="s">
        <v>685</v>
      </c>
      <c r="C445" s="71" t="s">
        <v>858</v>
      </c>
      <c r="D445" s="150"/>
      <c r="E445" s="81"/>
      <c r="F445" s="73" t="s">
        <v>640</v>
      </c>
      <c r="G445" s="73">
        <v>0</v>
      </c>
      <c r="H445" s="73">
        <v>6</v>
      </c>
      <c r="I445" s="74" t="s">
        <v>641</v>
      </c>
      <c r="J445" s="75" t="s">
        <v>634</v>
      </c>
      <c r="K445" s="74"/>
      <c r="L445" s="87">
        <v>1.3999999999999999E-4</v>
      </c>
      <c r="M445" s="138">
        <v>1.6000000000000001E-4</v>
      </c>
      <c r="N445" s="138">
        <v>1.6000000000000001E-4</v>
      </c>
      <c r="O445" s="138">
        <v>1.6000000000000001E-4</v>
      </c>
      <c r="P445" s="138">
        <v>1.6000000000000001E-4</v>
      </c>
      <c r="Q445" s="138">
        <v>1.6000000000000001E-4</v>
      </c>
      <c r="R445" s="138">
        <v>1.6000000000000001E-4</v>
      </c>
      <c r="S445" s="138">
        <v>1.6000000000000001E-4</v>
      </c>
      <c r="T445" s="138">
        <v>1.6000000000000001E-4</v>
      </c>
      <c r="U445" s="138">
        <v>1.6000000000000001E-4</v>
      </c>
      <c r="V445" s="138">
        <v>1.6000000000000001E-4</v>
      </c>
      <c r="W445" s="138">
        <v>1.6000000000000001E-4</v>
      </c>
      <c r="X445" s="138">
        <v>1.6000000000000001E-4</v>
      </c>
      <c r="Y445" s="138">
        <f t="shared" si="303"/>
        <v>1.6000000000000001E-4</v>
      </c>
      <c r="Z445" s="138">
        <f t="shared" si="304"/>
        <v>1.6000000000000001E-4</v>
      </c>
      <c r="AA445" s="138">
        <f t="shared" si="305"/>
        <v>1.6000000000000001E-4</v>
      </c>
      <c r="AB445" s="138">
        <f t="shared" si="306"/>
        <v>1.6000000000000001E-4</v>
      </c>
      <c r="AC445" s="138">
        <f t="shared" si="307"/>
        <v>1.6000000000000001E-4</v>
      </c>
      <c r="AD445" s="138">
        <f t="shared" si="308"/>
        <v>1.6000000000000001E-4</v>
      </c>
      <c r="AE445" s="138">
        <f t="shared" si="309"/>
        <v>1.6000000000000001E-4</v>
      </c>
      <c r="AF445" s="138">
        <f t="shared" si="310"/>
        <v>1.6000000000000001E-4</v>
      </c>
      <c r="AG445" s="138">
        <f t="shared" si="311"/>
        <v>1.6000000000000001E-4</v>
      </c>
      <c r="AH445" s="138">
        <f t="shared" si="312"/>
        <v>1.6000000000000001E-4</v>
      </c>
      <c r="AI445" s="138">
        <f t="shared" si="313"/>
        <v>1.6000000000000001E-4</v>
      </c>
      <c r="AJ445" s="138">
        <f t="shared" si="314"/>
        <v>1.6000000000000001E-4</v>
      </c>
      <c r="AK445" s="138">
        <f t="shared" si="315"/>
        <v>1.6000000000000001E-4</v>
      </c>
      <c r="AL445" s="138">
        <f t="shared" si="316"/>
        <v>1.6000000000000001E-4</v>
      </c>
      <c r="AM445" s="138">
        <f t="shared" si="317"/>
        <v>1.6000000000000001E-4</v>
      </c>
      <c r="AO445" s="77" t="str">
        <f t="shared" si="274"/>
        <v>BGS-2 (Non-Residential)</v>
      </c>
      <c r="AP445" s="78" t="s">
        <v>687</v>
      </c>
      <c r="AQ445" s="77" t="str">
        <f t="shared" si="275"/>
        <v>Rider PER - Procurement Charge Primary</v>
      </c>
      <c r="AR445" s="78" t="str">
        <f t="shared" si="276"/>
        <v>Prorated</v>
      </c>
      <c r="AS445" s="79">
        <f t="shared" si="277"/>
        <v>6</v>
      </c>
      <c r="AT445" s="78">
        <f t="shared" si="278"/>
        <v>0</v>
      </c>
      <c r="AU445" s="78">
        <f t="shared" si="279"/>
        <v>1.6000000000000001E-4</v>
      </c>
      <c r="AV445" s="78">
        <f t="shared" si="280"/>
        <v>1.6000000000000001E-4</v>
      </c>
      <c r="AW445" s="78">
        <f t="shared" si="281"/>
        <v>1.6000000000000001E-4</v>
      </c>
      <c r="AX445" s="78">
        <f t="shared" si="282"/>
        <v>1.6000000000000001E-4</v>
      </c>
      <c r="AY445" s="78">
        <f t="shared" si="283"/>
        <v>1.6000000000000001E-4</v>
      </c>
      <c r="AZ445" s="78">
        <f t="shared" si="284"/>
        <v>1.6000000000000001E-4</v>
      </c>
      <c r="BA445" s="78">
        <f t="shared" si="285"/>
        <v>1.6000000000000001E-4</v>
      </c>
      <c r="BB445" s="78">
        <f t="shared" si="286"/>
        <v>1.6000000000000001E-4</v>
      </c>
      <c r="BC445" s="78">
        <f t="shared" si="287"/>
        <v>1.6000000000000001E-4</v>
      </c>
      <c r="BD445" s="78">
        <f t="shared" si="288"/>
        <v>1.6000000000000001E-4</v>
      </c>
      <c r="BE445" s="78">
        <f t="shared" si="289"/>
        <v>1.6000000000000001E-4</v>
      </c>
      <c r="BF445" s="78">
        <f t="shared" si="290"/>
        <v>1.6000000000000001E-4</v>
      </c>
      <c r="BG445" s="78">
        <f t="shared" si="291"/>
        <v>1.6000000000000001E-4</v>
      </c>
      <c r="BH445" s="78">
        <f t="shared" si="292"/>
        <v>1.6000000000000001E-4</v>
      </c>
      <c r="BI445" s="78">
        <f t="shared" si="293"/>
        <v>1.6000000000000001E-4</v>
      </c>
      <c r="BJ445" s="78">
        <f t="shared" si="294"/>
        <v>1.6000000000000001E-4</v>
      </c>
      <c r="BK445" s="78">
        <f t="shared" si="295"/>
        <v>1.6000000000000001E-4</v>
      </c>
      <c r="BL445" s="78">
        <f t="shared" si="296"/>
        <v>1.6000000000000001E-4</v>
      </c>
      <c r="BM445" s="78">
        <f t="shared" si="297"/>
        <v>1.6000000000000001E-4</v>
      </c>
      <c r="BN445" s="78">
        <f t="shared" si="298"/>
        <v>1.6000000000000001E-4</v>
      </c>
      <c r="BO445" s="78">
        <f t="shared" si="299"/>
        <v>1.6000000000000001E-4</v>
      </c>
      <c r="BP445" s="78">
        <f t="shared" si="300"/>
        <v>1.6000000000000001E-4</v>
      </c>
      <c r="BQ445" s="78">
        <f t="shared" si="301"/>
        <v>1.6000000000000001E-4</v>
      </c>
      <c r="BR445" s="78">
        <f t="shared" si="302"/>
        <v>1.6000000000000001E-4</v>
      </c>
      <c r="BS445" s="77"/>
      <c r="BT445" s="77"/>
    </row>
    <row r="446" spans="1:72" ht="14.1" customHeight="1" x14ac:dyDescent="0.2">
      <c r="A446" s="55" t="str">
        <f t="shared" si="273"/>
        <v>RTP-2 (Non-Residential)_Rider PER - Procurement Charge Primary</v>
      </c>
      <c r="B446" s="80" t="s">
        <v>830</v>
      </c>
      <c r="C446" s="71" t="s">
        <v>858</v>
      </c>
      <c r="D446" s="150"/>
      <c r="E446" s="81"/>
      <c r="F446" s="73" t="s">
        <v>640</v>
      </c>
      <c r="G446" s="73">
        <v>0</v>
      </c>
      <c r="H446" s="73">
        <v>6</v>
      </c>
      <c r="I446" s="74" t="s">
        <v>641</v>
      </c>
      <c r="J446" s="75" t="s">
        <v>634</v>
      </c>
      <c r="K446" s="74"/>
      <c r="L446" s="82">
        <v>1.3999999999999999E-4</v>
      </c>
      <c r="M446" s="138">
        <v>1.6000000000000001E-4</v>
      </c>
      <c r="N446" s="138">
        <v>1.6000000000000001E-4</v>
      </c>
      <c r="O446" s="138">
        <v>1.6000000000000001E-4</v>
      </c>
      <c r="P446" s="138">
        <v>1.6000000000000001E-4</v>
      </c>
      <c r="Q446" s="138">
        <v>1.6000000000000001E-4</v>
      </c>
      <c r="R446" s="138">
        <v>1.6000000000000001E-4</v>
      </c>
      <c r="S446" s="138">
        <v>1.6000000000000001E-4</v>
      </c>
      <c r="T446" s="138">
        <v>1.6000000000000001E-4</v>
      </c>
      <c r="U446" s="138">
        <v>1.6000000000000001E-4</v>
      </c>
      <c r="V446" s="138">
        <v>1.6000000000000001E-4</v>
      </c>
      <c r="W446" s="138">
        <v>1.6000000000000001E-4</v>
      </c>
      <c r="X446" s="138">
        <v>1.6000000000000001E-4</v>
      </c>
      <c r="Y446" s="138">
        <f t="shared" si="303"/>
        <v>1.6000000000000001E-4</v>
      </c>
      <c r="Z446" s="138">
        <f t="shared" si="304"/>
        <v>1.6000000000000001E-4</v>
      </c>
      <c r="AA446" s="138">
        <f t="shared" si="305"/>
        <v>1.6000000000000001E-4</v>
      </c>
      <c r="AB446" s="138">
        <f t="shared" si="306"/>
        <v>1.6000000000000001E-4</v>
      </c>
      <c r="AC446" s="138">
        <f t="shared" si="307"/>
        <v>1.6000000000000001E-4</v>
      </c>
      <c r="AD446" s="138">
        <f t="shared" si="308"/>
        <v>1.6000000000000001E-4</v>
      </c>
      <c r="AE446" s="138">
        <f t="shared" si="309"/>
        <v>1.6000000000000001E-4</v>
      </c>
      <c r="AF446" s="138">
        <f t="shared" si="310"/>
        <v>1.6000000000000001E-4</v>
      </c>
      <c r="AG446" s="138">
        <f t="shared" si="311"/>
        <v>1.6000000000000001E-4</v>
      </c>
      <c r="AH446" s="138">
        <f t="shared" si="312"/>
        <v>1.6000000000000001E-4</v>
      </c>
      <c r="AI446" s="138">
        <f t="shared" si="313"/>
        <v>1.6000000000000001E-4</v>
      </c>
      <c r="AJ446" s="138">
        <f t="shared" si="314"/>
        <v>1.6000000000000001E-4</v>
      </c>
      <c r="AK446" s="138">
        <f t="shared" si="315"/>
        <v>1.6000000000000001E-4</v>
      </c>
      <c r="AL446" s="138">
        <f t="shared" si="316"/>
        <v>1.6000000000000001E-4</v>
      </c>
      <c r="AM446" s="138">
        <f t="shared" si="317"/>
        <v>1.6000000000000001E-4</v>
      </c>
      <c r="AO446" s="77" t="str">
        <f t="shared" si="274"/>
        <v>RTP-2 (Non-Residential)</v>
      </c>
      <c r="AP446" s="78" t="s">
        <v>831</v>
      </c>
      <c r="AQ446" s="77" t="str">
        <f t="shared" si="275"/>
        <v>Rider PER - Procurement Charge Primary</v>
      </c>
      <c r="AR446" s="78" t="str">
        <f t="shared" si="276"/>
        <v>Prorated</v>
      </c>
      <c r="AS446" s="79">
        <f t="shared" si="277"/>
        <v>6</v>
      </c>
      <c r="AT446" s="78">
        <f t="shared" si="278"/>
        <v>0</v>
      </c>
      <c r="AU446" s="78">
        <f t="shared" si="279"/>
        <v>1.6000000000000001E-4</v>
      </c>
      <c r="AV446" s="78">
        <f t="shared" si="280"/>
        <v>1.6000000000000001E-4</v>
      </c>
      <c r="AW446" s="78">
        <f t="shared" si="281"/>
        <v>1.6000000000000001E-4</v>
      </c>
      <c r="AX446" s="78">
        <f t="shared" si="282"/>
        <v>1.6000000000000001E-4</v>
      </c>
      <c r="AY446" s="78">
        <f t="shared" si="283"/>
        <v>1.6000000000000001E-4</v>
      </c>
      <c r="AZ446" s="78">
        <f t="shared" si="284"/>
        <v>1.6000000000000001E-4</v>
      </c>
      <c r="BA446" s="78">
        <f t="shared" si="285"/>
        <v>1.6000000000000001E-4</v>
      </c>
      <c r="BB446" s="78">
        <f t="shared" si="286"/>
        <v>1.6000000000000001E-4</v>
      </c>
      <c r="BC446" s="78">
        <f t="shared" si="287"/>
        <v>1.6000000000000001E-4</v>
      </c>
      <c r="BD446" s="78">
        <f t="shared" si="288"/>
        <v>1.6000000000000001E-4</v>
      </c>
      <c r="BE446" s="78">
        <f t="shared" si="289"/>
        <v>1.6000000000000001E-4</v>
      </c>
      <c r="BF446" s="78">
        <f t="shared" si="290"/>
        <v>1.6000000000000001E-4</v>
      </c>
      <c r="BG446" s="78">
        <f t="shared" si="291"/>
        <v>1.6000000000000001E-4</v>
      </c>
      <c r="BH446" s="78">
        <f t="shared" si="292"/>
        <v>1.6000000000000001E-4</v>
      </c>
      <c r="BI446" s="78">
        <f t="shared" si="293"/>
        <v>1.6000000000000001E-4</v>
      </c>
      <c r="BJ446" s="78">
        <f t="shared" si="294"/>
        <v>1.6000000000000001E-4</v>
      </c>
      <c r="BK446" s="78">
        <f t="shared" si="295"/>
        <v>1.6000000000000001E-4</v>
      </c>
      <c r="BL446" s="78">
        <f t="shared" si="296"/>
        <v>1.6000000000000001E-4</v>
      </c>
      <c r="BM446" s="78">
        <f t="shared" si="297"/>
        <v>1.6000000000000001E-4</v>
      </c>
      <c r="BN446" s="78">
        <f t="shared" si="298"/>
        <v>1.6000000000000001E-4</v>
      </c>
      <c r="BO446" s="78">
        <f t="shared" si="299"/>
        <v>1.6000000000000001E-4</v>
      </c>
      <c r="BP446" s="78">
        <f t="shared" si="300"/>
        <v>1.6000000000000001E-4</v>
      </c>
      <c r="BQ446" s="78">
        <f t="shared" si="301"/>
        <v>1.6000000000000001E-4</v>
      </c>
      <c r="BR446" s="78">
        <f t="shared" si="302"/>
        <v>1.6000000000000001E-4</v>
      </c>
      <c r="BS446" s="77"/>
      <c r="BT446" s="77"/>
    </row>
    <row r="447" spans="1:72" ht="14.1" customHeight="1" x14ac:dyDescent="0.2">
      <c r="A447" s="55" t="str">
        <f t="shared" si="273"/>
        <v>BGS-2 (Non-Residential)_Rider PER - Procurement Charge Secondary</v>
      </c>
      <c r="B447" s="80" t="s">
        <v>685</v>
      </c>
      <c r="C447" s="71" t="s">
        <v>859</v>
      </c>
      <c r="D447" s="150"/>
      <c r="E447" s="81"/>
      <c r="F447" s="73" t="s">
        <v>640</v>
      </c>
      <c r="G447" s="73">
        <v>0</v>
      </c>
      <c r="H447" s="73">
        <v>6</v>
      </c>
      <c r="I447" s="74" t="s">
        <v>641</v>
      </c>
      <c r="J447" s="75" t="s">
        <v>634</v>
      </c>
      <c r="K447" s="74"/>
      <c r="L447" s="87">
        <v>1.3999999999999999E-4</v>
      </c>
      <c r="M447" s="138">
        <v>1.6000000000000001E-4</v>
      </c>
      <c r="N447" s="138">
        <v>1.6000000000000001E-4</v>
      </c>
      <c r="O447" s="138">
        <v>1.6000000000000001E-4</v>
      </c>
      <c r="P447" s="138">
        <v>1.6000000000000001E-4</v>
      </c>
      <c r="Q447" s="138">
        <v>1.6000000000000001E-4</v>
      </c>
      <c r="R447" s="138">
        <v>1.6000000000000001E-4</v>
      </c>
      <c r="S447" s="138">
        <v>1.6000000000000001E-4</v>
      </c>
      <c r="T447" s="138">
        <v>1.6000000000000001E-4</v>
      </c>
      <c r="U447" s="138">
        <v>1.6000000000000001E-4</v>
      </c>
      <c r="V447" s="138">
        <v>1.6000000000000001E-4</v>
      </c>
      <c r="W447" s="138">
        <v>1.6000000000000001E-4</v>
      </c>
      <c r="X447" s="138">
        <v>1.6000000000000001E-4</v>
      </c>
      <c r="Y447" s="138">
        <f t="shared" si="303"/>
        <v>1.6000000000000001E-4</v>
      </c>
      <c r="Z447" s="138">
        <f t="shared" si="304"/>
        <v>1.6000000000000001E-4</v>
      </c>
      <c r="AA447" s="138">
        <f t="shared" si="305"/>
        <v>1.6000000000000001E-4</v>
      </c>
      <c r="AB447" s="138">
        <f t="shared" si="306"/>
        <v>1.6000000000000001E-4</v>
      </c>
      <c r="AC447" s="138">
        <f t="shared" si="307"/>
        <v>1.6000000000000001E-4</v>
      </c>
      <c r="AD447" s="138">
        <f t="shared" si="308"/>
        <v>1.6000000000000001E-4</v>
      </c>
      <c r="AE447" s="138">
        <f t="shared" si="309"/>
        <v>1.6000000000000001E-4</v>
      </c>
      <c r="AF447" s="138">
        <f t="shared" si="310"/>
        <v>1.6000000000000001E-4</v>
      </c>
      <c r="AG447" s="138">
        <f t="shared" si="311"/>
        <v>1.6000000000000001E-4</v>
      </c>
      <c r="AH447" s="138">
        <f t="shared" si="312"/>
        <v>1.6000000000000001E-4</v>
      </c>
      <c r="AI447" s="138">
        <f t="shared" si="313"/>
        <v>1.6000000000000001E-4</v>
      </c>
      <c r="AJ447" s="138">
        <f t="shared" si="314"/>
        <v>1.6000000000000001E-4</v>
      </c>
      <c r="AK447" s="138">
        <f t="shared" si="315"/>
        <v>1.6000000000000001E-4</v>
      </c>
      <c r="AL447" s="138">
        <f t="shared" si="316"/>
        <v>1.6000000000000001E-4</v>
      </c>
      <c r="AM447" s="138">
        <f t="shared" si="317"/>
        <v>1.6000000000000001E-4</v>
      </c>
      <c r="AO447" s="77" t="str">
        <f t="shared" si="274"/>
        <v>BGS-2 (Non-Residential)</v>
      </c>
      <c r="AP447" s="78" t="s">
        <v>687</v>
      </c>
      <c r="AQ447" s="77" t="str">
        <f t="shared" si="275"/>
        <v>Rider PER - Procurement Charge Secondary</v>
      </c>
      <c r="AR447" s="78" t="str">
        <f t="shared" si="276"/>
        <v>Prorated</v>
      </c>
      <c r="AS447" s="79">
        <f t="shared" si="277"/>
        <v>6</v>
      </c>
      <c r="AT447" s="78">
        <f t="shared" si="278"/>
        <v>0</v>
      </c>
      <c r="AU447" s="78">
        <f t="shared" si="279"/>
        <v>1.6000000000000001E-4</v>
      </c>
      <c r="AV447" s="78">
        <f t="shared" si="280"/>
        <v>1.6000000000000001E-4</v>
      </c>
      <c r="AW447" s="78">
        <f t="shared" si="281"/>
        <v>1.6000000000000001E-4</v>
      </c>
      <c r="AX447" s="78">
        <f t="shared" si="282"/>
        <v>1.6000000000000001E-4</v>
      </c>
      <c r="AY447" s="78">
        <f t="shared" si="283"/>
        <v>1.6000000000000001E-4</v>
      </c>
      <c r="AZ447" s="78">
        <f t="shared" si="284"/>
        <v>1.6000000000000001E-4</v>
      </c>
      <c r="BA447" s="78">
        <f t="shared" si="285"/>
        <v>1.6000000000000001E-4</v>
      </c>
      <c r="BB447" s="78">
        <f t="shared" si="286"/>
        <v>1.6000000000000001E-4</v>
      </c>
      <c r="BC447" s="78">
        <f t="shared" si="287"/>
        <v>1.6000000000000001E-4</v>
      </c>
      <c r="BD447" s="78">
        <f t="shared" si="288"/>
        <v>1.6000000000000001E-4</v>
      </c>
      <c r="BE447" s="78">
        <f t="shared" si="289"/>
        <v>1.6000000000000001E-4</v>
      </c>
      <c r="BF447" s="78">
        <f t="shared" si="290"/>
        <v>1.6000000000000001E-4</v>
      </c>
      <c r="BG447" s="78">
        <f t="shared" si="291"/>
        <v>1.6000000000000001E-4</v>
      </c>
      <c r="BH447" s="78">
        <f t="shared" si="292"/>
        <v>1.6000000000000001E-4</v>
      </c>
      <c r="BI447" s="78">
        <f t="shared" si="293"/>
        <v>1.6000000000000001E-4</v>
      </c>
      <c r="BJ447" s="78">
        <f t="shared" si="294"/>
        <v>1.6000000000000001E-4</v>
      </c>
      <c r="BK447" s="78">
        <f t="shared" si="295"/>
        <v>1.6000000000000001E-4</v>
      </c>
      <c r="BL447" s="78">
        <f t="shared" si="296"/>
        <v>1.6000000000000001E-4</v>
      </c>
      <c r="BM447" s="78">
        <f t="shared" si="297"/>
        <v>1.6000000000000001E-4</v>
      </c>
      <c r="BN447" s="78">
        <f t="shared" si="298"/>
        <v>1.6000000000000001E-4</v>
      </c>
      <c r="BO447" s="78">
        <f t="shared" si="299"/>
        <v>1.6000000000000001E-4</v>
      </c>
      <c r="BP447" s="78">
        <f t="shared" si="300"/>
        <v>1.6000000000000001E-4</v>
      </c>
      <c r="BQ447" s="78">
        <f t="shared" si="301"/>
        <v>1.6000000000000001E-4</v>
      </c>
      <c r="BR447" s="78">
        <f t="shared" si="302"/>
        <v>1.6000000000000001E-4</v>
      </c>
      <c r="BS447" s="77"/>
      <c r="BT447" s="77"/>
    </row>
    <row r="448" spans="1:72" ht="14.1" customHeight="1" x14ac:dyDescent="0.2">
      <c r="A448" s="55" t="str">
        <f t="shared" si="273"/>
        <v>RTP-2 (Non-Residential)_Rider PER - Procurement Charge Secondary</v>
      </c>
      <c r="B448" s="80" t="s">
        <v>830</v>
      </c>
      <c r="C448" s="71" t="s">
        <v>859</v>
      </c>
      <c r="D448" s="150"/>
      <c r="E448" s="81"/>
      <c r="F448" s="73" t="s">
        <v>640</v>
      </c>
      <c r="G448" s="73">
        <v>0</v>
      </c>
      <c r="H448" s="73">
        <v>6</v>
      </c>
      <c r="I448" s="74" t="s">
        <v>641</v>
      </c>
      <c r="J448" s="75" t="s">
        <v>634</v>
      </c>
      <c r="K448" s="74"/>
      <c r="L448" s="82">
        <v>1.3999999999999999E-4</v>
      </c>
      <c r="M448" s="138">
        <v>1.6000000000000001E-4</v>
      </c>
      <c r="N448" s="138">
        <v>1.6000000000000001E-4</v>
      </c>
      <c r="O448" s="138">
        <v>1.6000000000000001E-4</v>
      </c>
      <c r="P448" s="138">
        <v>1.6000000000000001E-4</v>
      </c>
      <c r="Q448" s="138">
        <v>1.6000000000000001E-4</v>
      </c>
      <c r="R448" s="138">
        <v>1.6000000000000001E-4</v>
      </c>
      <c r="S448" s="138">
        <v>1.6000000000000001E-4</v>
      </c>
      <c r="T448" s="138">
        <v>1.6000000000000001E-4</v>
      </c>
      <c r="U448" s="138">
        <v>1.6000000000000001E-4</v>
      </c>
      <c r="V448" s="138">
        <v>1.6000000000000001E-4</v>
      </c>
      <c r="W448" s="138">
        <v>1.6000000000000001E-4</v>
      </c>
      <c r="X448" s="138">
        <v>1.6000000000000001E-4</v>
      </c>
      <c r="Y448" s="138">
        <f t="shared" si="303"/>
        <v>1.6000000000000001E-4</v>
      </c>
      <c r="Z448" s="138">
        <f t="shared" si="304"/>
        <v>1.6000000000000001E-4</v>
      </c>
      <c r="AA448" s="138">
        <f t="shared" si="305"/>
        <v>1.6000000000000001E-4</v>
      </c>
      <c r="AB448" s="138">
        <f t="shared" si="306"/>
        <v>1.6000000000000001E-4</v>
      </c>
      <c r="AC448" s="138">
        <f t="shared" si="307"/>
        <v>1.6000000000000001E-4</v>
      </c>
      <c r="AD448" s="138">
        <f t="shared" si="308"/>
        <v>1.6000000000000001E-4</v>
      </c>
      <c r="AE448" s="138">
        <f t="shared" si="309"/>
        <v>1.6000000000000001E-4</v>
      </c>
      <c r="AF448" s="138">
        <f t="shared" si="310"/>
        <v>1.6000000000000001E-4</v>
      </c>
      <c r="AG448" s="138">
        <f t="shared" si="311"/>
        <v>1.6000000000000001E-4</v>
      </c>
      <c r="AH448" s="138">
        <f t="shared" si="312"/>
        <v>1.6000000000000001E-4</v>
      </c>
      <c r="AI448" s="138">
        <f t="shared" si="313"/>
        <v>1.6000000000000001E-4</v>
      </c>
      <c r="AJ448" s="138">
        <f t="shared" si="314"/>
        <v>1.6000000000000001E-4</v>
      </c>
      <c r="AK448" s="138">
        <f t="shared" si="315"/>
        <v>1.6000000000000001E-4</v>
      </c>
      <c r="AL448" s="138">
        <f t="shared" si="316"/>
        <v>1.6000000000000001E-4</v>
      </c>
      <c r="AM448" s="138">
        <f t="shared" si="317"/>
        <v>1.6000000000000001E-4</v>
      </c>
      <c r="AO448" s="77" t="str">
        <f t="shared" si="274"/>
        <v>RTP-2 (Non-Residential)</v>
      </c>
      <c r="AP448" s="78" t="s">
        <v>831</v>
      </c>
      <c r="AQ448" s="77" t="str">
        <f t="shared" si="275"/>
        <v>Rider PER - Procurement Charge Secondary</v>
      </c>
      <c r="AR448" s="78" t="str">
        <f t="shared" si="276"/>
        <v>Prorated</v>
      </c>
      <c r="AS448" s="79">
        <f t="shared" si="277"/>
        <v>6</v>
      </c>
      <c r="AT448" s="78">
        <f t="shared" si="278"/>
        <v>0</v>
      </c>
      <c r="AU448" s="78">
        <f t="shared" si="279"/>
        <v>1.6000000000000001E-4</v>
      </c>
      <c r="AV448" s="78">
        <f t="shared" si="280"/>
        <v>1.6000000000000001E-4</v>
      </c>
      <c r="AW448" s="78">
        <f t="shared" si="281"/>
        <v>1.6000000000000001E-4</v>
      </c>
      <c r="AX448" s="78">
        <f t="shared" si="282"/>
        <v>1.6000000000000001E-4</v>
      </c>
      <c r="AY448" s="78">
        <f t="shared" si="283"/>
        <v>1.6000000000000001E-4</v>
      </c>
      <c r="AZ448" s="78">
        <f t="shared" si="284"/>
        <v>1.6000000000000001E-4</v>
      </c>
      <c r="BA448" s="78">
        <f t="shared" si="285"/>
        <v>1.6000000000000001E-4</v>
      </c>
      <c r="BB448" s="78">
        <f t="shared" si="286"/>
        <v>1.6000000000000001E-4</v>
      </c>
      <c r="BC448" s="78">
        <f t="shared" si="287"/>
        <v>1.6000000000000001E-4</v>
      </c>
      <c r="BD448" s="78">
        <f t="shared" si="288"/>
        <v>1.6000000000000001E-4</v>
      </c>
      <c r="BE448" s="78">
        <f t="shared" si="289"/>
        <v>1.6000000000000001E-4</v>
      </c>
      <c r="BF448" s="78">
        <f t="shared" si="290"/>
        <v>1.6000000000000001E-4</v>
      </c>
      <c r="BG448" s="78">
        <f t="shared" si="291"/>
        <v>1.6000000000000001E-4</v>
      </c>
      <c r="BH448" s="78">
        <f t="shared" si="292"/>
        <v>1.6000000000000001E-4</v>
      </c>
      <c r="BI448" s="78">
        <f t="shared" si="293"/>
        <v>1.6000000000000001E-4</v>
      </c>
      <c r="BJ448" s="78">
        <f t="shared" si="294"/>
        <v>1.6000000000000001E-4</v>
      </c>
      <c r="BK448" s="78">
        <f t="shared" si="295"/>
        <v>1.6000000000000001E-4</v>
      </c>
      <c r="BL448" s="78">
        <f t="shared" si="296"/>
        <v>1.6000000000000001E-4</v>
      </c>
      <c r="BM448" s="78">
        <f t="shared" si="297"/>
        <v>1.6000000000000001E-4</v>
      </c>
      <c r="BN448" s="78">
        <f t="shared" si="298"/>
        <v>1.6000000000000001E-4</v>
      </c>
      <c r="BO448" s="78">
        <f t="shared" si="299"/>
        <v>1.6000000000000001E-4</v>
      </c>
      <c r="BP448" s="78">
        <f t="shared" si="300"/>
        <v>1.6000000000000001E-4</v>
      </c>
      <c r="BQ448" s="78">
        <f t="shared" si="301"/>
        <v>1.6000000000000001E-4</v>
      </c>
      <c r="BR448" s="78">
        <f t="shared" si="302"/>
        <v>1.6000000000000001E-4</v>
      </c>
      <c r="BS448" s="77"/>
      <c r="BT448" s="77"/>
    </row>
    <row r="449" spans="1:72" ht="14.1" customHeight="1" x14ac:dyDescent="0.2">
      <c r="A449" s="55" t="str">
        <f t="shared" si="273"/>
        <v>BGS-1 (Residential)_Rider PER - Uncollectible Adjustment</v>
      </c>
      <c r="B449" s="80" t="s">
        <v>677</v>
      </c>
      <c r="C449" s="71" t="s">
        <v>860</v>
      </c>
      <c r="D449" s="150" t="s">
        <v>576</v>
      </c>
      <c r="E449" s="81"/>
      <c r="F449" s="73" t="s">
        <v>640</v>
      </c>
      <c r="G449" s="73">
        <v>0</v>
      </c>
      <c r="H449" s="73">
        <v>6</v>
      </c>
      <c r="I449" s="74" t="s">
        <v>641</v>
      </c>
      <c r="J449" s="75" t="s">
        <v>634</v>
      </c>
      <c r="K449" s="74"/>
      <c r="L449" s="82">
        <v>-3.3E-4</v>
      </c>
      <c r="M449" s="138">
        <v>2.0500000000000002E-3</v>
      </c>
      <c r="N449" s="138">
        <v>2.0500000000000002E-3</v>
      </c>
      <c r="O449" s="138">
        <v>2.0500000000000002E-3</v>
      </c>
      <c r="P449" s="138">
        <v>2.0500000000000002E-3</v>
      </c>
      <c r="Q449" s="138">
        <v>2.0500000000000002E-3</v>
      </c>
      <c r="R449" s="138">
        <v>1.8699999999999999E-3</v>
      </c>
      <c r="S449" s="138">
        <v>1.8699999999999999E-3</v>
      </c>
      <c r="T449" s="138">
        <v>1.8699999999999999E-3</v>
      </c>
      <c r="U449" s="138">
        <v>1.8699999999999999E-3</v>
      </c>
      <c r="V449" s="138">
        <v>1.8600000000000001E-3</v>
      </c>
      <c r="W449" s="138">
        <v>1.8600000000000001E-3</v>
      </c>
      <c r="X449" s="138">
        <v>1.8600000000000001E-3</v>
      </c>
      <c r="Y449" s="138">
        <f t="shared" si="303"/>
        <v>1.8600000000000001E-3</v>
      </c>
      <c r="Z449" s="138">
        <f t="shared" si="304"/>
        <v>1.8600000000000001E-3</v>
      </c>
      <c r="AA449" s="138">
        <f t="shared" si="305"/>
        <v>1.8600000000000001E-3</v>
      </c>
      <c r="AB449" s="138">
        <f t="shared" si="306"/>
        <v>1.8600000000000001E-3</v>
      </c>
      <c r="AC449" s="138">
        <f t="shared" si="307"/>
        <v>1.8600000000000001E-3</v>
      </c>
      <c r="AD449" s="138">
        <f t="shared" si="308"/>
        <v>1.8600000000000001E-3</v>
      </c>
      <c r="AE449" s="138">
        <f t="shared" si="309"/>
        <v>1.8600000000000001E-3</v>
      </c>
      <c r="AF449" s="138">
        <f t="shared" si="310"/>
        <v>1.8600000000000001E-3</v>
      </c>
      <c r="AG449" s="138">
        <f t="shared" si="311"/>
        <v>1.8600000000000001E-3</v>
      </c>
      <c r="AH449" s="138">
        <f t="shared" si="312"/>
        <v>1.8600000000000001E-3</v>
      </c>
      <c r="AI449" s="138">
        <f t="shared" si="313"/>
        <v>1.8600000000000001E-3</v>
      </c>
      <c r="AJ449" s="138">
        <f t="shared" si="314"/>
        <v>1.8600000000000001E-3</v>
      </c>
      <c r="AK449" s="138">
        <f t="shared" si="315"/>
        <v>1.8600000000000001E-3</v>
      </c>
      <c r="AL449" s="138">
        <f t="shared" si="316"/>
        <v>1.8600000000000003E-3</v>
      </c>
      <c r="AM449" s="138">
        <f t="shared" si="317"/>
        <v>1.8933333333333337E-3</v>
      </c>
      <c r="AO449" s="77" t="str">
        <f t="shared" si="274"/>
        <v>BGS-1 (Residential)</v>
      </c>
      <c r="AP449" s="78" t="s">
        <v>679</v>
      </c>
      <c r="AQ449" s="77" t="str">
        <f t="shared" si="275"/>
        <v>Rider PER - Uncollectible Adjustment</v>
      </c>
      <c r="AR449" s="78" t="str">
        <f t="shared" si="276"/>
        <v>Prorated</v>
      </c>
      <c r="AS449" s="79">
        <f t="shared" si="277"/>
        <v>6</v>
      </c>
      <c r="AT449" s="78">
        <f t="shared" si="278"/>
        <v>0</v>
      </c>
      <c r="AU449" s="78">
        <f t="shared" si="279"/>
        <v>2.0500000000000002E-3</v>
      </c>
      <c r="AV449" s="78">
        <f t="shared" si="280"/>
        <v>2.0500000000000002E-3</v>
      </c>
      <c r="AW449" s="78">
        <f t="shared" si="281"/>
        <v>2.0500000000000002E-3</v>
      </c>
      <c r="AX449" s="78">
        <f t="shared" si="282"/>
        <v>2.0500000000000002E-3</v>
      </c>
      <c r="AY449" s="78">
        <f t="shared" si="283"/>
        <v>2.0500000000000002E-3</v>
      </c>
      <c r="AZ449" s="78">
        <f t="shared" si="284"/>
        <v>1.8699999999999999E-3</v>
      </c>
      <c r="BA449" s="78">
        <f t="shared" si="285"/>
        <v>1.8699999999999999E-3</v>
      </c>
      <c r="BB449" s="78">
        <f t="shared" si="286"/>
        <v>1.8699999999999999E-3</v>
      </c>
      <c r="BC449" s="78">
        <f t="shared" si="287"/>
        <v>1.8699999999999999E-3</v>
      </c>
      <c r="BD449" s="78">
        <f t="shared" si="288"/>
        <v>1.8600000000000001E-3</v>
      </c>
      <c r="BE449" s="78">
        <f t="shared" si="289"/>
        <v>1.8600000000000001E-3</v>
      </c>
      <c r="BF449" s="78">
        <f t="shared" si="290"/>
        <v>1.8600000000000001E-3</v>
      </c>
      <c r="BG449" s="78">
        <f t="shared" si="291"/>
        <v>1.8600000000000001E-3</v>
      </c>
      <c r="BH449" s="78">
        <f t="shared" si="292"/>
        <v>1.8600000000000001E-3</v>
      </c>
      <c r="BI449" s="78">
        <f t="shared" si="293"/>
        <v>1.8600000000000001E-3</v>
      </c>
      <c r="BJ449" s="78">
        <f t="shared" si="294"/>
        <v>1.8600000000000001E-3</v>
      </c>
      <c r="BK449" s="78">
        <f t="shared" si="295"/>
        <v>1.8600000000000001E-3</v>
      </c>
      <c r="BL449" s="78">
        <f t="shared" si="296"/>
        <v>1.8600000000000001E-3</v>
      </c>
      <c r="BM449" s="78">
        <f t="shared" si="297"/>
        <v>1.8600000000000001E-3</v>
      </c>
      <c r="BN449" s="78">
        <f t="shared" si="298"/>
        <v>1.8600000000000001E-3</v>
      </c>
      <c r="BO449" s="78">
        <f t="shared" si="299"/>
        <v>1.8600000000000001E-3</v>
      </c>
      <c r="BP449" s="78">
        <f t="shared" si="300"/>
        <v>1.8600000000000001E-3</v>
      </c>
      <c r="BQ449" s="78">
        <f t="shared" si="301"/>
        <v>1.8600000000000001E-3</v>
      </c>
      <c r="BR449" s="78">
        <f t="shared" si="302"/>
        <v>1.8600000000000001E-3</v>
      </c>
      <c r="BS449" s="77">
        <v>4000000</v>
      </c>
      <c r="BT449" s="77" t="s">
        <v>654</v>
      </c>
    </row>
    <row r="450" spans="1:72" ht="14.1" customHeight="1" x14ac:dyDescent="0.2">
      <c r="A450" s="55" t="str">
        <f t="shared" si="273"/>
        <v>RTP-1 (Residential)_Rider PER - Uncollectible Adjustment</v>
      </c>
      <c r="B450" s="80" t="s">
        <v>828</v>
      </c>
      <c r="C450" s="71" t="s">
        <v>860</v>
      </c>
      <c r="D450" s="150"/>
      <c r="E450" s="81"/>
      <c r="F450" s="73" t="s">
        <v>640</v>
      </c>
      <c r="G450" s="73">
        <v>0</v>
      </c>
      <c r="H450" s="73">
        <v>6</v>
      </c>
      <c r="I450" s="74" t="s">
        <v>641</v>
      </c>
      <c r="J450" s="75" t="s">
        <v>634</v>
      </c>
      <c r="K450" s="74"/>
      <c r="L450" s="82">
        <v>-3.3E-4</v>
      </c>
      <c r="M450" s="138">
        <v>2.0500000000000002E-3</v>
      </c>
      <c r="N450" s="138">
        <v>2.0500000000000002E-3</v>
      </c>
      <c r="O450" s="138">
        <v>2.0500000000000002E-3</v>
      </c>
      <c r="P450" s="138">
        <v>2.0500000000000002E-3</v>
      </c>
      <c r="Q450" s="138">
        <v>2.0500000000000002E-3</v>
      </c>
      <c r="R450" s="138">
        <v>1.8699999999999999E-3</v>
      </c>
      <c r="S450" s="138">
        <v>1.8699999999999999E-3</v>
      </c>
      <c r="T450" s="138">
        <v>1.8699999999999999E-3</v>
      </c>
      <c r="U450" s="138">
        <v>1.8699999999999999E-3</v>
      </c>
      <c r="V450" s="138">
        <v>1.8600000000000001E-3</v>
      </c>
      <c r="W450" s="138">
        <v>1.8600000000000001E-3</v>
      </c>
      <c r="X450" s="138">
        <v>1.8600000000000001E-3</v>
      </c>
      <c r="Y450" s="138">
        <f t="shared" si="303"/>
        <v>1.8600000000000001E-3</v>
      </c>
      <c r="Z450" s="138">
        <f t="shared" si="304"/>
        <v>1.8600000000000001E-3</v>
      </c>
      <c r="AA450" s="138">
        <f t="shared" si="305"/>
        <v>1.8600000000000001E-3</v>
      </c>
      <c r="AB450" s="138">
        <f t="shared" si="306"/>
        <v>1.8600000000000001E-3</v>
      </c>
      <c r="AC450" s="138">
        <f t="shared" si="307"/>
        <v>1.8600000000000001E-3</v>
      </c>
      <c r="AD450" s="138">
        <f t="shared" si="308"/>
        <v>1.8600000000000001E-3</v>
      </c>
      <c r="AE450" s="138">
        <f t="shared" si="309"/>
        <v>1.8600000000000001E-3</v>
      </c>
      <c r="AF450" s="138">
        <f t="shared" si="310"/>
        <v>1.8600000000000001E-3</v>
      </c>
      <c r="AG450" s="138">
        <f t="shared" si="311"/>
        <v>1.8600000000000001E-3</v>
      </c>
      <c r="AH450" s="138">
        <f t="shared" si="312"/>
        <v>1.8600000000000001E-3</v>
      </c>
      <c r="AI450" s="138">
        <f t="shared" si="313"/>
        <v>1.8600000000000001E-3</v>
      </c>
      <c r="AJ450" s="138">
        <f t="shared" si="314"/>
        <v>1.8600000000000001E-3</v>
      </c>
      <c r="AK450" s="138">
        <f t="shared" si="315"/>
        <v>1.8600000000000001E-3</v>
      </c>
      <c r="AL450" s="138">
        <f t="shared" si="316"/>
        <v>1.8600000000000003E-3</v>
      </c>
      <c r="AM450" s="138">
        <f t="shared" si="317"/>
        <v>1.8933333333333337E-3</v>
      </c>
      <c r="AO450" s="77" t="str">
        <f t="shared" si="274"/>
        <v>RTP-1 (Residential)</v>
      </c>
      <c r="AP450" s="78" t="s">
        <v>829</v>
      </c>
      <c r="AQ450" s="77" t="str">
        <f t="shared" si="275"/>
        <v>Rider PER - Uncollectible Adjustment</v>
      </c>
      <c r="AR450" s="78" t="str">
        <f t="shared" si="276"/>
        <v>Prorated</v>
      </c>
      <c r="AS450" s="79">
        <f t="shared" si="277"/>
        <v>6</v>
      </c>
      <c r="AT450" s="78">
        <f t="shared" si="278"/>
        <v>0</v>
      </c>
      <c r="AU450" s="78">
        <f t="shared" si="279"/>
        <v>2.0500000000000002E-3</v>
      </c>
      <c r="AV450" s="78">
        <f t="shared" si="280"/>
        <v>2.0500000000000002E-3</v>
      </c>
      <c r="AW450" s="78">
        <f t="shared" si="281"/>
        <v>2.0500000000000002E-3</v>
      </c>
      <c r="AX450" s="78">
        <f t="shared" si="282"/>
        <v>2.0500000000000002E-3</v>
      </c>
      <c r="AY450" s="78">
        <f t="shared" si="283"/>
        <v>2.0500000000000002E-3</v>
      </c>
      <c r="AZ450" s="78">
        <f t="shared" si="284"/>
        <v>1.8699999999999999E-3</v>
      </c>
      <c r="BA450" s="78">
        <f t="shared" si="285"/>
        <v>1.8699999999999999E-3</v>
      </c>
      <c r="BB450" s="78">
        <f t="shared" si="286"/>
        <v>1.8699999999999999E-3</v>
      </c>
      <c r="BC450" s="78">
        <f t="shared" si="287"/>
        <v>1.8699999999999999E-3</v>
      </c>
      <c r="BD450" s="78">
        <f t="shared" si="288"/>
        <v>1.8600000000000001E-3</v>
      </c>
      <c r="BE450" s="78">
        <f t="shared" si="289"/>
        <v>1.8600000000000001E-3</v>
      </c>
      <c r="BF450" s="78">
        <f t="shared" si="290"/>
        <v>1.8600000000000001E-3</v>
      </c>
      <c r="BG450" s="78">
        <f t="shared" si="291"/>
        <v>1.8600000000000001E-3</v>
      </c>
      <c r="BH450" s="78">
        <f t="shared" si="292"/>
        <v>1.8600000000000001E-3</v>
      </c>
      <c r="BI450" s="78">
        <f t="shared" si="293"/>
        <v>1.8600000000000001E-3</v>
      </c>
      <c r="BJ450" s="78">
        <f t="shared" si="294"/>
        <v>1.8600000000000001E-3</v>
      </c>
      <c r="BK450" s="78">
        <f t="shared" si="295"/>
        <v>1.8600000000000001E-3</v>
      </c>
      <c r="BL450" s="78">
        <f t="shared" si="296"/>
        <v>1.8600000000000001E-3</v>
      </c>
      <c r="BM450" s="78">
        <f t="shared" si="297"/>
        <v>1.8600000000000001E-3</v>
      </c>
      <c r="BN450" s="78">
        <f t="shared" si="298"/>
        <v>1.8600000000000001E-3</v>
      </c>
      <c r="BO450" s="78">
        <f t="shared" si="299"/>
        <v>1.8600000000000001E-3</v>
      </c>
      <c r="BP450" s="78">
        <f t="shared" si="300"/>
        <v>1.8600000000000001E-3</v>
      </c>
      <c r="BQ450" s="78">
        <f t="shared" si="301"/>
        <v>1.8600000000000001E-3</v>
      </c>
      <c r="BR450" s="78">
        <f t="shared" si="302"/>
        <v>1.8600000000000001E-3</v>
      </c>
      <c r="BS450" s="77">
        <v>4000000</v>
      </c>
      <c r="BT450" s="77" t="s">
        <v>684</v>
      </c>
    </row>
    <row r="451" spans="1:72" ht="14.1" customHeight="1" x14ac:dyDescent="0.2">
      <c r="A451" s="55" t="str">
        <f t="shared" si="273"/>
        <v>DS-5 (Lighting Service)_Rider PER - Uncollectible Adjustment</v>
      </c>
      <c r="B451" s="80" t="s">
        <v>647</v>
      </c>
      <c r="C451" s="71" t="s">
        <v>860</v>
      </c>
      <c r="D451" s="150"/>
      <c r="E451" s="81"/>
      <c r="F451" s="73" t="s">
        <v>640</v>
      </c>
      <c r="G451" s="73">
        <v>0</v>
      </c>
      <c r="H451" s="73">
        <v>6</v>
      </c>
      <c r="I451" s="74" t="s">
        <v>641</v>
      </c>
      <c r="J451" s="75" t="s">
        <v>634</v>
      </c>
      <c r="K451" s="74"/>
      <c r="L451" s="82">
        <v>-3.0000000000000001E-5</v>
      </c>
      <c r="M451" s="138">
        <v>2.3000000000000001E-4</v>
      </c>
      <c r="N451" s="138">
        <v>2.3000000000000001E-4</v>
      </c>
      <c r="O451" s="138">
        <v>2.3000000000000001E-4</v>
      </c>
      <c r="P451" s="138">
        <v>2.3000000000000001E-4</v>
      </c>
      <c r="Q451" s="138">
        <v>2.3000000000000001E-4</v>
      </c>
      <c r="R451" s="138">
        <v>2.1000000000000001E-4</v>
      </c>
      <c r="S451" s="138">
        <v>2.1000000000000001E-4</v>
      </c>
      <c r="T451" s="138">
        <v>2.1000000000000001E-4</v>
      </c>
      <c r="U451" s="138">
        <v>2.1000000000000001E-4</v>
      </c>
      <c r="V451" s="138">
        <v>2.0000000000000001E-4</v>
      </c>
      <c r="W451" s="138">
        <v>2.0000000000000001E-4</v>
      </c>
      <c r="X451" s="138">
        <v>2.0000000000000001E-4</v>
      </c>
      <c r="Y451" s="138">
        <f t="shared" si="303"/>
        <v>2.0000000000000001E-4</v>
      </c>
      <c r="Z451" s="138">
        <f t="shared" si="304"/>
        <v>2.0000000000000001E-4</v>
      </c>
      <c r="AA451" s="138">
        <f t="shared" si="305"/>
        <v>2.0000000000000001E-4</v>
      </c>
      <c r="AB451" s="138">
        <f t="shared" si="306"/>
        <v>2.0000000000000001E-4</v>
      </c>
      <c r="AC451" s="138">
        <f t="shared" si="307"/>
        <v>2.0000000000000001E-4</v>
      </c>
      <c r="AD451" s="138">
        <f t="shared" si="308"/>
        <v>2.0000000000000001E-4</v>
      </c>
      <c r="AE451" s="138">
        <f t="shared" si="309"/>
        <v>2.0000000000000001E-4</v>
      </c>
      <c r="AF451" s="138">
        <f t="shared" si="310"/>
        <v>2.0000000000000001E-4</v>
      </c>
      <c r="AG451" s="138">
        <f t="shared" si="311"/>
        <v>2.0000000000000001E-4</v>
      </c>
      <c r="AH451" s="138">
        <f t="shared" si="312"/>
        <v>2.0000000000000001E-4</v>
      </c>
      <c r="AI451" s="138">
        <f t="shared" si="313"/>
        <v>2.0000000000000001E-4</v>
      </c>
      <c r="AJ451" s="138">
        <f t="shared" si="314"/>
        <v>2.0000000000000001E-4</v>
      </c>
      <c r="AK451" s="138">
        <f t="shared" si="315"/>
        <v>2.0000000000000001E-4</v>
      </c>
      <c r="AL451" s="138">
        <f t="shared" si="316"/>
        <v>2.0000000000000006E-4</v>
      </c>
      <c r="AM451" s="138">
        <f t="shared" si="317"/>
        <v>2.0666666666666663E-4</v>
      </c>
      <c r="AO451" s="77" t="str">
        <f t="shared" si="274"/>
        <v>DS-5 (Lighting Service)</v>
      </c>
      <c r="AP451" s="78" t="s">
        <v>650</v>
      </c>
      <c r="AQ451" s="77" t="str">
        <f t="shared" si="275"/>
        <v>Rider PER - Uncollectible Adjustment</v>
      </c>
      <c r="AR451" s="78" t="str">
        <f t="shared" si="276"/>
        <v>Prorated</v>
      </c>
      <c r="AS451" s="79">
        <f t="shared" si="277"/>
        <v>6</v>
      </c>
      <c r="AT451" s="78">
        <f t="shared" si="278"/>
        <v>0</v>
      </c>
      <c r="AU451" s="78">
        <f t="shared" si="279"/>
        <v>2.3000000000000001E-4</v>
      </c>
      <c r="AV451" s="78">
        <f t="shared" si="280"/>
        <v>2.3000000000000001E-4</v>
      </c>
      <c r="AW451" s="78">
        <f t="shared" si="281"/>
        <v>2.3000000000000001E-4</v>
      </c>
      <c r="AX451" s="78">
        <f t="shared" si="282"/>
        <v>2.3000000000000001E-4</v>
      </c>
      <c r="AY451" s="78">
        <f t="shared" si="283"/>
        <v>2.3000000000000001E-4</v>
      </c>
      <c r="AZ451" s="78">
        <f t="shared" si="284"/>
        <v>2.1000000000000001E-4</v>
      </c>
      <c r="BA451" s="78">
        <f t="shared" si="285"/>
        <v>2.1000000000000001E-4</v>
      </c>
      <c r="BB451" s="78">
        <f t="shared" si="286"/>
        <v>2.1000000000000001E-4</v>
      </c>
      <c r="BC451" s="78">
        <f t="shared" si="287"/>
        <v>2.1000000000000001E-4</v>
      </c>
      <c r="BD451" s="78">
        <f t="shared" si="288"/>
        <v>2.0000000000000001E-4</v>
      </c>
      <c r="BE451" s="78">
        <f t="shared" si="289"/>
        <v>2.0000000000000001E-4</v>
      </c>
      <c r="BF451" s="78">
        <f t="shared" si="290"/>
        <v>2.0000000000000001E-4</v>
      </c>
      <c r="BG451" s="78">
        <f t="shared" si="291"/>
        <v>2.0000000000000001E-4</v>
      </c>
      <c r="BH451" s="78">
        <f t="shared" si="292"/>
        <v>2.0000000000000001E-4</v>
      </c>
      <c r="BI451" s="78">
        <f t="shared" si="293"/>
        <v>2.0000000000000001E-4</v>
      </c>
      <c r="BJ451" s="78">
        <f t="shared" si="294"/>
        <v>2.0000000000000001E-4</v>
      </c>
      <c r="BK451" s="78">
        <f t="shared" si="295"/>
        <v>2.0000000000000001E-4</v>
      </c>
      <c r="BL451" s="78">
        <f t="shared" si="296"/>
        <v>2.0000000000000001E-4</v>
      </c>
      <c r="BM451" s="78">
        <f t="shared" si="297"/>
        <v>2.0000000000000001E-4</v>
      </c>
      <c r="BN451" s="78">
        <f t="shared" si="298"/>
        <v>2.0000000000000001E-4</v>
      </c>
      <c r="BO451" s="78">
        <f t="shared" si="299"/>
        <v>2.0000000000000001E-4</v>
      </c>
      <c r="BP451" s="78">
        <f t="shared" si="300"/>
        <v>2.0000000000000001E-4</v>
      </c>
      <c r="BQ451" s="78">
        <f t="shared" si="301"/>
        <v>2.0000000000000001E-4</v>
      </c>
      <c r="BR451" s="78">
        <f t="shared" si="302"/>
        <v>2.0000000000000001E-4</v>
      </c>
      <c r="BS451" s="77"/>
      <c r="BT451" s="77"/>
    </row>
    <row r="452" spans="1:72" ht="14.1" customHeight="1" x14ac:dyDescent="0.2">
      <c r="A452" s="55" t="str">
        <f t="shared" si="273"/>
        <v>BGS-2 (Non-Residential)_Rider PER - Uncollectible Adjustment High Voltage</v>
      </c>
      <c r="B452" s="80" t="s">
        <v>685</v>
      </c>
      <c r="C452" s="71" t="s">
        <v>861</v>
      </c>
      <c r="D452" s="150"/>
      <c r="E452" s="81"/>
      <c r="F452" s="73" t="s">
        <v>640</v>
      </c>
      <c r="G452" s="73">
        <v>0</v>
      </c>
      <c r="H452" s="73">
        <v>6</v>
      </c>
      <c r="I452" s="74" t="s">
        <v>641</v>
      </c>
      <c r="J452" s="75" t="s">
        <v>634</v>
      </c>
      <c r="K452" s="74"/>
      <c r="L452" s="82">
        <v>-4.0000000000000003E-5</v>
      </c>
      <c r="M452" s="138">
        <v>2.9999999999999997E-4</v>
      </c>
      <c r="N452" s="138">
        <v>2.9999999999999997E-4</v>
      </c>
      <c r="O452" s="138">
        <v>2.9999999999999997E-4</v>
      </c>
      <c r="P452" s="138">
        <v>2.9999999999999997E-4</v>
      </c>
      <c r="Q452" s="138">
        <v>2.9999999999999997E-4</v>
      </c>
      <c r="R452" s="138">
        <v>2.7E-4</v>
      </c>
      <c r="S452" s="138">
        <v>2.7E-4</v>
      </c>
      <c r="T452" s="138">
        <v>2.7E-4</v>
      </c>
      <c r="U452" s="138">
        <v>2.7E-4</v>
      </c>
      <c r="V452" s="138">
        <v>2.7E-4</v>
      </c>
      <c r="W452" s="138">
        <v>2.7E-4</v>
      </c>
      <c r="X452" s="138">
        <v>2.7E-4</v>
      </c>
      <c r="Y452" s="138">
        <f t="shared" si="303"/>
        <v>2.7E-4</v>
      </c>
      <c r="Z452" s="138">
        <f t="shared" si="304"/>
        <v>2.7E-4</v>
      </c>
      <c r="AA452" s="138">
        <f t="shared" si="305"/>
        <v>2.7E-4</v>
      </c>
      <c r="AB452" s="138">
        <f t="shared" si="306"/>
        <v>2.7E-4</v>
      </c>
      <c r="AC452" s="138">
        <f t="shared" si="307"/>
        <v>2.7E-4</v>
      </c>
      <c r="AD452" s="138">
        <f t="shared" si="308"/>
        <v>2.7E-4</v>
      </c>
      <c r="AE452" s="138">
        <f t="shared" si="309"/>
        <v>2.7E-4</v>
      </c>
      <c r="AF452" s="138">
        <f t="shared" si="310"/>
        <v>2.7E-4</v>
      </c>
      <c r="AG452" s="138">
        <f t="shared" si="311"/>
        <v>2.7E-4</v>
      </c>
      <c r="AH452" s="138">
        <f t="shared" si="312"/>
        <v>2.7E-4</v>
      </c>
      <c r="AI452" s="138">
        <f t="shared" si="313"/>
        <v>2.7E-4</v>
      </c>
      <c r="AJ452" s="138">
        <f t="shared" si="314"/>
        <v>2.7E-4</v>
      </c>
      <c r="AK452" s="138">
        <f t="shared" si="315"/>
        <v>2.7E-4</v>
      </c>
      <c r="AL452" s="138">
        <f t="shared" si="316"/>
        <v>2.6999999999999995E-4</v>
      </c>
      <c r="AM452" s="138">
        <f t="shared" si="317"/>
        <v>2.7500000000000007E-4</v>
      </c>
      <c r="AO452" s="77" t="str">
        <f t="shared" si="274"/>
        <v>BGS-2 (Non-Residential)</v>
      </c>
      <c r="AP452" s="78" t="s">
        <v>687</v>
      </c>
      <c r="AQ452" s="77" t="str">
        <f t="shared" si="275"/>
        <v>Rider PER - Uncollectible Adjustment High Voltage</v>
      </c>
      <c r="AR452" s="78" t="str">
        <f t="shared" si="276"/>
        <v>Prorated</v>
      </c>
      <c r="AS452" s="79">
        <f t="shared" si="277"/>
        <v>6</v>
      </c>
      <c r="AT452" s="78">
        <f t="shared" si="278"/>
        <v>0</v>
      </c>
      <c r="AU452" s="78">
        <f t="shared" si="279"/>
        <v>2.9999999999999997E-4</v>
      </c>
      <c r="AV452" s="78">
        <f t="shared" si="280"/>
        <v>2.9999999999999997E-4</v>
      </c>
      <c r="AW452" s="78">
        <f t="shared" si="281"/>
        <v>2.9999999999999997E-4</v>
      </c>
      <c r="AX452" s="78">
        <f t="shared" si="282"/>
        <v>2.9999999999999997E-4</v>
      </c>
      <c r="AY452" s="78">
        <f t="shared" si="283"/>
        <v>2.9999999999999997E-4</v>
      </c>
      <c r="AZ452" s="78">
        <f t="shared" si="284"/>
        <v>2.7E-4</v>
      </c>
      <c r="BA452" s="78">
        <f t="shared" si="285"/>
        <v>2.7E-4</v>
      </c>
      <c r="BB452" s="78">
        <f t="shared" si="286"/>
        <v>2.7E-4</v>
      </c>
      <c r="BC452" s="78">
        <f t="shared" si="287"/>
        <v>2.7E-4</v>
      </c>
      <c r="BD452" s="78">
        <f t="shared" si="288"/>
        <v>2.7E-4</v>
      </c>
      <c r="BE452" s="78">
        <f t="shared" si="289"/>
        <v>2.7E-4</v>
      </c>
      <c r="BF452" s="78">
        <f t="shared" si="290"/>
        <v>2.7E-4</v>
      </c>
      <c r="BG452" s="78">
        <f t="shared" si="291"/>
        <v>2.7E-4</v>
      </c>
      <c r="BH452" s="78">
        <f t="shared" si="292"/>
        <v>2.7E-4</v>
      </c>
      <c r="BI452" s="78">
        <f t="shared" si="293"/>
        <v>2.7E-4</v>
      </c>
      <c r="BJ452" s="78">
        <f t="shared" si="294"/>
        <v>2.7E-4</v>
      </c>
      <c r="BK452" s="78">
        <f t="shared" si="295"/>
        <v>2.7E-4</v>
      </c>
      <c r="BL452" s="78">
        <f t="shared" si="296"/>
        <v>2.7E-4</v>
      </c>
      <c r="BM452" s="78">
        <f t="shared" si="297"/>
        <v>2.7E-4</v>
      </c>
      <c r="BN452" s="78">
        <f t="shared" si="298"/>
        <v>2.7E-4</v>
      </c>
      <c r="BO452" s="78">
        <f t="shared" si="299"/>
        <v>2.7E-4</v>
      </c>
      <c r="BP452" s="78">
        <f t="shared" si="300"/>
        <v>2.7E-4</v>
      </c>
      <c r="BQ452" s="78">
        <f t="shared" si="301"/>
        <v>2.7E-4</v>
      </c>
      <c r="BR452" s="78">
        <f t="shared" si="302"/>
        <v>2.7E-4</v>
      </c>
      <c r="BS452" s="77"/>
      <c r="BT452" s="77"/>
    </row>
    <row r="453" spans="1:72" ht="14.1" customHeight="1" x14ac:dyDescent="0.2">
      <c r="A453" s="55" t="str">
        <f t="shared" si="273"/>
        <v>RTP-2 (Non-Residential)_Rider PER - Uncollectible Adjustment High Voltage</v>
      </c>
      <c r="B453" s="80" t="s">
        <v>830</v>
      </c>
      <c r="C453" s="71" t="s">
        <v>861</v>
      </c>
      <c r="D453" s="150"/>
      <c r="E453" s="81"/>
      <c r="F453" s="73" t="s">
        <v>640</v>
      </c>
      <c r="G453" s="73">
        <v>0</v>
      </c>
      <c r="H453" s="73">
        <v>6</v>
      </c>
      <c r="I453" s="74" t="s">
        <v>641</v>
      </c>
      <c r="J453" s="75" t="s">
        <v>634</v>
      </c>
      <c r="K453" s="74"/>
      <c r="L453" s="82">
        <v>-4.0000000000000003E-5</v>
      </c>
      <c r="M453" s="138">
        <v>2.9999999999999997E-4</v>
      </c>
      <c r="N453" s="138">
        <v>2.9999999999999997E-4</v>
      </c>
      <c r="O453" s="138">
        <v>2.9999999999999997E-4</v>
      </c>
      <c r="P453" s="138">
        <v>2.9999999999999997E-4</v>
      </c>
      <c r="Q453" s="138">
        <v>2.9999999999999997E-4</v>
      </c>
      <c r="R453" s="138">
        <v>2.7E-4</v>
      </c>
      <c r="S453" s="138">
        <v>2.7E-4</v>
      </c>
      <c r="T453" s="138">
        <v>2.7E-4</v>
      </c>
      <c r="U453" s="138">
        <v>2.7E-4</v>
      </c>
      <c r="V453" s="138">
        <v>2.7E-4</v>
      </c>
      <c r="W453" s="138">
        <v>2.7E-4</v>
      </c>
      <c r="X453" s="138">
        <v>2.7E-4</v>
      </c>
      <c r="Y453" s="138">
        <f t="shared" si="303"/>
        <v>2.7E-4</v>
      </c>
      <c r="Z453" s="138">
        <f t="shared" si="304"/>
        <v>2.7E-4</v>
      </c>
      <c r="AA453" s="138">
        <f t="shared" si="305"/>
        <v>2.7E-4</v>
      </c>
      <c r="AB453" s="138">
        <f t="shared" si="306"/>
        <v>2.7E-4</v>
      </c>
      <c r="AC453" s="138">
        <f t="shared" si="307"/>
        <v>2.7E-4</v>
      </c>
      <c r="AD453" s="138">
        <f t="shared" si="308"/>
        <v>2.7E-4</v>
      </c>
      <c r="AE453" s="138">
        <f t="shared" si="309"/>
        <v>2.7E-4</v>
      </c>
      <c r="AF453" s="138">
        <f t="shared" si="310"/>
        <v>2.7E-4</v>
      </c>
      <c r="AG453" s="138">
        <f t="shared" si="311"/>
        <v>2.7E-4</v>
      </c>
      <c r="AH453" s="138">
        <f t="shared" si="312"/>
        <v>2.7E-4</v>
      </c>
      <c r="AI453" s="138">
        <f t="shared" si="313"/>
        <v>2.7E-4</v>
      </c>
      <c r="AJ453" s="138">
        <f t="shared" si="314"/>
        <v>2.7E-4</v>
      </c>
      <c r="AK453" s="138">
        <f t="shared" si="315"/>
        <v>2.7E-4</v>
      </c>
      <c r="AL453" s="138">
        <f t="shared" si="316"/>
        <v>2.6999999999999995E-4</v>
      </c>
      <c r="AM453" s="138">
        <f t="shared" si="317"/>
        <v>2.7500000000000007E-4</v>
      </c>
      <c r="AO453" s="77" t="str">
        <f t="shared" si="274"/>
        <v>RTP-2 (Non-Residential)</v>
      </c>
      <c r="AP453" s="78" t="s">
        <v>831</v>
      </c>
      <c r="AQ453" s="77" t="str">
        <f t="shared" si="275"/>
        <v>Rider PER - Uncollectible Adjustment High Voltage</v>
      </c>
      <c r="AR453" s="78" t="str">
        <f t="shared" si="276"/>
        <v>Prorated</v>
      </c>
      <c r="AS453" s="79">
        <f t="shared" si="277"/>
        <v>6</v>
      </c>
      <c r="AT453" s="78">
        <f t="shared" si="278"/>
        <v>0</v>
      </c>
      <c r="AU453" s="78">
        <f t="shared" si="279"/>
        <v>2.9999999999999997E-4</v>
      </c>
      <c r="AV453" s="78">
        <f t="shared" si="280"/>
        <v>2.9999999999999997E-4</v>
      </c>
      <c r="AW453" s="78">
        <f t="shared" si="281"/>
        <v>2.9999999999999997E-4</v>
      </c>
      <c r="AX453" s="78">
        <f t="shared" si="282"/>
        <v>2.9999999999999997E-4</v>
      </c>
      <c r="AY453" s="78">
        <f t="shared" si="283"/>
        <v>2.9999999999999997E-4</v>
      </c>
      <c r="AZ453" s="78">
        <f t="shared" si="284"/>
        <v>2.7E-4</v>
      </c>
      <c r="BA453" s="78">
        <f t="shared" si="285"/>
        <v>2.7E-4</v>
      </c>
      <c r="BB453" s="78">
        <f t="shared" si="286"/>
        <v>2.7E-4</v>
      </c>
      <c r="BC453" s="78">
        <f t="shared" si="287"/>
        <v>2.7E-4</v>
      </c>
      <c r="BD453" s="78">
        <f t="shared" si="288"/>
        <v>2.7E-4</v>
      </c>
      <c r="BE453" s="78">
        <f t="shared" si="289"/>
        <v>2.7E-4</v>
      </c>
      <c r="BF453" s="78">
        <f t="shared" si="290"/>
        <v>2.7E-4</v>
      </c>
      <c r="BG453" s="78">
        <f t="shared" si="291"/>
        <v>2.7E-4</v>
      </c>
      <c r="BH453" s="78">
        <f t="shared" si="292"/>
        <v>2.7E-4</v>
      </c>
      <c r="BI453" s="78">
        <f t="shared" si="293"/>
        <v>2.7E-4</v>
      </c>
      <c r="BJ453" s="78">
        <f t="shared" si="294"/>
        <v>2.7E-4</v>
      </c>
      <c r="BK453" s="78">
        <f t="shared" si="295"/>
        <v>2.7E-4</v>
      </c>
      <c r="BL453" s="78">
        <f t="shared" si="296"/>
        <v>2.7E-4</v>
      </c>
      <c r="BM453" s="78">
        <f t="shared" si="297"/>
        <v>2.7E-4</v>
      </c>
      <c r="BN453" s="78">
        <f t="shared" si="298"/>
        <v>2.7E-4</v>
      </c>
      <c r="BO453" s="78">
        <f t="shared" si="299"/>
        <v>2.7E-4</v>
      </c>
      <c r="BP453" s="78">
        <f t="shared" si="300"/>
        <v>2.7E-4</v>
      </c>
      <c r="BQ453" s="78">
        <f t="shared" si="301"/>
        <v>2.7E-4</v>
      </c>
      <c r="BR453" s="78">
        <f t="shared" si="302"/>
        <v>2.7E-4</v>
      </c>
      <c r="BS453" s="77"/>
      <c r="BT453" s="77"/>
    </row>
    <row r="454" spans="1:72" ht="14.1" customHeight="1" x14ac:dyDescent="0.2">
      <c r="A454" s="55" t="str">
        <f t="shared" ref="A454:A517" si="318">B454&amp;"_"&amp;C454</f>
        <v>BGS-2 (Non-Residential)_Rider PER - Uncollectible Adjustment Primary</v>
      </c>
      <c r="B454" s="80" t="s">
        <v>685</v>
      </c>
      <c r="C454" s="71" t="s">
        <v>862</v>
      </c>
      <c r="D454" s="150"/>
      <c r="E454" s="81"/>
      <c r="F454" s="73" t="s">
        <v>640</v>
      </c>
      <c r="G454" s="73">
        <v>0</v>
      </c>
      <c r="H454" s="73">
        <v>6</v>
      </c>
      <c r="I454" s="74" t="s">
        <v>641</v>
      </c>
      <c r="J454" s="75" t="s">
        <v>634</v>
      </c>
      <c r="K454" s="74"/>
      <c r="L454" s="82">
        <v>-4.0000000000000003E-5</v>
      </c>
      <c r="M454" s="138">
        <v>3.1E-4</v>
      </c>
      <c r="N454" s="138">
        <v>3.1E-4</v>
      </c>
      <c r="O454" s="138">
        <v>3.1E-4</v>
      </c>
      <c r="P454" s="138">
        <v>3.1E-4</v>
      </c>
      <c r="Q454" s="138">
        <v>3.1E-4</v>
      </c>
      <c r="R454" s="138">
        <v>2.7999999999999998E-4</v>
      </c>
      <c r="S454" s="138">
        <v>2.7999999999999998E-4</v>
      </c>
      <c r="T454" s="138">
        <v>2.7999999999999998E-4</v>
      </c>
      <c r="U454" s="138">
        <v>2.7999999999999998E-4</v>
      </c>
      <c r="V454" s="138">
        <v>2.7999999999999998E-4</v>
      </c>
      <c r="W454" s="138">
        <v>2.7999999999999998E-4</v>
      </c>
      <c r="X454" s="138">
        <v>2.7999999999999998E-4</v>
      </c>
      <c r="Y454" s="138">
        <f t="shared" si="303"/>
        <v>2.7999999999999998E-4</v>
      </c>
      <c r="Z454" s="138">
        <f t="shared" si="304"/>
        <v>2.7999999999999998E-4</v>
      </c>
      <c r="AA454" s="138">
        <f t="shared" si="305"/>
        <v>2.7999999999999998E-4</v>
      </c>
      <c r="AB454" s="138">
        <f t="shared" si="306"/>
        <v>2.7999999999999998E-4</v>
      </c>
      <c r="AC454" s="138">
        <f t="shared" si="307"/>
        <v>2.7999999999999998E-4</v>
      </c>
      <c r="AD454" s="138">
        <f t="shared" si="308"/>
        <v>2.7999999999999998E-4</v>
      </c>
      <c r="AE454" s="138">
        <f t="shared" si="309"/>
        <v>2.7999999999999998E-4</v>
      </c>
      <c r="AF454" s="138">
        <f t="shared" si="310"/>
        <v>2.7999999999999998E-4</v>
      </c>
      <c r="AG454" s="138">
        <f t="shared" si="311"/>
        <v>2.7999999999999998E-4</v>
      </c>
      <c r="AH454" s="138">
        <f t="shared" si="312"/>
        <v>2.7999999999999998E-4</v>
      </c>
      <c r="AI454" s="138">
        <f t="shared" si="313"/>
        <v>2.7999999999999998E-4</v>
      </c>
      <c r="AJ454" s="138">
        <f t="shared" si="314"/>
        <v>2.7999999999999998E-4</v>
      </c>
      <c r="AK454" s="138">
        <f t="shared" si="315"/>
        <v>2.7999999999999998E-4</v>
      </c>
      <c r="AL454" s="138">
        <f t="shared" si="316"/>
        <v>2.7999999999999992E-4</v>
      </c>
      <c r="AM454" s="138">
        <f t="shared" si="317"/>
        <v>2.8499999999999993E-4</v>
      </c>
      <c r="AO454" s="77" t="str">
        <f t="shared" ref="AO454:AO517" si="319">IF(B454="","",B454)</f>
        <v>BGS-2 (Non-Residential)</v>
      </c>
      <c r="AP454" s="78" t="s">
        <v>687</v>
      </c>
      <c r="AQ454" s="77" t="str">
        <f t="shared" ref="AQ454:AQ517" si="320">IF(B454="","",C454)</f>
        <v>Rider PER - Uncollectible Adjustment Primary</v>
      </c>
      <c r="AR454" s="78" t="str">
        <f t="shared" ref="AR454:AR517" si="321">IF(B454="","",F454)</f>
        <v>Prorated</v>
      </c>
      <c r="AS454" s="79">
        <f t="shared" ref="AS454:AS517" si="322">IF(B454="","",H454)</f>
        <v>6</v>
      </c>
      <c r="AT454" s="78">
        <f t="shared" ref="AT454:AT517" si="323">IF(B454="","",ROUND(L454,$H$6))</f>
        <v>0</v>
      </c>
      <c r="AU454" s="78">
        <f t="shared" ref="AU454:AU517" si="324">IF($B454="","",ROUND(IF(M454="",AT454,M454),$H454))</f>
        <v>3.1E-4</v>
      </c>
      <c r="AV454" s="78">
        <f t="shared" ref="AV454:AV517" si="325">IF($B454="","",ROUND(IF(N454="",AU454,N454),$H454))</f>
        <v>3.1E-4</v>
      </c>
      <c r="AW454" s="78">
        <f t="shared" ref="AW454:AW517" si="326">IF($B454="","",ROUND(IF(O454="",AV454,O454),$H454))</f>
        <v>3.1E-4</v>
      </c>
      <c r="AX454" s="78">
        <f t="shared" ref="AX454:AX517" si="327">IF($B454="","",ROUND(IF(P454="",AW454,P454),$H454))</f>
        <v>3.1E-4</v>
      </c>
      <c r="AY454" s="78">
        <f t="shared" ref="AY454:AY517" si="328">IF($B454="","",ROUND(IF(Q454="",AX454,Q454),$H454))</f>
        <v>3.1E-4</v>
      </c>
      <c r="AZ454" s="78">
        <f t="shared" ref="AZ454:AZ517" si="329">IF($B454="","",ROUND(IF(R454="",AY454,R454),$H454))</f>
        <v>2.7999999999999998E-4</v>
      </c>
      <c r="BA454" s="78">
        <f t="shared" ref="BA454:BA517" si="330">IF($B454="","",ROUND(IF(S454="",AZ454,S454),$H454))</f>
        <v>2.7999999999999998E-4</v>
      </c>
      <c r="BB454" s="78">
        <f t="shared" ref="BB454:BB517" si="331">IF($B454="","",ROUND(IF(T454="",BA454,T454),$H454))</f>
        <v>2.7999999999999998E-4</v>
      </c>
      <c r="BC454" s="78">
        <f t="shared" ref="BC454:BC517" si="332">IF($B454="","",ROUND(IF(U454="",BB454,U454),$H454))</f>
        <v>2.7999999999999998E-4</v>
      </c>
      <c r="BD454" s="78">
        <f t="shared" ref="BD454:BD517" si="333">IF($B454="","",ROUND(IF(V454="",BC454,V454),$H454))</f>
        <v>2.7999999999999998E-4</v>
      </c>
      <c r="BE454" s="78">
        <f t="shared" ref="BE454:BE517" si="334">IF($B454="","",ROUND(IF(W454="",BD454,W454),$H454))</f>
        <v>2.7999999999999998E-4</v>
      </c>
      <c r="BF454" s="78">
        <f t="shared" ref="BF454:BF517" si="335">IF($B454="","",ROUND(IF(X454="",BE454,X454),$H454))</f>
        <v>2.7999999999999998E-4</v>
      </c>
      <c r="BG454" s="78">
        <f t="shared" ref="BG454:BG517" si="336">IF($B454="","",ROUND(IF(Y454="",BF454,Y454),$H454))</f>
        <v>2.7999999999999998E-4</v>
      </c>
      <c r="BH454" s="78">
        <f t="shared" ref="BH454:BH517" si="337">IF($B454="","",ROUND(IF(Z454="",BG454,Z454),$H454))</f>
        <v>2.7999999999999998E-4</v>
      </c>
      <c r="BI454" s="78">
        <f t="shared" ref="BI454:BI517" si="338">IF($B454="","",ROUND(IF(AA454="",BH454,AA454),$H454))</f>
        <v>2.7999999999999998E-4</v>
      </c>
      <c r="BJ454" s="78">
        <f t="shared" ref="BJ454:BJ517" si="339">IF($B454="","",ROUND(IF(AB454="",BI454,AB454),$H454))</f>
        <v>2.7999999999999998E-4</v>
      </c>
      <c r="BK454" s="78">
        <f t="shared" ref="BK454:BK517" si="340">IF($B454="","",ROUND(IF(AC454="",BJ454,AC454),$H454))</f>
        <v>2.7999999999999998E-4</v>
      </c>
      <c r="BL454" s="78">
        <f t="shared" ref="BL454:BL517" si="341">IF($B454="","",ROUND(IF(AD454="",BK454,AD454),$H454))</f>
        <v>2.7999999999999998E-4</v>
      </c>
      <c r="BM454" s="78">
        <f t="shared" ref="BM454:BM517" si="342">IF($B454="","",ROUND(IF(AE454="",BL454,AE454),$H454))</f>
        <v>2.7999999999999998E-4</v>
      </c>
      <c r="BN454" s="78">
        <f t="shared" ref="BN454:BN517" si="343">IF($B454="","",ROUND(IF(AF454="",BM454,AF454),$H454))</f>
        <v>2.7999999999999998E-4</v>
      </c>
      <c r="BO454" s="78">
        <f t="shared" ref="BO454:BO517" si="344">IF($B454="","",ROUND(IF(AG454="",BN454,AG454),$H454))</f>
        <v>2.7999999999999998E-4</v>
      </c>
      <c r="BP454" s="78">
        <f t="shared" ref="BP454:BP517" si="345">IF($B454="","",ROUND(IF(AH454="",BO454,AH454),$H454))</f>
        <v>2.7999999999999998E-4</v>
      </c>
      <c r="BQ454" s="78">
        <f t="shared" ref="BQ454:BQ517" si="346">IF($B454="","",ROUND(IF(AI454="",BP454,AI454),$H454))</f>
        <v>2.7999999999999998E-4</v>
      </c>
      <c r="BR454" s="78">
        <f t="shared" ref="BR454:BR517" si="347">IF($B454="","",ROUND(IF(AJ454="",BQ454,AJ454),$H454))</f>
        <v>2.7999999999999998E-4</v>
      </c>
      <c r="BS454" s="77"/>
      <c r="BT454" s="77"/>
    </row>
    <row r="455" spans="1:72" ht="14.1" customHeight="1" x14ac:dyDescent="0.2">
      <c r="A455" s="55" t="str">
        <f t="shared" si="318"/>
        <v>RTP-2 (Non-Residential)_Rider PER - Uncollectible Adjustment Primary</v>
      </c>
      <c r="B455" s="80" t="s">
        <v>830</v>
      </c>
      <c r="C455" s="71" t="s">
        <v>862</v>
      </c>
      <c r="D455" s="150"/>
      <c r="E455" s="81"/>
      <c r="F455" s="73" t="s">
        <v>640</v>
      </c>
      <c r="G455" s="73">
        <v>0</v>
      </c>
      <c r="H455" s="73">
        <v>6</v>
      </c>
      <c r="I455" s="74" t="s">
        <v>641</v>
      </c>
      <c r="J455" s="75" t="s">
        <v>634</v>
      </c>
      <c r="K455" s="74"/>
      <c r="L455" s="82">
        <v>-4.0000000000000003E-5</v>
      </c>
      <c r="M455" s="138">
        <v>3.1E-4</v>
      </c>
      <c r="N455" s="138">
        <v>3.1E-4</v>
      </c>
      <c r="O455" s="138">
        <v>3.1E-4</v>
      </c>
      <c r="P455" s="138">
        <v>3.1E-4</v>
      </c>
      <c r="Q455" s="138">
        <v>3.1E-4</v>
      </c>
      <c r="R455" s="138">
        <v>2.7999999999999998E-4</v>
      </c>
      <c r="S455" s="138">
        <v>2.7999999999999998E-4</v>
      </c>
      <c r="T455" s="138">
        <v>2.7999999999999998E-4</v>
      </c>
      <c r="U455" s="138">
        <v>2.7999999999999998E-4</v>
      </c>
      <c r="V455" s="138">
        <v>2.7999999999999998E-4</v>
      </c>
      <c r="W455" s="138">
        <v>2.7999999999999998E-4</v>
      </c>
      <c r="X455" s="138">
        <v>2.7999999999999998E-4</v>
      </c>
      <c r="Y455" s="138">
        <f t="shared" ref="Y455:Y518" si="348">X455</f>
        <v>2.7999999999999998E-4</v>
      </c>
      <c r="Z455" s="138">
        <f t="shared" ref="Z455:Z518" si="349">Y455</f>
        <v>2.7999999999999998E-4</v>
      </c>
      <c r="AA455" s="138">
        <f t="shared" ref="AA455:AA518" si="350">Z455</f>
        <v>2.7999999999999998E-4</v>
      </c>
      <c r="AB455" s="138">
        <f t="shared" ref="AB455:AB518" si="351">AA455</f>
        <v>2.7999999999999998E-4</v>
      </c>
      <c r="AC455" s="138">
        <f t="shared" ref="AC455:AC518" si="352">AB455</f>
        <v>2.7999999999999998E-4</v>
      </c>
      <c r="AD455" s="138">
        <f t="shared" ref="AD455:AD518" si="353">AC455</f>
        <v>2.7999999999999998E-4</v>
      </c>
      <c r="AE455" s="138">
        <f t="shared" ref="AE455:AE518" si="354">AD455</f>
        <v>2.7999999999999998E-4</v>
      </c>
      <c r="AF455" s="138">
        <f t="shared" ref="AF455:AF518" si="355">AE455</f>
        <v>2.7999999999999998E-4</v>
      </c>
      <c r="AG455" s="138">
        <f t="shared" ref="AG455:AG518" si="356">AF455</f>
        <v>2.7999999999999998E-4</v>
      </c>
      <c r="AH455" s="138">
        <f t="shared" ref="AH455:AH518" si="357">AG455</f>
        <v>2.7999999999999998E-4</v>
      </c>
      <c r="AI455" s="138">
        <f t="shared" ref="AI455:AI518" si="358">AH455</f>
        <v>2.7999999999999998E-4</v>
      </c>
      <c r="AJ455" s="138">
        <f t="shared" ref="AJ455:AJ518" si="359">AI455</f>
        <v>2.7999999999999998E-4</v>
      </c>
      <c r="AK455" s="138">
        <f t="shared" ref="AK455:AK518" si="360">AJ455</f>
        <v>2.7999999999999998E-4</v>
      </c>
      <c r="AL455" s="138">
        <f t="shared" ref="AL455:AL518" si="361">AVERAGE(Z455:AK455)</f>
        <v>2.7999999999999992E-4</v>
      </c>
      <c r="AM455" s="138">
        <f t="shared" ref="AM455:AM518" si="362">AVERAGE(N455:AK455)</f>
        <v>2.8499999999999993E-4</v>
      </c>
      <c r="AO455" s="77" t="str">
        <f t="shared" si="319"/>
        <v>RTP-2 (Non-Residential)</v>
      </c>
      <c r="AP455" s="78" t="s">
        <v>831</v>
      </c>
      <c r="AQ455" s="77" t="str">
        <f t="shared" si="320"/>
        <v>Rider PER - Uncollectible Adjustment Primary</v>
      </c>
      <c r="AR455" s="78" t="str">
        <f t="shared" si="321"/>
        <v>Prorated</v>
      </c>
      <c r="AS455" s="79">
        <f t="shared" si="322"/>
        <v>6</v>
      </c>
      <c r="AT455" s="78">
        <f t="shared" si="323"/>
        <v>0</v>
      </c>
      <c r="AU455" s="78">
        <f t="shared" si="324"/>
        <v>3.1E-4</v>
      </c>
      <c r="AV455" s="78">
        <f t="shared" si="325"/>
        <v>3.1E-4</v>
      </c>
      <c r="AW455" s="78">
        <f t="shared" si="326"/>
        <v>3.1E-4</v>
      </c>
      <c r="AX455" s="78">
        <f t="shared" si="327"/>
        <v>3.1E-4</v>
      </c>
      <c r="AY455" s="78">
        <f t="shared" si="328"/>
        <v>3.1E-4</v>
      </c>
      <c r="AZ455" s="78">
        <f t="shared" si="329"/>
        <v>2.7999999999999998E-4</v>
      </c>
      <c r="BA455" s="78">
        <f t="shared" si="330"/>
        <v>2.7999999999999998E-4</v>
      </c>
      <c r="BB455" s="78">
        <f t="shared" si="331"/>
        <v>2.7999999999999998E-4</v>
      </c>
      <c r="BC455" s="78">
        <f t="shared" si="332"/>
        <v>2.7999999999999998E-4</v>
      </c>
      <c r="BD455" s="78">
        <f t="shared" si="333"/>
        <v>2.7999999999999998E-4</v>
      </c>
      <c r="BE455" s="78">
        <f t="shared" si="334"/>
        <v>2.7999999999999998E-4</v>
      </c>
      <c r="BF455" s="78">
        <f t="shared" si="335"/>
        <v>2.7999999999999998E-4</v>
      </c>
      <c r="BG455" s="78">
        <f t="shared" si="336"/>
        <v>2.7999999999999998E-4</v>
      </c>
      <c r="BH455" s="78">
        <f t="shared" si="337"/>
        <v>2.7999999999999998E-4</v>
      </c>
      <c r="BI455" s="78">
        <f t="shared" si="338"/>
        <v>2.7999999999999998E-4</v>
      </c>
      <c r="BJ455" s="78">
        <f t="shared" si="339"/>
        <v>2.7999999999999998E-4</v>
      </c>
      <c r="BK455" s="78">
        <f t="shared" si="340"/>
        <v>2.7999999999999998E-4</v>
      </c>
      <c r="BL455" s="78">
        <f t="shared" si="341"/>
        <v>2.7999999999999998E-4</v>
      </c>
      <c r="BM455" s="78">
        <f t="shared" si="342"/>
        <v>2.7999999999999998E-4</v>
      </c>
      <c r="BN455" s="78">
        <f t="shared" si="343"/>
        <v>2.7999999999999998E-4</v>
      </c>
      <c r="BO455" s="78">
        <f t="shared" si="344"/>
        <v>2.7999999999999998E-4</v>
      </c>
      <c r="BP455" s="78">
        <f t="shared" si="345"/>
        <v>2.7999999999999998E-4</v>
      </c>
      <c r="BQ455" s="78">
        <f t="shared" si="346"/>
        <v>2.7999999999999998E-4</v>
      </c>
      <c r="BR455" s="78">
        <f t="shared" si="347"/>
        <v>2.7999999999999998E-4</v>
      </c>
      <c r="BS455" s="77"/>
      <c r="BT455" s="77"/>
    </row>
    <row r="456" spans="1:72" ht="14.1" customHeight="1" x14ac:dyDescent="0.2">
      <c r="A456" s="55" t="str">
        <f t="shared" si="318"/>
        <v>BGS-2 (Non-Residential)_Rider PER - Uncollectible Adjustment Secondary</v>
      </c>
      <c r="B456" s="80" t="s">
        <v>685</v>
      </c>
      <c r="C456" s="71" t="s">
        <v>863</v>
      </c>
      <c r="D456" s="150"/>
      <c r="E456" s="81"/>
      <c r="F456" s="73" t="s">
        <v>640</v>
      </c>
      <c r="G456" s="73">
        <v>0</v>
      </c>
      <c r="H456" s="73">
        <v>6</v>
      </c>
      <c r="I456" s="74" t="s">
        <v>641</v>
      </c>
      <c r="J456" s="75" t="s">
        <v>634</v>
      </c>
      <c r="K456" s="74"/>
      <c r="L456" s="82">
        <v>-4.0000000000000003E-5</v>
      </c>
      <c r="M456" s="138">
        <v>3.1E-4</v>
      </c>
      <c r="N456" s="138">
        <v>3.1E-4</v>
      </c>
      <c r="O456" s="138">
        <v>3.1E-4</v>
      </c>
      <c r="P456" s="138">
        <v>3.1E-4</v>
      </c>
      <c r="Q456" s="138">
        <v>3.1E-4</v>
      </c>
      <c r="R456" s="138">
        <v>2.9E-4</v>
      </c>
      <c r="S456" s="138">
        <v>2.9E-4</v>
      </c>
      <c r="T456" s="138">
        <v>2.9E-4</v>
      </c>
      <c r="U456" s="138">
        <v>2.9E-4</v>
      </c>
      <c r="V456" s="138">
        <v>2.7999999999999998E-4</v>
      </c>
      <c r="W456" s="138">
        <v>2.7999999999999998E-4</v>
      </c>
      <c r="X456" s="138">
        <v>2.7999999999999998E-4</v>
      </c>
      <c r="Y456" s="138">
        <f t="shared" si="348"/>
        <v>2.7999999999999998E-4</v>
      </c>
      <c r="Z456" s="138">
        <f t="shared" si="349"/>
        <v>2.7999999999999998E-4</v>
      </c>
      <c r="AA456" s="138">
        <f t="shared" si="350"/>
        <v>2.7999999999999998E-4</v>
      </c>
      <c r="AB456" s="138">
        <f t="shared" si="351"/>
        <v>2.7999999999999998E-4</v>
      </c>
      <c r="AC456" s="138">
        <f t="shared" si="352"/>
        <v>2.7999999999999998E-4</v>
      </c>
      <c r="AD456" s="138">
        <f t="shared" si="353"/>
        <v>2.7999999999999998E-4</v>
      </c>
      <c r="AE456" s="138">
        <f t="shared" si="354"/>
        <v>2.7999999999999998E-4</v>
      </c>
      <c r="AF456" s="138">
        <f t="shared" si="355"/>
        <v>2.7999999999999998E-4</v>
      </c>
      <c r="AG456" s="138">
        <f t="shared" si="356"/>
        <v>2.7999999999999998E-4</v>
      </c>
      <c r="AH456" s="138">
        <f t="shared" si="357"/>
        <v>2.7999999999999998E-4</v>
      </c>
      <c r="AI456" s="138">
        <f t="shared" si="358"/>
        <v>2.7999999999999998E-4</v>
      </c>
      <c r="AJ456" s="138">
        <f t="shared" si="359"/>
        <v>2.7999999999999998E-4</v>
      </c>
      <c r="AK456" s="138">
        <f t="shared" si="360"/>
        <v>2.7999999999999998E-4</v>
      </c>
      <c r="AL456" s="138">
        <f t="shared" si="361"/>
        <v>2.7999999999999992E-4</v>
      </c>
      <c r="AM456" s="138">
        <f t="shared" si="362"/>
        <v>2.8666666666666657E-4</v>
      </c>
      <c r="AO456" s="77" t="str">
        <f t="shared" si="319"/>
        <v>BGS-2 (Non-Residential)</v>
      </c>
      <c r="AP456" s="78" t="s">
        <v>687</v>
      </c>
      <c r="AQ456" s="77" t="str">
        <f t="shared" si="320"/>
        <v>Rider PER - Uncollectible Adjustment Secondary</v>
      </c>
      <c r="AR456" s="78" t="str">
        <f t="shared" si="321"/>
        <v>Prorated</v>
      </c>
      <c r="AS456" s="79">
        <f t="shared" si="322"/>
        <v>6</v>
      </c>
      <c r="AT456" s="78">
        <f t="shared" si="323"/>
        <v>0</v>
      </c>
      <c r="AU456" s="78">
        <f t="shared" si="324"/>
        <v>3.1E-4</v>
      </c>
      <c r="AV456" s="78">
        <f t="shared" si="325"/>
        <v>3.1E-4</v>
      </c>
      <c r="AW456" s="78">
        <f t="shared" si="326"/>
        <v>3.1E-4</v>
      </c>
      <c r="AX456" s="78">
        <f t="shared" si="327"/>
        <v>3.1E-4</v>
      </c>
      <c r="AY456" s="78">
        <f t="shared" si="328"/>
        <v>3.1E-4</v>
      </c>
      <c r="AZ456" s="78">
        <f t="shared" si="329"/>
        <v>2.9E-4</v>
      </c>
      <c r="BA456" s="78">
        <f t="shared" si="330"/>
        <v>2.9E-4</v>
      </c>
      <c r="BB456" s="78">
        <f t="shared" si="331"/>
        <v>2.9E-4</v>
      </c>
      <c r="BC456" s="78">
        <f t="shared" si="332"/>
        <v>2.9E-4</v>
      </c>
      <c r="BD456" s="78">
        <f t="shared" si="333"/>
        <v>2.7999999999999998E-4</v>
      </c>
      <c r="BE456" s="78">
        <f t="shared" si="334"/>
        <v>2.7999999999999998E-4</v>
      </c>
      <c r="BF456" s="78">
        <f t="shared" si="335"/>
        <v>2.7999999999999998E-4</v>
      </c>
      <c r="BG456" s="78">
        <f t="shared" si="336"/>
        <v>2.7999999999999998E-4</v>
      </c>
      <c r="BH456" s="78">
        <f t="shared" si="337"/>
        <v>2.7999999999999998E-4</v>
      </c>
      <c r="BI456" s="78">
        <f t="shared" si="338"/>
        <v>2.7999999999999998E-4</v>
      </c>
      <c r="BJ456" s="78">
        <f t="shared" si="339"/>
        <v>2.7999999999999998E-4</v>
      </c>
      <c r="BK456" s="78">
        <f t="shared" si="340"/>
        <v>2.7999999999999998E-4</v>
      </c>
      <c r="BL456" s="78">
        <f t="shared" si="341"/>
        <v>2.7999999999999998E-4</v>
      </c>
      <c r="BM456" s="78">
        <f t="shared" si="342"/>
        <v>2.7999999999999998E-4</v>
      </c>
      <c r="BN456" s="78">
        <f t="shared" si="343"/>
        <v>2.7999999999999998E-4</v>
      </c>
      <c r="BO456" s="78">
        <f t="shared" si="344"/>
        <v>2.7999999999999998E-4</v>
      </c>
      <c r="BP456" s="78">
        <f t="shared" si="345"/>
        <v>2.7999999999999998E-4</v>
      </c>
      <c r="BQ456" s="78">
        <f t="shared" si="346"/>
        <v>2.7999999999999998E-4</v>
      </c>
      <c r="BR456" s="78">
        <f t="shared" si="347"/>
        <v>2.7999999999999998E-4</v>
      </c>
      <c r="BS456" s="77"/>
      <c r="BT456" s="77"/>
    </row>
    <row r="457" spans="1:72" ht="14.1" customHeight="1" x14ac:dyDescent="0.2">
      <c r="A457" s="55" t="str">
        <f t="shared" si="318"/>
        <v>RTP-2 (Non-Residential)_Rider PER - Uncollectible Adjustment Secondary</v>
      </c>
      <c r="B457" s="80" t="s">
        <v>830</v>
      </c>
      <c r="C457" s="71" t="s">
        <v>863</v>
      </c>
      <c r="D457" s="150"/>
      <c r="E457" s="81"/>
      <c r="F457" s="73" t="s">
        <v>640</v>
      </c>
      <c r="G457" s="73">
        <v>0</v>
      </c>
      <c r="H457" s="73">
        <v>6</v>
      </c>
      <c r="I457" s="74" t="s">
        <v>641</v>
      </c>
      <c r="J457" s="75" t="s">
        <v>634</v>
      </c>
      <c r="K457" s="74"/>
      <c r="L457" s="82">
        <v>-4.0000000000000003E-5</v>
      </c>
      <c r="M457" s="138">
        <v>3.1E-4</v>
      </c>
      <c r="N457" s="138">
        <v>3.1E-4</v>
      </c>
      <c r="O457" s="138">
        <v>3.1E-4</v>
      </c>
      <c r="P457" s="138">
        <v>3.1E-4</v>
      </c>
      <c r="Q457" s="138">
        <v>3.1E-4</v>
      </c>
      <c r="R457" s="138">
        <v>2.9E-4</v>
      </c>
      <c r="S457" s="138">
        <v>2.9E-4</v>
      </c>
      <c r="T457" s="138">
        <v>2.9E-4</v>
      </c>
      <c r="U457" s="138">
        <v>2.9E-4</v>
      </c>
      <c r="V457" s="138">
        <v>2.7999999999999998E-4</v>
      </c>
      <c r="W457" s="138">
        <v>2.7999999999999998E-4</v>
      </c>
      <c r="X457" s="138">
        <v>2.7999999999999998E-4</v>
      </c>
      <c r="Y457" s="138">
        <f t="shared" si="348"/>
        <v>2.7999999999999998E-4</v>
      </c>
      <c r="Z457" s="138">
        <f t="shared" si="349"/>
        <v>2.7999999999999998E-4</v>
      </c>
      <c r="AA457" s="138">
        <f t="shared" si="350"/>
        <v>2.7999999999999998E-4</v>
      </c>
      <c r="AB457" s="138">
        <f t="shared" si="351"/>
        <v>2.7999999999999998E-4</v>
      </c>
      <c r="AC457" s="138">
        <f t="shared" si="352"/>
        <v>2.7999999999999998E-4</v>
      </c>
      <c r="AD457" s="138">
        <f t="shared" si="353"/>
        <v>2.7999999999999998E-4</v>
      </c>
      <c r="AE457" s="138">
        <f t="shared" si="354"/>
        <v>2.7999999999999998E-4</v>
      </c>
      <c r="AF457" s="138">
        <f t="shared" si="355"/>
        <v>2.7999999999999998E-4</v>
      </c>
      <c r="AG457" s="138">
        <f t="shared" si="356"/>
        <v>2.7999999999999998E-4</v>
      </c>
      <c r="AH457" s="138">
        <f t="shared" si="357"/>
        <v>2.7999999999999998E-4</v>
      </c>
      <c r="AI457" s="138">
        <f t="shared" si="358"/>
        <v>2.7999999999999998E-4</v>
      </c>
      <c r="AJ457" s="138">
        <f t="shared" si="359"/>
        <v>2.7999999999999998E-4</v>
      </c>
      <c r="AK457" s="138">
        <f t="shared" si="360"/>
        <v>2.7999999999999998E-4</v>
      </c>
      <c r="AL457" s="138">
        <f t="shared" si="361"/>
        <v>2.7999999999999992E-4</v>
      </c>
      <c r="AM457" s="138">
        <f t="shared" si="362"/>
        <v>2.8666666666666657E-4</v>
      </c>
      <c r="AO457" s="77" t="str">
        <f t="shared" si="319"/>
        <v>RTP-2 (Non-Residential)</v>
      </c>
      <c r="AP457" s="78" t="s">
        <v>831</v>
      </c>
      <c r="AQ457" s="77" t="str">
        <f t="shared" si="320"/>
        <v>Rider PER - Uncollectible Adjustment Secondary</v>
      </c>
      <c r="AR457" s="78" t="str">
        <f t="shared" si="321"/>
        <v>Prorated</v>
      </c>
      <c r="AS457" s="79">
        <f t="shared" si="322"/>
        <v>6</v>
      </c>
      <c r="AT457" s="78">
        <f t="shared" si="323"/>
        <v>0</v>
      </c>
      <c r="AU457" s="78">
        <f t="shared" si="324"/>
        <v>3.1E-4</v>
      </c>
      <c r="AV457" s="78">
        <f t="shared" si="325"/>
        <v>3.1E-4</v>
      </c>
      <c r="AW457" s="78">
        <f t="shared" si="326"/>
        <v>3.1E-4</v>
      </c>
      <c r="AX457" s="78">
        <f t="shared" si="327"/>
        <v>3.1E-4</v>
      </c>
      <c r="AY457" s="78">
        <f t="shared" si="328"/>
        <v>3.1E-4</v>
      </c>
      <c r="AZ457" s="78">
        <f t="shared" si="329"/>
        <v>2.9E-4</v>
      </c>
      <c r="BA457" s="78">
        <f t="shared" si="330"/>
        <v>2.9E-4</v>
      </c>
      <c r="BB457" s="78">
        <f t="shared" si="331"/>
        <v>2.9E-4</v>
      </c>
      <c r="BC457" s="78">
        <f t="shared" si="332"/>
        <v>2.9E-4</v>
      </c>
      <c r="BD457" s="78">
        <f t="shared" si="333"/>
        <v>2.7999999999999998E-4</v>
      </c>
      <c r="BE457" s="78">
        <f t="shared" si="334"/>
        <v>2.7999999999999998E-4</v>
      </c>
      <c r="BF457" s="78">
        <f t="shared" si="335"/>
        <v>2.7999999999999998E-4</v>
      </c>
      <c r="BG457" s="78">
        <f t="shared" si="336"/>
        <v>2.7999999999999998E-4</v>
      </c>
      <c r="BH457" s="78">
        <f t="shared" si="337"/>
        <v>2.7999999999999998E-4</v>
      </c>
      <c r="BI457" s="78">
        <f t="shared" si="338"/>
        <v>2.7999999999999998E-4</v>
      </c>
      <c r="BJ457" s="78">
        <f t="shared" si="339"/>
        <v>2.7999999999999998E-4</v>
      </c>
      <c r="BK457" s="78">
        <f t="shared" si="340"/>
        <v>2.7999999999999998E-4</v>
      </c>
      <c r="BL457" s="78">
        <f t="shared" si="341"/>
        <v>2.7999999999999998E-4</v>
      </c>
      <c r="BM457" s="78">
        <f t="shared" si="342"/>
        <v>2.7999999999999998E-4</v>
      </c>
      <c r="BN457" s="78">
        <f t="shared" si="343"/>
        <v>2.7999999999999998E-4</v>
      </c>
      <c r="BO457" s="78">
        <f t="shared" si="344"/>
        <v>2.7999999999999998E-4</v>
      </c>
      <c r="BP457" s="78">
        <f t="shared" si="345"/>
        <v>2.7999999999999998E-4</v>
      </c>
      <c r="BQ457" s="78">
        <f t="shared" si="346"/>
        <v>2.7999999999999998E-4</v>
      </c>
      <c r="BR457" s="78">
        <f t="shared" si="347"/>
        <v>2.7999999999999998E-4</v>
      </c>
      <c r="BS457" s="77"/>
      <c r="BT457" s="77"/>
    </row>
    <row r="458" spans="1:72" ht="14.1" customHeight="1" x14ac:dyDescent="0.2">
      <c r="A458" s="55" t="str">
        <f t="shared" si="318"/>
        <v>GDS-1 (Residential)_Rider PGA - Uncollectible Adjustment</v>
      </c>
      <c r="B458" s="80" t="s">
        <v>95</v>
      </c>
      <c r="C458" s="83" t="s">
        <v>864</v>
      </c>
      <c r="D458" s="150" t="s">
        <v>603</v>
      </c>
      <c r="E458" s="81"/>
      <c r="F458" s="84" t="s">
        <v>640</v>
      </c>
      <c r="G458" s="84">
        <v>0</v>
      </c>
      <c r="H458" s="84">
        <v>6</v>
      </c>
      <c r="I458" s="74" t="s">
        <v>699</v>
      </c>
      <c r="J458" s="75" t="s">
        <v>634</v>
      </c>
      <c r="K458" s="74"/>
      <c r="L458" s="82">
        <v>3.9300000000000003E-3</v>
      </c>
      <c r="M458" s="138">
        <v>2.3900000000000002E-3</v>
      </c>
      <c r="N458" s="138">
        <v>2.4499999999999999E-3</v>
      </c>
      <c r="O458" s="138">
        <v>2.66E-3</v>
      </c>
      <c r="P458" s="138">
        <v>2.5200000000000001E-3</v>
      </c>
      <c r="Q458" s="138">
        <v>2.66E-3</v>
      </c>
      <c r="R458" s="138">
        <v>2.7000000000000001E-3</v>
      </c>
      <c r="S458" s="138">
        <v>2.7000000000000001E-3</v>
      </c>
      <c r="T458" s="138">
        <v>2.7599999999999999E-3</v>
      </c>
      <c r="U458" s="138">
        <v>2.96E-3</v>
      </c>
      <c r="V458" s="138">
        <v>2.7899999999999999E-3</v>
      </c>
      <c r="W458" s="138">
        <v>2.7899999999999999E-3</v>
      </c>
      <c r="X458" s="138">
        <v>2.7899999999999999E-3</v>
      </c>
      <c r="Y458" s="138">
        <f t="shared" si="348"/>
        <v>2.7899999999999999E-3</v>
      </c>
      <c r="Z458" s="138">
        <f t="shared" si="349"/>
        <v>2.7899999999999999E-3</v>
      </c>
      <c r="AA458" s="138">
        <f t="shared" si="350"/>
        <v>2.7899999999999999E-3</v>
      </c>
      <c r="AB458" s="138">
        <f t="shared" si="351"/>
        <v>2.7899999999999999E-3</v>
      </c>
      <c r="AC458" s="138">
        <f t="shared" si="352"/>
        <v>2.7899999999999999E-3</v>
      </c>
      <c r="AD458" s="138">
        <f t="shared" si="353"/>
        <v>2.7899999999999999E-3</v>
      </c>
      <c r="AE458" s="138">
        <f t="shared" si="354"/>
        <v>2.7899999999999999E-3</v>
      </c>
      <c r="AF458" s="138">
        <f t="shared" si="355"/>
        <v>2.7899999999999999E-3</v>
      </c>
      <c r="AG458" s="138">
        <f t="shared" si="356"/>
        <v>2.7899999999999999E-3</v>
      </c>
      <c r="AH458" s="138">
        <f t="shared" si="357"/>
        <v>2.7899999999999999E-3</v>
      </c>
      <c r="AI458" s="138">
        <f t="shared" si="358"/>
        <v>2.7899999999999999E-3</v>
      </c>
      <c r="AJ458" s="138">
        <f t="shared" si="359"/>
        <v>2.7899999999999999E-3</v>
      </c>
      <c r="AK458" s="138">
        <f t="shared" si="360"/>
        <v>2.7899999999999999E-3</v>
      </c>
      <c r="AL458" s="138">
        <f t="shared" si="361"/>
        <v>2.7900000000000004E-3</v>
      </c>
      <c r="AM458" s="138">
        <f t="shared" si="362"/>
        <v>2.7520833333333338E-3</v>
      </c>
      <c r="AO458" s="77" t="str">
        <f t="shared" si="319"/>
        <v>GDS-1 (Residential)</v>
      </c>
      <c r="AP458" s="78" t="s">
        <v>668</v>
      </c>
      <c r="AQ458" s="77" t="str">
        <f t="shared" si="320"/>
        <v>Rider PGA - Uncollectible Adjustment</v>
      </c>
      <c r="AR458" s="78" t="str">
        <f t="shared" si="321"/>
        <v>Prorated</v>
      </c>
      <c r="AS458" s="79">
        <f t="shared" si="322"/>
        <v>6</v>
      </c>
      <c r="AT458" s="78">
        <f t="shared" si="323"/>
        <v>0</v>
      </c>
      <c r="AU458" s="78">
        <f t="shared" si="324"/>
        <v>2.3900000000000002E-3</v>
      </c>
      <c r="AV458" s="78">
        <f t="shared" si="325"/>
        <v>2.4499999999999999E-3</v>
      </c>
      <c r="AW458" s="78">
        <f t="shared" si="326"/>
        <v>2.66E-3</v>
      </c>
      <c r="AX458" s="78">
        <f t="shared" si="327"/>
        <v>2.5200000000000001E-3</v>
      </c>
      <c r="AY458" s="78">
        <f t="shared" si="328"/>
        <v>2.66E-3</v>
      </c>
      <c r="AZ458" s="78">
        <f t="shared" si="329"/>
        <v>2.7000000000000001E-3</v>
      </c>
      <c r="BA458" s="78">
        <f t="shared" si="330"/>
        <v>2.7000000000000001E-3</v>
      </c>
      <c r="BB458" s="78">
        <f t="shared" si="331"/>
        <v>2.7599999999999999E-3</v>
      </c>
      <c r="BC458" s="78">
        <f t="shared" si="332"/>
        <v>2.96E-3</v>
      </c>
      <c r="BD458" s="78">
        <f t="shared" si="333"/>
        <v>2.7899999999999999E-3</v>
      </c>
      <c r="BE458" s="78">
        <f t="shared" si="334"/>
        <v>2.7899999999999999E-3</v>
      </c>
      <c r="BF458" s="78">
        <f t="shared" si="335"/>
        <v>2.7899999999999999E-3</v>
      </c>
      <c r="BG458" s="78">
        <f t="shared" si="336"/>
        <v>2.7899999999999999E-3</v>
      </c>
      <c r="BH458" s="78">
        <f t="shared" si="337"/>
        <v>2.7899999999999999E-3</v>
      </c>
      <c r="BI458" s="78">
        <f t="shared" si="338"/>
        <v>2.7899999999999999E-3</v>
      </c>
      <c r="BJ458" s="78">
        <f t="shared" si="339"/>
        <v>2.7899999999999999E-3</v>
      </c>
      <c r="BK458" s="78">
        <f t="shared" si="340"/>
        <v>2.7899999999999999E-3</v>
      </c>
      <c r="BL458" s="78">
        <f t="shared" si="341"/>
        <v>2.7899999999999999E-3</v>
      </c>
      <c r="BM458" s="78">
        <f t="shared" si="342"/>
        <v>2.7899999999999999E-3</v>
      </c>
      <c r="BN458" s="78">
        <f t="shared" si="343"/>
        <v>2.7899999999999999E-3</v>
      </c>
      <c r="BO458" s="78">
        <f t="shared" si="344"/>
        <v>2.7899999999999999E-3</v>
      </c>
      <c r="BP458" s="78">
        <f t="shared" si="345"/>
        <v>2.7899999999999999E-3</v>
      </c>
      <c r="BQ458" s="78">
        <f t="shared" si="346"/>
        <v>2.7899999999999999E-3</v>
      </c>
      <c r="BR458" s="78">
        <f t="shared" si="347"/>
        <v>2.7899999999999999E-3</v>
      </c>
      <c r="BS458" s="77"/>
      <c r="BT458" s="77"/>
    </row>
    <row r="459" spans="1:72" ht="14.1" customHeight="1" x14ac:dyDescent="0.2">
      <c r="A459" s="55" t="str">
        <f t="shared" si="318"/>
        <v>GDS-2 (Small General Delivery)_Rider PGA - Uncollectible Adjustment</v>
      </c>
      <c r="B459" s="80" t="s">
        <v>669</v>
      </c>
      <c r="C459" s="83" t="s">
        <v>864</v>
      </c>
      <c r="D459" s="150"/>
      <c r="E459" s="81"/>
      <c r="F459" s="84" t="s">
        <v>640</v>
      </c>
      <c r="G459" s="84">
        <v>0</v>
      </c>
      <c r="H459" s="84">
        <v>6</v>
      </c>
      <c r="I459" s="74" t="s">
        <v>699</v>
      </c>
      <c r="J459" s="75" t="s">
        <v>634</v>
      </c>
      <c r="K459" s="74"/>
      <c r="L459" s="82">
        <v>4.6000000000000001E-4</v>
      </c>
      <c r="M459" s="138">
        <v>3.1E-4</v>
      </c>
      <c r="N459" s="138">
        <v>3.2000000000000003E-4</v>
      </c>
      <c r="O459" s="138">
        <v>3.5E-4</v>
      </c>
      <c r="P459" s="138">
        <v>3.3E-4</v>
      </c>
      <c r="Q459" s="138">
        <v>3.5E-4</v>
      </c>
      <c r="R459" s="138">
        <v>3.6000000000000002E-4</v>
      </c>
      <c r="S459" s="138">
        <v>3.6000000000000002E-4</v>
      </c>
      <c r="T459" s="138">
        <v>3.6999999999999999E-4</v>
      </c>
      <c r="U459" s="138">
        <v>4.0000000000000002E-4</v>
      </c>
      <c r="V459" s="138">
        <v>3.6999999999999999E-4</v>
      </c>
      <c r="W459" s="138">
        <v>3.6999999999999999E-4</v>
      </c>
      <c r="X459" s="138">
        <v>3.6999999999999999E-4</v>
      </c>
      <c r="Y459" s="138">
        <f t="shared" si="348"/>
        <v>3.6999999999999999E-4</v>
      </c>
      <c r="Z459" s="138">
        <f t="shared" si="349"/>
        <v>3.6999999999999999E-4</v>
      </c>
      <c r="AA459" s="138">
        <f t="shared" si="350"/>
        <v>3.6999999999999999E-4</v>
      </c>
      <c r="AB459" s="138">
        <f t="shared" si="351"/>
        <v>3.6999999999999999E-4</v>
      </c>
      <c r="AC459" s="138">
        <f t="shared" si="352"/>
        <v>3.6999999999999999E-4</v>
      </c>
      <c r="AD459" s="138">
        <f t="shared" si="353"/>
        <v>3.6999999999999999E-4</v>
      </c>
      <c r="AE459" s="138">
        <f t="shared" si="354"/>
        <v>3.6999999999999999E-4</v>
      </c>
      <c r="AF459" s="138">
        <f t="shared" si="355"/>
        <v>3.6999999999999999E-4</v>
      </c>
      <c r="AG459" s="138">
        <f t="shared" si="356"/>
        <v>3.6999999999999999E-4</v>
      </c>
      <c r="AH459" s="138">
        <f t="shared" si="357"/>
        <v>3.6999999999999999E-4</v>
      </c>
      <c r="AI459" s="138">
        <f t="shared" si="358"/>
        <v>3.6999999999999999E-4</v>
      </c>
      <c r="AJ459" s="138">
        <f t="shared" si="359"/>
        <v>3.6999999999999999E-4</v>
      </c>
      <c r="AK459" s="138">
        <f t="shared" si="360"/>
        <v>3.6999999999999999E-4</v>
      </c>
      <c r="AL459" s="138">
        <f t="shared" si="361"/>
        <v>3.7000000000000005E-4</v>
      </c>
      <c r="AM459" s="138">
        <f t="shared" si="362"/>
        <v>3.6499999999999993E-4</v>
      </c>
      <c r="AO459" s="77" t="str">
        <f t="shared" si="319"/>
        <v>GDS-2 (Small General Delivery)</v>
      </c>
      <c r="AP459" s="78" t="s">
        <v>670</v>
      </c>
      <c r="AQ459" s="77" t="str">
        <f t="shared" si="320"/>
        <v>Rider PGA - Uncollectible Adjustment</v>
      </c>
      <c r="AR459" s="78" t="str">
        <f t="shared" si="321"/>
        <v>Prorated</v>
      </c>
      <c r="AS459" s="79">
        <f t="shared" si="322"/>
        <v>6</v>
      </c>
      <c r="AT459" s="78">
        <f t="shared" si="323"/>
        <v>0</v>
      </c>
      <c r="AU459" s="78">
        <f t="shared" si="324"/>
        <v>3.1E-4</v>
      </c>
      <c r="AV459" s="78">
        <f t="shared" si="325"/>
        <v>3.2000000000000003E-4</v>
      </c>
      <c r="AW459" s="78">
        <f t="shared" si="326"/>
        <v>3.5E-4</v>
      </c>
      <c r="AX459" s="78">
        <f t="shared" si="327"/>
        <v>3.3E-4</v>
      </c>
      <c r="AY459" s="78">
        <f t="shared" si="328"/>
        <v>3.5E-4</v>
      </c>
      <c r="AZ459" s="78">
        <f t="shared" si="329"/>
        <v>3.6000000000000002E-4</v>
      </c>
      <c r="BA459" s="78">
        <f t="shared" si="330"/>
        <v>3.6000000000000002E-4</v>
      </c>
      <c r="BB459" s="78">
        <f t="shared" si="331"/>
        <v>3.6999999999999999E-4</v>
      </c>
      <c r="BC459" s="78">
        <f t="shared" si="332"/>
        <v>4.0000000000000002E-4</v>
      </c>
      <c r="BD459" s="78">
        <f t="shared" si="333"/>
        <v>3.6999999999999999E-4</v>
      </c>
      <c r="BE459" s="78">
        <f t="shared" si="334"/>
        <v>3.6999999999999999E-4</v>
      </c>
      <c r="BF459" s="78">
        <f t="shared" si="335"/>
        <v>3.6999999999999999E-4</v>
      </c>
      <c r="BG459" s="78">
        <f t="shared" si="336"/>
        <v>3.6999999999999999E-4</v>
      </c>
      <c r="BH459" s="78">
        <f t="shared" si="337"/>
        <v>3.6999999999999999E-4</v>
      </c>
      <c r="BI459" s="78">
        <f t="shared" si="338"/>
        <v>3.6999999999999999E-4</v>
      </c>
      <c r="BJ459" s="78">
        <f t="shared" si="339"/>
        <v>3.6999999999999999E-4</v>
      </c>
      <c r="BK459" s="78">
        <f t="shared" si="340"/>
        <v>3.6999999999999999E-4</v>
      </c>
      <c r="BL459" s="78">
        <f t="shared" si="341"/>
        <v>3.6999999999999999E-4</v>
      </c>
      <c r="BM459" s="78">
        <f t="shared" si="342"/>
        <v>3.6999999999999999E-4</v>
      </c>
      <c r="BN459" s="78">
        <f t="shared" si="343"/>
        <v>3.6999999999999999E-4</v>
      </c>
      <c r="BO459" s="78">
        <f t="shared" si="344"/>
        <v>3.6999999999999999E-4</v>
      </c>
      <c r="BP459" s="78">
        <f t="shared" si="345"/>
        <v>3.6999999999999999E-4</v>
      </c>
      <c r="BQ459" s="78">
        <f t="shared" si="346"/>
        <v>3.6999999999999999E-4</v>
      </c>
      <c r="BR459" s="78">
        <f t="shared" si="347"/>
        <v>3.6999999999999999E-4</v>
      </c>
      <c r="BS459" s="77"/>
      <c r="BT459" s="77"/>
    </row>
    <row r="460" spans="1:72" ht="14.1" customHeight="1" x14ac:dyDescent="0.2">
      <c r="A460" s="55" t="str">
        <f t="shared" si="318"/>
        <v>GDS-3 (Intermediate General Delivery)_Rider PGA - Uncollectible Adjustment</v>
      </c>
      <c r="B460" s="80" t="s">
        <v>671</v>
      </c>
      <c r="C460" s="83" t="s">
        <v>864</v>
      </c>
      <c r="D460" s="150"/>
      <c r="E460" s="81"/>
      <c r="F460" s="84" t="s">
        <v>640</v>
      </c>
      <c r="G460" s="84">
        <v>0</v>
      </c>
      <c r="H460" s="84">
        <v>6</v>
      </c>
      <c r="I460" s="74" t="s">
        <v>699</v>
      </c>
      <c r="J460" s="75" t="s">
        <v>634</v>
      </c>
      <c r="K460" s="74"/>
      <c r="L460" s="82">
        <v>1.0000000000000001E-5</v>
      </c>
      <c r="M460" s="138">
        <v>1.0000000000000001E-5</v>
      </c>
      <c r="N460" s="138">
        <v>1.0000000000000001E-5</v>
      </c>
      <c r="O460" s="138">
        <v>1.0000000000000001E-5</v>
      </c>
      <c r="P460" s="138">
        <v>1.0000000000000001E-5</v>
      </c>
      <c r="Q460" s="138">
        <v>1.0000000000000001E-5</v>
      </c>
      <c r="R460" s="138">
        <v>1.0000000000000001E-5</v>
      </c>
      <c r="S460" s="138">
        <v>1.0000000000000001E-5</v>
      </c>
      <c r="T460" s="138">
        <v>1.0000000000000001E-5</v>
      </c>
      <c r="U460" s="138">
        <v>1.0000000000000001E-5</v>
      </c>
      <c r="V460" s="138">
        <v>1.0000000000000001E-5</v>
      </c>
      <c r="W460" s="138">
        <v>1.0000000000000001E-5</v>
      </c>
      <c r="X460" s="138">
        <v>1.0000000000000001E-5</v>
      </c>
      <c r="Y460" s="138">
        <f t="shared" si="348"/>
        <v>1.0000000000000001E-5</v>
      </c>
      <c r="Z460" s="138">
        <f t="shared" si="349"/>
        <v>1.0000000000000001E-5</v>
      </c>
      <c r="AA460" s="138">
        <f t="shared" si="350"/>
        <v>1.0000000000000001E-5</v>
      </c>
      <c r="AB460" s="138">
        <f t="shared" si="351"/>
        <v>1.0000000000000001E-5</v>
      </c>
      <c r="AC460" s="138">
        <f t="shared" si="352"/>
        <v>1.0000000000000001E-5</v>
      </c>
      <c r="AD460" s="138">
        <f t="shared" si="353"/>
        <v>1.0000000000000001E-5</v>
      </c>
      <c r="AE460" s="138">
        <f t="shared" si="354"/>
        <v>1.0000000000000001E-5</v>
      </c>
      <c r="AF460" s="138">
        <f t="shared" si="355"/>
        <v>1.0000000000000001E-5</v>
      </c>
      <c r="AG460" s="138">
        <f t="shared" si="356"/>
        <v>1.0000000000000001E-5</v>
      </c>
      <c r="AH460" s="138">
        <f t="shared" si="357"/>
        <v>1.0000000000000001E-5</v>
      </c>
      <c r="AI460" s="138">
        <f t="shared" si="358"/>
        <v>1.0000000000000001E-5</v>
      </c>
      <c r="AJ460" s="138">
        <f t="shared" si="359"/>
        <v>1.0000000000000001E-5</v>
      </c>
      <c r="AK460" s="138">
        <f t="shared" si="360"/>
        <v>1.0000000000000001E-5</v>
      </c>
      <c r="AL460" s="138">
        <f t="shared" si="361"/>
        <v>1.0000000000000001E-5</v>
      </c>
      <c r="AM460" s="138">
        <f t="shared" si="362"/>
        <v>1.0000000000000001E-5</v>
      </c>
      <c r="AO460" s="77" t="str">
        <f t="shared" si="319"/>
        <v>GDS-3 (Intermediate General Delivery)</v>
      </c>
      <c r="AP460" s="78" t="s">
        <v>672</v>
      </c>
      <c r="AQ460" s="77" t="str">
        <f t="shared" si="320"/>
        <v>Rider PGA - Uncollectible Adjustment</v>
      </c>
      <c r="AR460" s="78" t="str">
        <f t="shared" si="321"/>
        <v>Prorated</v>
      </c>
      <c r="AS460" s="79">
        <f t="shared" si="322"/>
        <v>6</v>
      </c>
      <c r="AT460" s="78">
        <f t="shared" si="323"/>
        <v>0</v>
      </c>
      <c r="AU460" s="78">
        <f t="shared" si="324"/>
        <v>1.0000000000000001E-5</v>
      </c>
      <c r="AV460" s="78">
        <f t="shared" si="325"/>
        <v>1.0000000000000001E-5</v>
      </c>
      <c r="AW460" s="78">
        <f t="shared" si="326"/>
        <v>1.0000000000000001E-5</v>
      </c>
      <c r="AX460" s="78">
        <f t="shared" si="327"/>
        <v>1.0000000000000001E-5</v>
      </c>
      <c r="AY460" s="78">
        <f t="shared" si="328"/>
        <v>1.0000000000000001E-5</v>
      </c>
      <c r="AZ460" s="78">
        <f t="shared" si="329"/>
        <v>1.0000000000000001E-5</v>
      </c>
      <c r="BA460" s="78">
        <f t="shared" si="330"/>
        <v>1.0000000000000001E-5</v>
      </c>
      <c r="BB460" s="78">
        <f t="shared" si="331"/>
        <v>1.0000000000000001E-5</v>
      </c>
      <c r="BC460" s="78">
        <f t="shared" si="332"/>
        <v>1.0000000000000001E-5</v>
      </c>
      <c r="BD460" s="78">
        <f t="shared" si="333"/>
        <v>1.0000000000000001E-5</v>
      </c>
      <c r="BE460" s="78">
        <f t="shared" si="334"/>
        <v>1.0000000000000001E-5</v>
      </c>
      <c r="BF460" s="78">
        <f t="shared" si="335"/>
        <v>1.0000000000000001E-5</v>
      </c>
      <c r="BG460" s="78">
        <f t="shared" si="336"/>
        <v>1.0000000000000001E-5</v>
      </c>
      <c r="BH460" s="78">
        <f t="shared" si="337"/>
        <v>1.0000000000000001E-5</v>
      </c>
      <c r="BI460" s="78">
        <f t="shared" si="338"/>
        <v>1.0000000000000001E-5</v>
      </c>
      <c r="BJ460" s="78">
        <f t="shared" si="339"/>
        <v>1.0000000000000001E-5</v>
      </c>
      <c r="BK460" s="78">
        <f t="shared" si="340"/>
        <v>1.0000000000000001E-5</v>
      </c>
      <c r="BL460" s="78">
        <f t="shared" si="341"/>
        <v>1.0000000000000001E-5</v>
      </c>
      <c r="BM460" s="78">
        <f t="shared" si="342"/>
        <v>1.0000000000000001E-5</v>
      </c>
      <c r="BN460" s="78">
        <f t="shared" si="343"/>
        <v>1.0000000000000001E-5</v>
      </c>
      <c r="BO460" s="78">
        <f t="shared" si="344"/>
        <v>1.0000000000000001E-5</v>
      </c>
      <c r="BP460" s="78">
        <f t="shared" si="345"/>
        <v>1.0000000000000001E-5</v>
      </c>
      <c r="BQ460" s="78">
        <f t="shared" si="346"/>
        <v>1.0000000000000001E-5</v>
      </c>
      <c r="BR460" s="78">
        <f t="shared" si="347"/>
        <v>1.0000000000000001E-5</v>
      </c>
      <c r="BS460" s="77"/>
      <c r="BT460" s="77"/>
    </row>
    <row r="461" spans="1:72" ht="14.1" customHeight="1" x14ac:dyDescent="0.2">
      <c r="A461" s="55" t="str">
        <f t="shared" si="318"/>
        <v>GDS-4 (Large General Delivery)_Rider PGA - Uncollectible Adjustment</v>
      </c>
      <c r="B461" s="80" t="s">
        <v>673</v>
      </c>
      <c r="C461" s="83" t="s">
        <v>864</v>
      </c>
      <c r="D461" s="150"/>
      <c r="E461" s="81"/>
      <c r="F461" s="84" t="s">
        <v>640</v>
      </c>
      <c r="G461" s="84">
        <v>0</v>
      </c>
      <c r="H461" s="84">
        <v>6</v>
      </c>
      <c r="I461" s="74" t="s">
        <v>699</v>
      </c>
      <c r="J461" s="75" t="s">
        <v>634</v>
      </c>
      <c r="K461" s="74"/>
      <c r="L461" s="82">
        <v>0</v>
      </c>
      <c r="M461" s="138">
        <v>2.0000000000000001E-4</v>
      </c>
      <c r="N461" s="138">
        <v>1.8000000000000001E-4</v>
      </c>
      <c r="O461" s="138">
        <v>2.1000000000000001E-4</v>
      </c>
      <c r="P461" s="138">
        <v>1.8000000000000001E-4</v>
      </c>
      <c r="Q461" s="138">
        <v>2.0000000000000001E-4</v>
      </c>
      <c r="R461" s="138">
        <v>2.0000000000000001E-4</v>
      </c>
      <c r="S461" s="138">
        <v>1.9000000000000001E-4</v>
      </c>
      <c r="T461" s="138">
        <v>2.0000000000000001E-4</v>
      </c>
      <c r="U461" s="138">
        <v>2.2000000000000001E-4</v>
      </c>
      <c r="V461" s="138">
        <v>2.2000000000000001E-4</v>
      </c>
      <c r="W461" s="138">
        <v>2.2000000000000001E-4</v>
      </c>
      <c r="X461" s="138">
        <v>2.2000000000000001E-4</v>
      </c>
      <c r="Y461" s="138">
        <f t="shared" si="348"/>
        <v>2.2000000000000001E-4</v>
      </c>
      <c r="Z461" s="138">
        <f t="shared" si="349"/>
        <v>2.2000000000000001E-4</v>
      </c>
      <c r="AA461" s="138">
        <f t="shared" si="350"/>
        <v>2.2000000000000001E-4</v>
      </c>
      <c r="AB461" s="138">
        <f t="shared" si="351"/>
        <v>2.2000000000000001E-4</v>
      </c>
      <c r="AC461" s="138">
        <f t="shared" si="352"/>
        <v>2.2000000000000001E-4</v>
      </c>
      <c r="AD461" s="138">
        <f t="shared" si="353"/>
        <v>2.2000000000000001E-4</v>
      </c>
      <c r="AE461" s="138">
        <f t="shared" si="354"/>
        <v>2.2000000000000001E-4</v>
      </c>
      <c r="AF461" s="138">
        <f t="shared" si="355"/>
        <v>2.2000000000000001E-4</v>
      </c>
      <c r="AG461" s="138">
        <f t="shared" si="356"/>
        <v>2.2000000000000001E-4</v>
      </c>
      <c r="AH461" s="138">
        <f t="shared" si="357"/>
        <v>2.2000000000000001E-4</v>
      </c>
      <c r="AI461" s="138">
        <f t="shared" si="358"/>
        <v>2.2000000000000001E-4</v>
      </c>
      <c r="AJ461" s="138">
        <f t="shared" si="359"/>
        <v>2.2000000000000001E-4</v>
      </c>
      <c r="AK461" s="138">
        <f t="shared" si="360"/>
        <v>2.2000000000000001E-4</v>
      </c>
      <c r="AL461" s="138">
        <f t="shared" si="361"/>
        <v>2.2000000000000003E-4</v>
      </c>
      <c r="AM461" s="138">
        <f t="shared" si="362"/>
        <v>2.1249999999999999E-4</v>
      </c>
      <c r="AO461" s="77" t="str">
        <f t="shared" si="319"/>
        <v>GDS-4 (Large General Delivery)</v>
      </c>
      <c r="AP461" s="78" t="s">
        <v>674</v>
      </c>
      <c r="AQ461" s="77" t="str">
        <f t="shared" si="320"/>
        <v>Rider PGA - Uncollectible Adjustment</v>
      </c>
      <c r="AR461" s="78" t="str">
        <f t="shared" si="321"/>
        <v>Prorated</v>
      </c>
      <c r="AS461" s="79">
        <f t="shared" si="322"/>
        <v>6</v>
      </c>
      <c r="AT461" s="78">
        <f t="shared" si="323"/>
        <v>0</v>
      </c>
      <c r="AU461" s="78">
        <f t="shared" si="324"/>
        <v>2.0000000000000001E-4</v>
      </c>
      <c r="AV461" s="78">
        <f t="shared" si="325"/>
        <v>1.8000000000000001E-4</v>
      </c>
      <c r="AW461" s="78">
        <f t="shared" si="326"/>
        <v>2.1000000000000001E-4</v>
      </c>
      <c r="AX461" s="78">
        <f t="shared" si="327"/>
        <v>1.8000000000000001E-4</v>
      </c>
      <c r="AY461" s="78">
        <f t="shared" si="328"/>
        <v>2.0000000000000001E-4</v>
      </c>
      <c r="AZ461" s="78">
        <f t="shared" si="329"/>
        <v>2.0000000000000001E-4</v>
      </c>
      <c r="BA461" s="78">
        <f t="shared" si="330"/>
        <v>1.9000000000000001E-4</v>
      </c>
      <c r="BB461" s="78">
        <f t="shared" si="331"/>
        <v>2.0000000000000001E-4</v>
      </c>
      <c r="BC461" s="78">
        <f t="shared" si="332"/>
        <v>2.2000000000000001E-4</v>
      </c>
      <c r="BD461" s="78">
        <f t="shared" si="333"/>
        <v>2.2000000000000001E-4</v>
      </c>
      <c r="BE461" s="78">
        <f t="shared" si="334"/>
        <v>2.2000000000000001E-4</v>
      </c>
      <c r="BF461" s="78">
        <f t="shared" si="335"/>
        <v>2.2000000000000001E-4</v>
      </c>
      <c r="BG461" s="78">
        <f t="shared" si="336"/>
        <v>2.2000000000000001E-4</v>
      </c>
      <c r="BH461" s="78">
        <f t="shared" si="337"/>
        <v>2.2000000000000001E-4</v>
      </c>
      <c r="BI461" s="78">
        <f t="shared" si="338"/>
        <v>2.2000000000000001E-4</v>
      </c>
      <c r="BJ461" s="78">
        <f t="shared" si="339"/>
        <v>2.2000000000000001E-4</v>
      </c>
      <c r="BK461" s="78">
        <f t="shared" si="340"/>
        <v>2.2000000000000001E-4</v>
      </c>
      <c r="BL461" s="78">
        <f t="shared" si="341"/>
        <v>2.2000000000000001E-4</v>
      </c>
      <c r="BM461" s="78">
        <f t="shared" si="342"/>
        <v>2.2000000000000001E-4</v>
      </c>
      <c r="BN461" s="78">
        <f t="shared" si="343"/>
        <v>2.2000000000000001E-4</v>
      </c>
      <c r="BO461" s="78">
        <f t="shared" si="344"/>
        <v>2.2000000000000001E-4</v>
      </c>
      <c r="BP461" s="78">
        <f t="shared" si="345"/>
        <v>2.2000000000000001E-4</v>
      </c>
      <c r="BQ461" s="78">
        <f t="shared" si="346"/>
        <v>2.2000000000000001E-4</v>
      </c>
      <c r="BR461" s="78">
        <f t="shared" si="347"/>
        <v>2.2000000000000001E-4</v>
      </c>
      <c r="BS461" s="77"/>
      <c r="BT461" s="77"/>
    </row>
    <row r="462" spans="1:72" ht="14.1" customHeight="1" x14ac:dyDescent="0.2">
      <c r="A462" s="55" t="str">
        <f t="shared" si="318"/>
        <v>GDS-5 (Seasonal)_Rider PGA - Uncollectible Adjustment</v>
      </c>
      <c r="B462" s="80" t="s">
        <v>675</v>
      </c>
      <c r="C462" s="83" t="s">
        <v>864</v>
      </c>
      <c r="D462" s="150"/>
      <c r="E462" s="81"/>
      <c r="F462" s="84" t="s">
        <v>640</v>
      </c>
      <c r="G462" s="84">
        <v>0</v>
      </c>
      <c r="H462" s="84">
        <v>6</v>
      </c>
      <c r="I462" s="74" t="s">
        <v>699</v>
      </c>
      <c r="J462" s="75" t="s">
        <v>634</v>
      </c>
      <c r="K462" s="74"/>
      <c r="L462" s="82">
        <v>0</v>
      </c>
      <c r="M462" s="138">
        <v>3.1900000000000001E-3</v>
      </c>
      <c r="N462" s="138">
        <v>2.8300000000000001E-3</v>
      </c>
      <c r="O462" s="138">
        <v>3.3899999999999998E-3</v>
      </c>
      <c r="P462" s="138">
        <v>2.9499999999999999E-3</v>
      </c>
      <c r="Q462" s="138">
        <v>3.2100000000000002E-3</v>
      </c>
      <c r="R462" s="138">
        <v>3.1900000000000001E-3</v>
      </c>
      <c r="S462" s="138">
        <v>3.1199999999999999E-3</v>
      </c>
      <c r="T462" s="138">
        <v>3.2100000000000002E-3</v>
      </c>
      <c r="U462" s="138">
        <v>3.65E-3</v>
      </c>
      <c r="V462" s="138">
        <v>3.5599999999999998E-3</v>
      </c>
      <c r="W462" s="138">
        <v>3.5599999999999998E-3</v>
      </c>
      <c r="X462" s="138">
        <v>3.5599999999999998E-3</v>
      </c>
      <c r="Y462" s="138">
        <f t="shared" si="348"/>
        <v>3.5599999999999998E-3</v>
      </c>
      <c r="Z462" s="138">
        <f t="shared" si="349"/>
        <v>3.5599999999999998E-3</v>
      </c>
      <c r="AA462" s="138">
        <f t="shared" si="350"/>
        <v>3.5599999999999998E-3</v>
      </c>
      <c r="AB462" s="138">
        <f t="shared" si="351"/>
        <v>3.5599999999999998E-3</v>
      </c>
      <c r="AC462" s="138">
        <f t="shared" si="352"/>
        <v>3.5599999999999998E-3</v>
      </c>
      <c r="AD462" s="138">
        <f t="shared" si="353"/>
        <v>3.5599999999999998E-3</v>
      </c>
      <c r="AE462" s="138">
        <f t="shared" si="354"/>
        <v>3.5599999999999998E-3</v>
      </c>
      <c r="AF462" s="138">
        <f t="shared" si="355"/>
        <v>3.5599999999999998E-3</v>
      </c>
      <c r="AG462" s="138">
        <f t="shared" si="356"/>
        <v>3.5599999999999998E-3</v>
      </c>
      <c r="AH462" s="138">
        <f t="shared" si="357"/>
        <v>3.5599999999999998E-3</v>
      </c>
      <c r="AI462" s="138">
        <f t="shared" si="358"/>
        <v>3.5599999999999998E-3</v>
      </c>
      <c r="AJ462" s="138">
        <f t="shared" si="359"/>
        <v>3.5599999999999998E-3</v>
      </c>
      <c r="AK462" s="138">
        <f t="shared" si="360"/>
        <v>3.5599999999999998E-3</v>
      </c>
      <c r="AL462" s="138">
        <f t="shared" si="361"/>
        <v>3.5600000000000002E-3</v>
      </c>
      <c r="AM462" s="138">
        <f t="shared" si="362"/>
        <v>3.4379166666666655E-3</v>
      </c>
      <c r="AO462" s="77" t="str">
        <f t="shared" si="319"/>
        <v>GDS-5 (Seasonal)</v>
      </c>
      <c r="AP462" s="78" t="s">
        <v>676</v>
      </c>
      <c r="AQ462" s="77" t="str">
        <f t="shared" si="320"/>
        <v>Rider PGA - Uncollectible Adjustment</v>
      </c>
      <c r="AR462" s="78" t="str">
        <f t="shared" si="321"/>
        <v>Prorated</v>
      </c>
      <c r="AS462" s="79">
        <f t="shared" si="322"/>
        <v>6</v>
      </c>
      <c r="AT462" s="78">
        <f t="shared" si="323"/>
        <v>0</v>
      </c>
      <c r="AU462" s="78">
        <f t="shared" si="324"/>
        <v>3.1900000000000001E-3</v>
      </c>
      <c r="AV462" s="78">
        <f t="shared" si="325"/>
        <v>2.8300000000000001E-3</v>
      </c>
      <c r="AW462" s="78">
        <f t="shared" si="326"/>
        <v>3.3899999999999998E-3</v>
      </c>
      <c r="AX462" s="78">
        <f t="shared" si="327"/>
        <v>2.9499999999999999E-3</v>
      </c>
      <c r="AY462" s="78">
        <f t="shared" si="328"/>
        <v>3.2100000000000002E-3</v>
      </c>
      <c r="AZ462" s="78">
        <f t="shared" si="329"/>
        <v>3.1900000000000001E-3</v>
      </c>
      <c r="BA462" s="78">
        <f t="shared" si="330"/>
        <v>3.1199999999999999E-3</v>
      </c>
      <c r="BB462" s="78">
        <f t="shared" si="331"/>
        <v>3.2100000000000002E-3</v>
      </c>
      <c r="BC462" s="78">
        <f t="shared" si="332"/>
        <v>3.65E-3</v>
      </c>
      <c r="BD462" s="78">
        <f t="shared" si="333"/>
        <v>3.5599999999999998E-3</v>
      </c>
      <c r="BE462" s="78">
        <f t="shared" si="334"/>
        <v>3.5599999999999998E-3</v>
      </c>
      <c r="BF462" s="78">
        <f t="shared" si="335"/>
        <v>3.5599999999999998E-3</v>
      </c>
      <c r="BG462" s="78">
        <f t="shared" si="336"/>
        <v>3.5599999999999998E-3</v>
      </c>
      <c r="BH462" s="78">
        <f t="shared" si="337"/>
        <v>3.5599999999999998E-3</v>
      </c>
      <c r="BI462" s="78">
        <f t="shared" si="338"/>
        <v>3.5599999999999998E-3</v>
      </c>
      <c r="BJ462" s="78">
        <f t="shared" si="339"/>
        <v>3.5599999999999998E-3</v>
      </c>
      <c r="BK462" s="78">
        <f t="shared" si="340"/>
        <v>3.5599999999999998E-3</v>
      </c>
      <c r="BL462" s="78">
        <f t="shared" si="341"/>
        <v>3.5599999999999998E-3</v>
      </c>
      <c r="BM462" s="78">
        <f t="shared" si="342"/>
        <v>3.5599999999999998E-3</v>
      </c>
      <c r="BN462" s="78">
        <f t="shared" si="343"/>
        <v>3.5599999999999998E-3</v>
      </c>
      <c r="BO462" s="78">
        <f t="shared" si="344"/>
        <v>3.5599999999999998E-3</v>
      </c>
      <c r="BP462" s="78">
        <f t="shared" si="345"/>
        <v>3.5599999999999998E-3</v>
      </c>
      <c r="BQ462" s="78">
        <f t="shared" si="346"/>
        <v>3.5599999999999998E-3</v>
      </c>
      <c r="BR462" s="78">
        <f t="shared" si="347"/>
        <v>3.5599999999999998E-3</v>
      </c>
      <c r="BS462" s="77"/>
      <c r="BT462" s="77"/>
    </row>
    <row r="463" spans="1:72" ht="14.1" customHeight="1" x14ac:dyDescent="0.2">
      <c r="A463" s="55" t="str">
        <f t="shared" si="318"/>
        <v>GDS-6 (Inadequate Capacity)_Rider PGA - Uncollectible Adjustment</v>
      </c>
      <c r="B463" s="80" t="s">
        <v>700</v>
      </c>
      <c r="C463" s="83" t="s">
        <v>864</v>
      </c>
      <c r="D463" s="150"/>
      <c r="E463" s="81"/>
      <c r="F463" s="84" t="s">
        <v>640</v>
      </c>
      <c r="G463" s="84">
        <v>0</v>
      </c>
      <c r="H463" s="84">
        <v>6</v>
      </c>
      <c r="I463" s="74" t="s">
        <v>699</v>
      </c>
      <c r="J463" s="75" t="s">
        <v>634</v>
      </c>
      <c r="K463" s="74"/>
      <c r="L463" s="82">
        <v>0</v>
      </c>
      <c r="M463" s="138">
        <v>0</v>
      </c>
      <c r="N463" s="138">
        <v>0</v>
      </c>
      <c r="O463" s="138">
        <v>0</v>
      </c>
      <c r="P463" s="138">
        <v>0</v>
      </c>
      <c r="Q463" s="138">
        <v>0</v>
      </c>
      <c r="R463" s="138">
        <v>0</v>
      </c>
      <c r="S463" s="138">
        <v>0</v>
      </c>
      <c r="T463" s="138">
        <v>0</v>
      </c>
      <c r="U463" s="138">
        <v>0</v>
      </c>
      <c r="V463" s="138">
        <v>0</v>
      </c>
      <c r="W463" s="138">
        <v>0</v>
      </c>
      <c r="X463" s="138">
        <v>0</v>
      </c>
      <c r="Y463" s="138">
        <f t="shared" si="348"/>
        <v>0</v>
      </c>
      <c r="Z463" s="138">
        <f t="shared" si="349"/>
        <v>0</v>
      </c>
      <c r="AA463" s="138">
        <f t="shared" si="350"/>
        <v>0</v>
      </c>
      <c r="AB463" s="138">
        <f t="shared" si="351"/>
        <v>0</v>
      </c>
      <c r="AC463" s="138">
        <f t="shared" si="352"/>
        <v>0</v>
      </c>
      <c r="AD463" s="138">
        <f t="shared" si="353"/>
        <v>0</v>
      </c>
      <c r="AE463" s="138">
        <f t="shared" si="354"/>
        <v>0</v>
      </c>
      <c r="AF463" s="138">
        <f t="shared" si="355"/>
        <v>0</v>
      </c>
      <c r="AG463" s="138">
        <f t="shared" si="356"/>
        <v>0</v>
      </c>
      <c r="AH463" s="138">
        <f t="shared" si="357"/>
        <v>0</v>
      </c>
      <c r="AI463" s="138">
        <f t="shared" si="358"/>
        <v>0</v>
      </c>
      <c r="AJ463" s="138">
        <f t="shared" si="359"/>
        <v>0</v>
      </c>
      <c r="AK463" s="138">
        <f t="shared" si="360"/>
        <v>0</v>
      </c>
      <c r="AL463" s="138">
        <f t="shared" si="361"/>
        <v>0</v>
      </c>
      <c r="AM463" s="138">
        <f t="shared" si="362"/>
        <v>0</v>
      </c>
      <c r="AO463" s="77" t="str">
        <f t="shared" si="319"/>
        <v>GDS-6 (Inadequate Capacity)</v>
      </c>
      <c r="AP463" s="78" t="s">
        <v>701</v>
      </c>
      <c r="AQ463" s="77" t="str">
        <f t="shared" si="320"/>
        <v>Rider PGA - Uncollectible Adjustment</v>
      </c>
      <c r="AR463" s="78" t="str">
        <f t="shared" si="321"/>
        <v>Prorated</v>
      </c>
      <c r="AS463" s="79">
        <f t="shared" si="322"/>
        <v>6</v>
      </c>
      <c r="AT463" s="78">
        <f t="shared" si="323"/>
        <v>0</v>
      </c>
      <c r="AU463" s="78">
        <f t="shared" si="324"/>
        <v>0</v>
      </c>
      <c r="AV463" s="78">
        <f t="shared" si="325"/>
        <v>0</v>
      </c>
      <c r="AW463" s="78">
        <f t="shared" si="326"/>
        <v>0</v>
      </c>
      <c r="AX463" s="78">
        <f t="shared" si="327"/>
        <v>0</v>
      </c>
      <c r="AY463" s="78">
        <f t="shared" si="328"/>
        <v>0</v>
      </c>
      <c r="AZ463" s="78">
        <f t="shared" si="329"/>
        <v>0</v>
      </c>
      <c r="BA463" s="78">
        <f t="shared" si="330"/>
        <v>0</v>
      </c>
      <c r="BB463" s="78">
        <f t="shared" si="331"/>
        <v>0</v>
      </c>
      <c r="BC463" s="78">
        <f t="shared" si="332"/>
        <v>0</v>
      </c>
      <c r="BD463" s="78">
        <f t="shared" si="333"/>
        <v>0</v>
      </c>
      <c r="BE463" s="78">
        <f t="shared" si="334"/>
        <v>0</v>
      </c>
      <c r="BF463" s="78">
        <f t="shared" si="335"/>
        <v>0</v>
      </c>
      <c r="BG463" s="78">
        <f t="shared" si="336"/>
        <v>0</v>
      </c>
      <c r="BH463" s="78">
        <f t="shared" si="337"/>
        <v>0</v>
      </c>
      <c r="BI463" s="78">
        <f t="shared" si="338"/>
        <v>0</v>
      </c>
      <c r="BJ463" s="78">
        <f t="shared" si="339"/>
        <v>0</v>
      </c>
      <c r="BK463" s="78">
        <f t="shared" si="340"/>
        <v>0</v>
      </c>
      <c r="BL463" s="78">
        <f t="shared" si="341"/>
        <v>0</v>
      </c>
      <c r="BM463" s="78">
        <f t="shared" si="342"/>
        <v>0</v>
      </c>
      <c r="BN463" s="78">
        <f t="shared" si="343"/>
        <v>0</v>
      </c>
      <c r="BO463" s="78">
        <f t="shared" si="344"/>
        <v>0</v>
      </c>
      <c r="BP463" s="78">
        <f t="shared" si="345"/>
        <v>0</v>
      </c>
      <c r="BQ463" s="78">
        <f t="shared" si="346"/>
        <v>0</v>
      </c>
      <c r="BR463" s="78">
        <f t="shared" si="347"/>
        <v>0</v>
      </c>
      <c r="BS463" s="77"/>
      <c r="BT463" s="77"/>
    </row>
    <row r="464" spans="1:72" ht="14.1" customHeight="1" x14ac:dyDescent="0.2">
      <c r="A464" s="55" t="str">
        <f t="shared" si="318"/>
        <v>DS-1 (Residential)_Rider PSP - Program Charge</v>
      </c>
      <c r="B464" s="80" t="s">
        <v>90</v>
      </c>
      <c r="C464" s="71" t="s">
        <v>865</v>
      </c>
      <c r="D464" s="150" t="s">
        <v>557</v>
      </c>
      <c r="E464" s="81"/>
      <c r="F464" s="73" t="s">
        <v>649</v>
      </c>
      <c r="G464" s="73">
        <v>0</v>
      </c>
      <c r="H464" s="73">
        <v>6</v>
      </c>
      <c r="I464" s="74" t="s">
        <v>641</v>
      </c>
      <c r="J464" s="75" t="s">
        <v>634</v>
      </c>
      <c r="K464" s="74"/>
      <c r="L464" s="82">
        <v>0</v>
      </c>
      <c r="M464" s="138">
        <v>0.04</v>
      </c>
      <c r="N464" s="138">
        <v>0.04</v>
      </c>
      <c r="O464" s="138">
        <v>0.04</v>
      </c>
      <c r="P464" s="138">
        <v>0.04</v>
      </c>
      <c r="Q464" s="138">
        <v>0.04</v>
      </c>
      <c r="R464" s="138">
        <v>0.04</v>
      </c>
      <c r="S464" s="138">
        <v>0.04</v>
      </c>
      <c r="T464" s="138">
        <v>0.04</v>
      </c>
      <c r="U464" s="138">
        <v>0.04</v>
      </c>
      <c r="V464" s="138">
        <v>0.04</v>
      </c>
      <c r="W464" s="138">
        <v>0.04</v>
      </c>
      <c r="X464" s="138">
        <v>0.04</v>
      </c>
      <c r="Y464" s="138">
        <f t="shared" si="348"/>
        <v>0.04</v>
      </c>
      <c r="Z464" s="138">
        <f t="shared" si="349"/>
        <v>0.04</v>
      </c>
      <c r="AA464" s="138">
        <f t="shared" si="350"/>
        <v>0.04</v>
      </c>
      <c r="AB464" s="138">
        <f t="shared" si="351"/>
        <v>0.04</v>
      </c>
      <c r="AC464" s="138">
        <f t="shared" si="352"/>
        <v>0.04</v>
      </c>
      <c r="AD464" s="138">
        <f t="shared" si="353"/>
        <v>0.04</v>
      </c>
      <c r="AE464" s="138">
        <f t="shared" si="354"/>
        <v>0.04</v>
      </c>
      <c r="AF464" s="138">
        <f t="shared" si="355"/>
        <v>0.04</v>
      </c>
      <c r="AG464" s="138">
        <f t="shared" si="356"/>
        <v>0.04</v>
      </c>
      <c r="AH464" s="138">
        <f t="shared" si="357"/>
        <v>0.04</v>
      </c>
      <c r="AI464" s="138">
        <f t="shared" si="358"/>
        <v>0.04</v>
      </c>
      <c r="AJ464" s="138">
        <f t="shared" si="359"/>
        <v>0.04</v>
      </c>
      <c r="AK464" s="138">
        <f t="shared" si="360"/>
        <v>0.04</v>
      </c>
      <c r="AL464" s="138">
        <f t="shared" si="361"/>
        <v>3.9999999999999994E-2</v>
      </c>
      <c r="AM464" s="138">
        <f t="shared" si="362"/>
        <v>4.0000000000000015E-2</v>
      </c>
      <c r="AO464" s="77" t="str">
        <f t="shared" si="319"/>
        <v>DS-1 (Residential)</v>
      </c>
      <c r="AP464" s="78" t="s">
        <v>662</v>
      </c>
      <c r="AQ464" s="77" t="str">
        <f t="shared" si="320"/>
        <v>Rider PSP - Program Charge</v>
      </c>
      <c r="AR464" s="78" t="str">
        <f t="shared" si="321"/>
        <v>Billing Cycle</v>
      </c>
      <c r="AS464" s="79">
        <f t="shared" si="322"/>
        <v>6</v>
      </c>
      <c r="AT464" s="78">
        <f t="shared" si="323"/>
        <v>0</v>
      </c>
      <c r="AU464" s="78">
        <f t="shared" si="324"/>
        <v>0.04</v>
      </c>
      <c r="AV464" s="78">
        <f t="shared" si="325"/>
        <v>0.04</v>
      </c>
      <c r="AW464" s="78">
        <f t="shared" si="326"/>
        <v>0.04</v>
      </c>
      <c r="AX464" s="78">
        <f t="shared" si="327"/>
        <v>0.04</v>
      </c>
      <c r="AY464" s="78">
        <f t="shared" si="328"/>
        <v>0.04</v>
      </c>
      <c r="AZ464" s="78">
        <f t="shared" si="329"/>
        <v>0.04</v>
      </c>
      <c r="BA464" s="78">
        <f t="shared" si="330"/>
        <v>0.04</v>
      </c>
      <c r="BB464" s="78">
        <f t="shared" si="331"/>
        <v>0.04</v>
      </c>
      <c r="BC464" s="78">
        <f t="shared" si="332"/>
        <v>0.04</v>
      </c>
      <c r="BD464" s="78">
        <f t="shared" si="333"/>
        <v>0.04</v>
      </c>
      <c r="BE464" s="78">
        <f t="shared" si="334"/>
        <v>0.04</v>
      </c>
      <c r="BF464" s="78">
        <f t="shared" si="335"/>
        <v>0.04</v>
      </c>
      <c r="BG464" s="78">
        <f t="shared" si="336"/>
        <v>0.04</v>
      </c>
      <c r="BH464" s="78">
        <f t="shared" si="337"/>
        <v>0.04</v>
      </c>
      <c r="BI464" s="78">
        <f t="shared" si="338"/>
        <v>0.04</v>
      </c>
      <c r="BJ464" s="78">
        <f t="shared" si="339"/>
        <v>0.04</v>
      </c>
      <c r="BK464" s="78">
        <f t="shared" si="340"/>
        <v>0.04</v>
      </c>
      <c r="BL464" s="78">
        <f t="shared" si="341"/>
        <v>0.04</v>
      </c>
      <c r="BM464" s="78">
        <f t="shared" si="342"/>
        <v>0.04</v>
      </c>
      <c r="BN464" s="78">
        <f t="shared" si="343"/>
        <v>0.04</v>
      </c>
      <c r="BO464" s="78">
        <f t="shared" si="344"/>
        <v>0.04</v>
      </c>
      <c r="BP464" s="78">
        <f t="shared" si="345"/>
        <v>0.04</v>
      </c>
      <c r="BQ464" s="78">
        <f t="shared" si="346"/>
        <v>0.04</v>
      </c>
      <c r="BR464" s="78">
        <f t="shared" si="347"/>
        <v>0.04</v>
      </c>
      <c r="BS464" s="77"/>
      <c r="BT464" s="77"/>
    </row>
    <row r="465" spans="1:72" ht="14.1" customHeight="1" x14ac:dyDescent="0.2">
      <c r="A465" s="55" t="str">
        <f t="shared" si="318"/>
        <v>GDS-1 (Residential)_Rider PUAC - Public Utility Assessment Charge</v>
      </c>
      <c r="B465" s="80" t="s">
        <v>95</v>
      </c>
      <c r="C465" s="83" t="s">
        <v>866</v>
      </c>
      <c r="D465" s="150" t="s">
        <v>557</v>
      </c>
      <c r="E465" s="81"/>
      <c r="F465" s="73" t="s">
        <v>649</v>
      </c>
      <c r="G465" s="73">
        <v>0</v>
      </c>
      <c r="H465" s="73">
        <v>6</v>
      </c>
      <c r="I465" s="74" t="s">
        <v>641</v>
      </c>
      <c r="J465" s="75" t="s">
        <v>634</v>
      </c>
      <c r="K465" s="74"/>
      <c r="L465" s="82">
        <v>0.02</v>
      </c>
      <c r="M465" s="138">
        <v>0</v>
      </c>
      <c r="N465" s="138">
        <v>0</v>
      </c>
      <c r="O465" s="138">
        <v>0</v>
      </c>
      <c r="P465" s="138">
        <v>0.02</v>
      </c>
      <c r="Q465" s="138">
        <v>0.02</v>
      </c>
      <c r="R465" s="138">
        <v>0.02</v>
      </c>
      <c r="S465" s="138">
        <v>0.02</v>
      </c>
      <c r="T465" s="138">
        <v>0.02</v>
      </c>
      <c r="U465" s="138">
        <v>0.02</v>
      </c>
      <c r="V465" s="138">
        <v>0.02</v>
      </c>
      <c r="W465" s="138">
        <v>0.02</v>
      </c>
      <c r="X465" s="138">
        <v>0.02</v>
      </c>
      <c r="Y465" s="138">
        <f t="shared" si="348"/>
        <v>0.02</v>
      </c>
      <c r="Z465" s="138">
        <f t="shared" si="349"/>
        <v>0.02</v>
      </c>
      <c r="AA465" s="138">
        <f t="shared" si="350"/>
        <v>0.02</v>
      </c>
      <c r="AB465" s="138">
        <f t="shared" si="351"/>
        <v>0.02</v>
      </c>
      <c r="AC465" s="138">
        <f t="shared" si="352"/>
        <v>0.02</v>
      </c>
      <c r="AD465" s="138">
        <f t="shared" si="353"/>
        <v>0.02</v>
      </c>
      <c r="AE465" s="138">
        <f t="shared" si="354"/>
        <v>0.02</v>
      </c>
      <c r="AF465" s="138">
        <f t="shared" si="355"/>
        <v>0.02</v>
      </c>
      <c r="AG465" s="138">
        <f t="shared" si="356"/>
        <v>0.02</v>
      </c>
      <c r="AH465" s="138">
        <f t="shared" si="357"/>
        <v>0.02</v>
      </c>
      <c r="AI465" s="138">
        <f t="shared" si="358"/>
        <v>0.02</v>
      </c>
      <c r="AJ465" s="138">
        <f t="shared" si="359"/>
        <v>0.02</v>
      </c>
      <c r="AK465" s="138">
        <f t="shared" si="360"/>
        <v>0.02</v>
      </c>
      <c r="AL465" s="138">
        <f t="shared" si="361"/>
        <v>1.9999999999999997E-2</v>
      </c>
      <c r="AM465" s="138">
        <f t="shared" si="362"/>
        <v>1.8333333333333337E-2</v>
      </c>
      <c r="AO465" s="77" t="str">
        <f t="shared" si="319"/>
        <v>GDS-1 (Residential)</v>
      </c>
      <c r="AP465" s="78" t="s">
        <v>668</v>
      </c>
      <c r="AQ465" s="77" t="str">
        <f t="shared" si="320"/>
        <v>Rider PUAC - Public Utility Assessment Charge</v>
      </c>
      <c r="AR465" s="78" t="str">
        <f t="shared" si="321"/>
        <v>Billing Cycle</v>
      </c>
      <c r="AS465" s="79">
        <f t="shared" si="322"/>
        <v>6</v>
      </c>
      <c r="AT465" s="78">
        <f t="shared" si="323"/>
        <v>0</v>
      </c>
      <c r="AU465" s="78">
        <f t="shared" si="324"/>
        <v>0</v>
      </c>
      <c r="AV465" s="78">
        <f t="shared" si="325"/>
        <v>0</v>
      </c>
      <c r="AW465" s="78">
        <f t="shared" si="326"/>
        <v>0</v>
      </c>
      <c r="AX465" s="78">
        <f t="shared" si="327"/>
        <v>0.02</v>
      </c>
      <c r="AY465" s="78">
        <f t="shared" si="328"/>
        <v>0.02</v>
      </c>
      <c r="AZ465" s="78">
        <f t="shared" si="329"/>
        <v>0.02</v>
      </c>
      <c r="BA465" s="78">
        <f t="shared" si="330"/>
        <v>0.02</v>
      </c>
      <c r="BB465" s="78">
        <f t="shared" si="331"/>
        <v>0.02</v>
      </c>
      <c r="BC465" s="78">
        <f t="shared" si="332"/>
        <v>0.02</v>
      </c>
      <c r="BD465" s="78">
        <f t="shared" si="333"/>
        <v>0.02</v>
      </c>
      <c r="BE465" s="78">
        <f t="shared" si="334"/>
        <v>0.02</v>
      </c>
      <c r="BF465" s="78">
        <f t="shared" si="335"/>
        <v>0.02</v>
      </c>
      <c r="BG465" s="78">
        <f t="shared" si="336"/>
        <v>0.02</v>
      </c>
      <c r="BH465" s="78">
        <f t="shared" si="337"/>
        <v>0.02</v>
      </c>
      <c r="BI465" s="78">
        <f t="shared" si="338"/>
        <v>0.02</v>
      </c>
      <c r="BJ465" s="78">
        <f t="shared" si="339"/>
        <v>0.02</v>
      </c>
      <c r="BK465" s="78">
        <f t="shared" si="340"/>
        <v>0.02</v>
      </c>
      <c r="BL465" s="78">
        <f t="shared" si="341"/>
        <v>0.02</v>
      </c>
      <c r="BM465" s="78">
        <f t="shared" si="342"/>
        <v>0.02</v>
      </c>
      <c r="BN465" s="78">
        <f t="shared" si="343"/>
        <v>0.02</v>
      </c>
      <c r="BO465" s="78">
        <f t="shared" si="344"/>
        <v>0.02</v>
      </c>
      <c r="BP465" s="78">
        <f t="shared" si="345"/>
        <v>0.02</v>
      </c>
      <c r="BQ465" s="78">
        <f t="shared" si="346"/>
        <v>0.02</v>
      </c>
      <c r="BR465" s="78">
        <f t="shared" si="347"/>
        <v>0.02</v>
      </c>
      <c r="BS465" s="77"/>
      <c r="BT465" s="77"/>
    </row>
    <row r="466" spans="1:72" ht="14.1" customHeight="1" x14ac:dyDescent="0.2">
      <c r="A466" s="55" t="str">
        <f t="shared" si="318"/>
        <v>GDS-2 (Small General Delivery)_Rider PUAC - Public Utility Assessment Charge &lt; 4M</v>
      </c>
      <c r="B466" s="80" t="s">
        <v>669</v>
      </c>
      <c r="C466" s="83" t="s">
        <v>867</v>
      </c>
      <c r="D466" s="150"/>
      <c r="E466" s="81"/>
      <c r="F466" s="73" t="s">
        <v>649</v>
      </c>
      <c r="G466" s="73">
        <v>0</v>
      </c>
      <c r="H466" s="73">
        <v>6</v>
      </c>
      <c r="I466" s="74" t="s">
        <v>641</v>
      </c>
      <c r="J466" s="75" t="s">
        <v>634</v>
      </c>
      <c r="K466" s="74"/>
      <c r="L466" s="82">
        <v>0.2</v>
      </c>
      <c r="M466" s="138">
        <v>0</v>
      </c>
      <c r="N466" s="138">
        <v>0</v>
      </c>
      <c r="O466" s="138">
        <v>0</v>
      </c>
      <c r="P466" s="138">
        <v>0.2</v>
      </c>
      <c r="Q466" s="138">
        <v>0.2</v>
      </c>
      <c r="R466" s="138">
        <v>0.2</v>
      </c>
      <c r="S466" s="138">
        <v>0.2</v>
      </c>
      <c r="T466" s="138">
        <v>0.2</v>
      </c>
      <c r="U466" s="138">
        <v>0.2</v>
      </c>
      <c r="V466" s="138">
        <v>0.2</v>
      </c>
      <c r="W466" s="138">
        <v>0.2</v>
      </c>
      <c r="X466" s="138">
        <v>0.2</v>
      </c>
      <c r="Y466" s="138">
        <f t="shared" si="348"/>
        <v>0.2</v>
      </c>
      <c r="Z466" s="138">
        <f t="shared" si="349"/>
        <v>0.2</v>
      </c>
      <c r="AA466" s="138">
        <f t="shared" si="350"/>
        <v>0.2</v>
      </c>
      <c r="AB466" s="138">
        <f t="shared" si="351"/>
        <v>0.2</v>
      </c>
      <c r="AC466" s="138">
        <f t="shared" si="352"/>
        <v>0.2</v>
      </c>
      <c r="AD466" s="138">
        <f t="shared" si="353"/>
        <v>0.2</v>
      </c>
      <c r="AE466" s="138">
        <f t="shared" si="354"/>
        <v>0.2</v>
      </c>
      <c r="AF466" s="138">
        <f t="shared" si="355"/>
        <v>0.2</v>
      </c>
      <c r="AG466" s="138">
        <f t="shared" si="356"/>
        <v>0.2</v>
      </c>
      <c r="AH466" s="138">
        <f t="shared" si="357"/>
        <v>0.2</v>
      </c>
      <c r="AI466" s="138">
        <f t="shared" si="358"/>
        <v>0.2</v>
      </c>
      <c r="AJ466" s="138">
        <f t="shared" si="359"/>
        <v>0.2</v>
      </c>
      <c r="AK466" s="138">
        <f t="shared" si="360"/>
        <v>0.2</v>
      </c>
      <c r="AL466" s="138">
        <f t="shared" si="361"/>
        <v>0.19999999999999998</v>
      </c>
      <c r="AM466" s="138">
        <f t="shared" si="362"/>
        <v>0.18333333333333338</v>
      </c>
      <c r="AO466" s="77" t="str">
        <f t="shared" si="319"/>
        <v>GDS-2 (Small General Delivery)</v>
      </c>
      <c r="AP466" s="78" t="s">
        <v>670</v>
      </c>
      <c r="AQ466" s="77" t="str">
        <f t="shared" si="320"/>
        <v>Rider PUAC - Public Utility Assessment Charge &lt; 4M</v>
      </c>
      <c r="AR466" s="78" t="str">
        <f t="shared" si="321"/>
        <v>Billing Cycle</v>
      </c>
      <c r="AS466" s="79">
        <f t="shared" si="322"/>
        <v>6</v>
      </c>
      <c r="AT466" s="78">
        <f t="shared" si="323"/>
        <v>0</v>
      </c>
      <c r="AU466" s="78">
        <f t="shared" si="324"/>
        <v>0</v>
      </c>
      <c r="AV466" s="78">
        <f t="shared" si="325"/>
        <v>0</v>
      </c>
      <c r="AW466" s="78">
        <f t="shared" si="326"/>
        <v>0</v>
      </c>
      <c r="AX466" s="78">
        <f t="shared" si="327"/>
        <v>0.2</v>
      </c>
      <c r="AY466" s="78">
        <f t="shared" si="328"/>
        <v>0.2</v>
      </c>
      <c r="AZ466" s="78">
        <f t="shared" si="329"/>
        <v>0.2</v>
      </c>
      <c r="BA466" s="78">
        <f t="shared" si="330"/>
        <v>0.2</v>
      </c>
      <c r="BB466" s="78">
        <f t="shared" si="331"/>
        <v>0.2</v>
      </c>
      <c r="BC466" s="78">
        <f t="shared" si="332"/>
        <v>0.2</v>
      </c>
      <c r="BD466" s="78">
        <f t="shared" si="333"/>
        <v>0.2</v>
      </c>
      <c r="BE466" s="78">
        <f t="shared" si="334"/>
        <v>0.2</v>
      </c>
      <c r="BF466" s="78">
        <f t="shared" si="335"/>
        <v>0.2</v>
      </c>
      <c r="BG466" s="78">
        <f t="shared" si="336"/>
        <v>0.2</v>
      </c>
      <c r="BH466" s="78">
        <f t="shared" si="337"/>
        <v>0.2</v>
      </c>
      <c r="BI466" s="78">
        <f t="shared" si="338"/>
        <v>0.2</v>
      </c>
      <c r="BJ466" s="78">
        <f t="shared" si="339"/>
        <v>0.2</v>
      </c>
      <c r="BK466" s="78">
        <f t="shared" si="340"/>
        <v>0.2</v>
      </c>
      <c r="BL466" s="78">
        <f t="shared" si="341"/>
        <v>0.2</v>
      </c>
      <c r="BM466" s="78">
        <f t="shared" si="342"/>
        <v>0.2</v>
      </c>
      <c r="BN466" s="78">
        <f t="shared" si="343"/>
        <v>0.2</v>
      </c>
      <c r="BO466" s="78">
        <f t="shared" si="344"/>
        <v>0.2</v>
      </c>
      <c r="BP466" s="78">
        <f t="shared" si="345"/>
        <v>0.2</v>
      </c>
      <c r="BQ466" s="78">
        <f t="shared" si="346"/>
        <v>0.2</v>
      </c>
      <c r="BR466" s="78">
        <f t="shared" si="347"/>
        <v>0.2</v>
      </c>
      <c r="BS466" s="77">
        <v>1000</v>
      </c>
      <c r="BT466" s="77" t="s">
        <v>654</v>
      </c>
    </row>
    <row r="467" spans="1:72" ht="14.1" customHeight="1" x14ac:dyDescent="0.2">
      <c r="A467" s="55" t="str">
        <f t="shared" si="318"/>
        <v>GDS-3 (Intermediate General Delivery)_Rider PUAC - Public Utility Assessment Charge &lt; 4M</v>
      </c>
      <c r="B467" s="80" t="s">
        <v>671</v>
      </c>
      <c r="C467" s="83" t="s">
        <v>867</v>
      </c>
      <c r="D467" s="150"/>
      <c r="E467" s="81"/>
      <c r="F467" s="73" t="s">
        <v>649</v>
      </c>
      <c r="G467" s="73">
        <v>0</v>
      </c>
      <c r="H467" s="73">
        <v>6</v>
      </c>
      <c r="I467" s="74" t="s">
        <v>641</v>
      </c>
      <c r="J467" s="75" t="s">
        <v>634</v>
      </c>
      <c r="K467" s="74"/>
      <c r="L467" s="82">
        <v>0.2</v>
      </c>
      <c r="M467" s="138">
        <v>0</v>
      </c>
      <c r="N467" s="138">
        <v>0</v>
      </c>
      <c r="O467" s="138">
        <v>0</v>
      </c>
      <c r="P467" s="138">
        <v>0.2</v>
      </c>
      <c r="Q467" s="138">
        <v>0.2</v>
      </c>
      <c r="R467" s="138">
        <v>0.2</v>
      </c>
      <c r="S467" s="138">
        <v>0.2</v>
      </c>
      <c r="T467" s="138">
        <v>0.2</v>
      </c>
      <c r="U467" s="138">
        <v>0.2</v>
      </c>
      <c r="V467" s="138">
        <v>0.2</v>
      </c>
      <c r="W467" s="138">
        <v>0.2</v>
      </c>
      <c r="X467" s="138">
        <v>0.2</v>
      </c>
      <c r="Y467" s="138">
        <f t="shared" si="348"/>
        <v>0.2</v>
      </c>
      <c r="Z467" s="138">
        <f t="shared" si="349"/>
        <v>0.2</v>
      </c>
      <c r="AA467" s="138">
        <f t="shared" si="350"/>
        <v>0.2</v>
      </c>
      <c r="AB467" s="138">
        <f t="shared" si="351"/>
        <v>0.2</v>
      </c>
      <c r="AC467" s="138">
        <f t="shared" si="352"/>
        <v>0.2</v>
      </c>
      <c r="AD467" s="138">
        <f t="shared" si="353"/>
        <v>0.2</v>
      </c>
      <c r="AE467" s="138">
        <f t="shared" si="354"/>
        <v>0.2</v>
      </c>
      <c r="AF467" s="138">
        <f t="shared" si="355"/>
        <v>0.2</v>
      </c>
      <c r="AG467" s="138">
        <f t="shared" si="356"/>
        <v>0.2</v>
      </c>
      <c r="AH467" s="138">
        <f t="shared" si="357"/>
        <v>0.2</v>
      </c>
      <c r="AI467" s="138">
        <f t="shared" si="358"/>
        <v>0.2</v>
      </c>
      <c r="AJ467" s="138">
        <f t="shared" si="359"/>
        <v>0.2</v>
      </c>
      <c r="AK467" s="138">
        <f t="shared" si="360"/>
        <v>0.2</v>
      </c>
      <c r="AL467" s="138">
        <f t="shared" si="361"/>
        <v>0.19999999999999998</v>
      </c>
      <c r="AM467" s="138">
        <f t="shared" si="362"/>
        <v>0.18333333333333338</v>
      </c>
      <c r="AO467" s="77" t="str">
        <f t="shared" si="319"/>
        <v>GDS-3 (Intermediate General Delivery)</v>
      </c>
      <c r="AP467" s="78" t="s">
        <v>672</v>
      </c>
      <c r="AQ467" s="77" t="str">
        <f t="shared" si="320"/>
        <v>Rider PUAC - Public Utility Assessment Charge &lt; 4M</v>
      </c>
      <c r="AR467" s="78" t="str">
        <f t="shared" si="321"/>
        <v>Billing Cycle</v>
      </c>
      <c r="AS467" s="79">
        <f t="shared" si="322"/>
        <v>6</v>
      </c>
      <c r="AT467" s="78">
        <f t="shared" si="323"/>
        <v>0</v>
      </c>
      <c r="AU467" s="78">
        <f t="shared" si="324"/>
        <v>0</v>
      </c>
      <c r="AV467" s="78">
        <f t="shared" si="325"/>
        <v>0</v>
      </c>
      <c r="AW467" s="78">
        <f t="shared" si="326"/>
        <v>0</v>
      </c>
      <c r="AX467" s="78">
        <f t="shared" si="327"/>
        <v>0.2</v>
      </c>
      <c r="AY467" s="78">
        <f t="shared" si="328"/>
        <v>0.2</v>
      </c>
      <c r="AZ467" s="78">
        <f t="shared" si="329"/>
        <v>0.2</v>
      </c>
      <c r="BA467" s="78">
        <f t="shared" si="330"/>
        <v>0.2</v>
      </c>
      <c r="BB467" s="78">
        <f t="shared" si="331"/>
        <v>0.2</v>
      </c>
      <c r="BC467" s="78">
        <f t="shared" si="332"/>
        <v>0.2</v>
      </c>
      <c r="BD467" s="78">
        <f t="shared" si="333"/>
        <v>0.2</v>
      </c>
      <c r="BE467" s="78">
        <f t="shared" si="334"/>
        <v>0.2</v>
      </c>
      <c r="BF467" s="78">
        <f t="shared" si="335"/>
        <v>0.2</v>
      </c>
      <c r="BG467" s="78">
        <f t="shared" si="336"/>
        <v>0.2</v>
      </c>
      <c r="BH467" s="78">
        <f t="shared" si="337"/>
        <v>0.2</v>
      </c>
      <c r="BI467" s="78">
        <f t="shared" si="338"/>
        <v>0.2</v>
      </c>
      <c r="BJ467" s="78">
        <f t="shared" si="339"/>
        <v>0.2</v>
      </c>
      <c r="BK467" s="78">
        <f t="shared" si="340"/>
        <v>0.2</v>
      </c>
      <c r="BL467" s="78">
        <f t="shared" si="341"/>
        <v>0.2</v>
      </c>
      <c r="BM467" s="78">
        <f t="shared" si="342"/>
        <v>0.2</v>
      </c>
      <c r="BN467" s="78">
        <f t="shared" si="343"/>
        <v>0.2</v>
      </c>
      <c r="BO467" s="78">
        <f t="shared" si="344"/>
        <v>0.2</v>
      </c>
      <c r="BP467" s="78">
        <f t="shared" si="345"/>
        <v>0.2</v>
      </c>
      <c r="BQ467" s="78">
        <f t="shared" si="346"/>
        <v>0.2</v>
      </c>
      <c r="BR467" s="78">
        <f t="shared" si="347"/>
        <v>0.2</v>
      </c>
      <c r="BS467" s="77">
        <v>1000</v>
      </c>
      <c r="BT467" s="77" t="s">
        <v>684</v>
      </c>
    </row>
    <row r="468" spans="1:72" ht="14.1" customHeight="1" x14ac:dyDescent="0.2">
      <c r="A468" s="55" t="str">
        <f t="shared" si="318"/>
        <v>GDS-4 (Large General Delivery)_Rider PUAC - Public Utility Assessment Charge &lt; 4M</v>
      </c>
      <c r="B468" s="80" t="s">
        <v>673</v>
      </c>
      <c r="C468" s="83" t="s">
        <v>867</v>
      </c>
      <c r="D468" s="150"/>
      <c r="E468" s="81"/>
      <c r="F468" s="73" t="s">
        <v>649</v>
      </c>
      <c r="G468" s="73">
        <v>0</v>
      </c>
      <c r="H468" s="73">
        <v>6</v>
      </c>
      <c r="I468" s="74" t="s">
        <v>641</v>
      </c>
      <c r="J468" s="75" t="s">
        <v>634</v>
      </c>
      <c r="K468" s="74"/>
      <c r="L468" s="82">
        <v>0.2</v>
      </c>
      <c r="M468" s="138">
        <v>0</v>
      </c>
      <c r="N468" s="138">
        <v>0</v>
      </c>
      <c r="O468" s="138">
        <v>0</v>
      </c>
      <c r="P468" s="138">
        <v>0.2</v>
      </c>
      <c r="Q468" s="138">
        <v>0.2</v>
      </c>
      <c r="R468" s="138">
        <v>0.2</v>
      </c>
      <c r="S468" s="138">
        <v>0.2</v>
      </c>
      <c r="T468" s="138">
        <v>0.2</v>
      </c>
      <c r="U468" s="138">
        <v>0.2</v>
      </c>
      <c r="V468" s="138">
        <v>0.2</v>
      </c>
      <c r="W468" s="138">
        <v>0.2</v>
      </c>
      <c r="X468" s="138">
        <v>0.2</v>
      </c>
      <c r="Y468" s="138">
        <f t="shared" si="348"/>
        <v>0.2</v>
      </c>
      <c r="Z468" s="138">
        <f t="shared" si="349"/>
        <v>0.2</v>
      </c>
      <c r="AA468" s="138">
        <f t="shared" si="350"/>
        <v>0.2</v>
      </c>
      <c r="AB468" s="138">
        <f t="shared" si="351"/>
        <v>0.2</v>
      </c>
      <c r="AC468" s="138">
        <f t="shared" si="352"/>
        <v>0.2</v>
      </c>
      <c r="AD468" s="138">
        <f t="shared" si="353"/>
        <v>0.2</v>
      </c>
      <c r="AE468" s="138">
        <f t="shared" si="354"/>
        <v>0.2</v>
      </c>
      <c r="AF468" s="138">
        <f t="shared" si="355"/>
        <v>0.2</v>
      </c>
      <c r="AG468" s="138">
        <f t="shared" si="356"/>
        <v>0.2</v>
      </c>
      <c r="AH468" s="138">
        <f t="shared" si="357"/>
        <v>0.2</v>
      </c>
      <c r="AI468" s="138">
        <f t="shared" si="358"/>
        <v>0.2</v>
      </c>
      <c r="AJ468" s="138">
        <f t="shared" si="359"/>
        <v>0.2</v>
      </c>
      <c r="AK468" s="138">
        <f t="shared" si="360"/>
        <v>0.2</v>
      </c>
      <c r="AL468" s="138">
        <f t="shared" si="361"/>
        <v>0.19999999999999998</v>
      </c>
      <c r="AM468" s="138">
        <f t="shared" si="362"/>
        <v>0.18333333333333338</v>
      </c>
      <c r="AO468" s="77" t="str">
        <f t="shared" si="319"/>
        <v>GDS-4 (Large General Delivery)</v>
      </c>
      <c r="AP468" s="78" t="s">
        <v>674</v>
      </c>
      <c r="AQ468" s="77" t="str">
        <f t="shared" si="320"/>
        <v>Rider PUAC - Public Utility Assessment Charge &lt; 4M</v>
      </c>
      <c r="AR468" s="78" t="str">
        <f t="shared" si="321"/>
        <v>Billing Cycle</v>
      </c>
      <c r="AS468" s="79">
        <f t="shared" si="322"/>
        <v>6</v>
      </c>
      <c r="AT468" s="78">
        <f t="shared" si="323"/>
        <v>0</v>
      </c>
      <c r="AU468" s="78">
        <f t="shared" si="324"/>
        <v>0</v>
      </c>
      <c r="AV468" s="78">
        <f t="shared" si="325"/>
        <v>0</v>
      </c>
      <c r="AW468" s="78">
        <f t="shared" si="326"/>
        <v>0</v>
      </c>
      <c r="AX468" s="78">
        <f t="shared" si="327"/>
        <v>0.2</v>
      </c>
      <c r="AY468" s="78">
        <f t="shared" si="328"/>
        <v>0.2</v>
      </c>
      <c r="AZ468" s="78">
        <f t="shared" si="329"/>
        <v>0.2</v>
      </c>
      <c r="BA468" s="78">
        <f t="shared" si="330"/>
        <v>0.2</v>
      </c>
      <c r="BB468" s="78">
        <f t="shared" si="331"/>
        <v>0.2</v>
      </c>
      <c r="BC468" s="78">
        <f t="shared" si="332"/>
        <v>0.2</v>
      </c>
      <c r="BD468" s="78">
        <f t="shared" si="333"/>
        <v>0.2</v>
      </c>
      <c r="BE468" s="78">
        <f t="shared" si="334"/>
        <v>0.2</v>
      </c>
      <c r="BF468" s="78">
        <f t="shared" si="335"/>
        <v>0.2</v>
      </c>
      <c r="BG468" s="78">
        <f t="shared" si="336"/>
        <v>0.2</v>
      </c>
      <c r="BH468" s="78">
        <f t="shared" si="337"/>
        <v>0.2</v>
      </c>
      <c r="BI468" s="78">
        <f t="shared" si="338"/>
        <v>0.2</v>
      </c>
      <c r="BJ468" s="78">
        <f t="shared" si="339"/>
        <v>0.2</v>
      </c>
      <c r="BK468" s="78">
        <f t="shared" si="340"/>
        <v>0.2</v>
      </c>
      <c r="BL468" s="78">
        <f t="shared" si="341"/>
        <v>0.2</v>
      </c>
      <c r="BM468" s="78">
        <f t="shared" si="342"/>
        <v>0.2</v>
      </c>
      <c r="BN468" s="78">
        <f t="shared" si="343"/>
        <v>0.2</v>
      </c>
      <c r="BO468" s="78">
        <f t="shared" si="344"/>
        <v>0.2</v>
      </c>
      <c r="BP468" s="78">
        <f t="shared" si="345"/>
        <v>0.2</v>
      </c>
      <c r="BQ468" s="78">
        <f t="shared" si="346"/>
        <v>0.2</v>
      </c>
      <c r="BR468" s="78">
        <f t="shared" si="347"/>
        <v>0.2</v>
      </c>
      <c r="BS468" s="77"/>
      <c r="BT468" s="77"/>
    </row>
    <row r="469" spans="1:72" ht="14.1" customHeight="1" x14ac:dyDescent="0.2">
      <c r="A469" s="55" t="str">
        <f t="shared" si="318"/>
        <v>GDS-5 (Seasonal)_Rider PUAC - Public Utility Assessment Charge &lt; 4M</v>
      </c>
      <c r="B469" s="80" t="s">
        <v>675</v>
      </c>
      <c r="C469" s="83" t="s">
        <v>867</v>
      </c>
      <c r="D469" s="150"/>
      <c r="E469" s="81"/>
      <c r="F469" s="73" t="s">
        <v>649</v>
      </c>
      <c r="G469" s="73">
        <v>0</v>
      </c>
      <c r="H469" s="73">
        <v>6</v>
      </c>
      <c r="I469" s="74" t="s">
        <v>641</v>
      </c>
      <c r="J469" s="75" t="s">
        <v>634</v>
      </c>
      <c r="K469" s="74"/>
      <c r="L469" s="82">
        <v>0.2</v>
      </c>
      <c r="M469" s="138">
        <v>0</v>
      </c>
      <c r="N469" s="138">
        <v>0</v>
      </c>
      <c r="O469" s="138">
        <v>0</v>
      </c>
      <c r="P469" s="138">
        <v>15</v>
      </c>
      <c r="Q469" s="138">
        <v>15</v>
      </c>
      <c r="R469" s="138">
        <v>15</v>
      </c>
      <c r="S469" s="138">
        <v>15</v>
      </c>
      <c r="T469" s="138">
        <v>15</v>
      </c>
      <c r="U469" s="138">
        <v>15</v>
      </c>
      <c r="V469" s="138">
        <v>15</v>
      </c>
      <c r="W469" s="138">
        <v>15</v>
      </c>
      <c r="X469" s="138">
        <v>15</v>
      </c>
      <c r="Y469" s="138">
        <f t="shared" si="348"/>
        <v>15</v>
      </c>
      <c r="Z469" s="138">
        <f t="shared" si="349"/>
        <v>15</v>
      </c>
      <c r="AA469" s="138">
        <f t="shared" si="350"/>
        <v>15</v>
      </c>
      <c r="AB469" s="138">
        <f t="shared" si="351"/>
        <v>15</v>
      </c>
      <c r="AC469" s="138">
        <f t="shared" si="352"/>
        <v>15</v>
      </c>
      <c r="AD469" s="138">
        <f t="shared" si="353"/>
        <v>15</v>
      </c>
      <c r="AE469" s="138">
        <f t="shared" si="354"/>
        <v>15</v>
      </c>
      <c r="AF469" s="138">
        <f t="shared" si="355"/>
        <v>15</v>
      </c>
      <c r="AG469" s="138">
        <f t="shared" si="356"/>
        <v>15</v>
      </c>
      <c r="AH469" s="138">
        <f t="shared" si="357"/>
        <v>15</v>
      </c>
      <c r="AI469" s="138">
        <f t="shared" si="358"/>
        <v>15</v>
      </c>
      <c r="AJ469" s="138">
        <f t="shared" si="359"/>
        <v>15</v>
      </c>
      <c r="AK469" s="138">
        <f t="shared" si="360"/>
        <v>15</v>
      </c>
      <c r="AL469" s="138">
        <f t="shared" si="361"/>
        <v>15</v>
      </c>
      <c r="AM469" s="138">
        <f t="shared" si="362"/>
        <v>13.75</v>
      </c>
      <c r="AO469" s="77" t="str">
        <f t="shared" si="319"/>
        <v>GDS-5 (Seasonal)</v>
      </c>
      <c r="AP469" s="78" t="s">
        <v>676</v>
      </c>
      <c r="AQ469" s="77" t="str">
        <f t="shared" si="320"/>
        <v>Rider PUAC - Public Utility Assessment Charge &lt; 4M</v>
      </c>
      <c r="AR469" s="78" t="str">
        <f t="shared" si="321"/>
        <v>Billing Cycle</v>
      </c>
      <c r="AS469" s="79">
        <f t="shared" si="322"/>
        <v>6</v>
      </c>
      <c r="AT469" s="78">
        <f t="shared" si="323"/>
        <v>0</v>
      </c>
      <c r="AU469" s="78">
        <f t="shared" si="324"/>
        <v>0</v>
      </c>
      <c r="AV469" s="78">
        <f t="shared" si="325"/>
        <v>0</v>
      </c>
      <c r="AW469" s="78">
        <f t="shared" si="326"/>
        <v>0</v>
      </c>
      <c r="AX469" s="78">
        <f t="shared" si="327"/>
        <v>15</v>
      </c>
      <c r="AY469" s="78">
        <f t="shared" si="328"/>
        <v>15</v>
      </c>
      <c r="AZ469" s="78">
        <f t="shared" si="329"/>
        <v>15</v>
      </c>
      <c r="BA469" s="78">
        <f t="shared" si="330"/>
        <v>15</v>
      </c>
      <c r="BB469" s="78">
        <f t="shared" si="331"/>
        <v>15</v>
      </c>
      <c r="BC469" s="78">
        <f t="shared" si="332"/>
        <v>15</v>
      </c>
      <c r="BD469" s="78">
        <f t="shared" si="333"/>
        <v>15</v>
      </c>
      <c r="BE469" s="78">
        <f t="shared" si="334"/>
        <v>15</v>
      </c>
      <c r="BF469" s="78">
        <f t="shared" si="335"/>
        <v>15</v>
      </c>
      <c r="BG469" s="78">
        <f t="shared" si="336"/>
        <v>15</v>
      </c>
      <c r="BH469" s="78">
        <f t="shared" si="337"/>
        <v>15</v>
      </c>
      <c r="BI469" s="78">
        <f t="shared" si="338"/>
        <v>15</v>
      </c>
      <c r="BJ469" s="78">
        <f t="shared" si="339"/>
        <v>15</v>
      </c>
      <c r="BK469" s="78">
        <f t="shared" si="340"/>
        <v>15</v>
      </c>
      <c r="BL469" s="78">
        <f t="shared" si="341"/>
        <v>15</v>
      </c>
      <c r="BM469" s="78">
        <f t="shared" si="342"/>
        <v>15</v>
      </c>
      <c r="BN469" s="78">
        <f t="shared" si="343"/>
        <v>15</v>
      </c>
      <c r="BO469" s="78">
        <f t="shared" si="344"/>
        <v>15</v>
      </c>
      <c r="BP469" s="78">
        <f t="shared" si="345"/>
        <v>15</v>
      </c>
      <c r="BQ469" s="78">
        <f t="shared" si="346"/>
        <v>15</v>
      </c>
      <c r="BR469" s="78">
        <f t="shared" si="347"/>
        <v>15</v>
      </c>
      <c r="BS469" s="77"/>
      <c r="BT469" s="77"/>
    </row>
    <row r="470" spans="1:72" ht="14.1" customHeight="1" x14ac:dyDescent="0.2">
      <c r="A470" s="55" t="str">
        <f t="shared" si="318"/>
        <v>GDS-2 (Small General Delivery)_Rider PUAC - Public Utility Assessment Charge &gt; 4M</v>
      </c>
      <c r="B470" s="80" t="s">
        <v>669</v>
      </c>
      <c r="C470" s="83" t="s">
        <v>868</v>
      </c>
      <c r="D470" s="150"/>
      <c r="E470" s="81"/>
      <c r="F470" s="73" t="s">
        <v>649</v>
      </c>
      <c r="G470" s="73">
        <v>0</v>
      </c>
      <c r="H470" s="73">
        <v>6</v>
      </c>
      <c r="I470" s="74" t="s">
        <v>641</v>
      </c>
      <c r="J470" s="75" t="s">
        <v>634</v>
      </c>
      <c r="K470" s="74"/>
      <c r="L470" s="82">
        <v>15</v>
      </c>
      <c r="M470" s="138">
        <v>0</v>
      </c>
      <c r="N470" s="138">
        <v>0</v>
      </c>
      <c r="O470" s="138">
        <v>0</v>
      </c>
      <c r="P470" s="138">
        <v>15</v>
      </c>
      <c r="Q470" s="138">
        <v>15</v>
      </c>
      <c r="R470" s="138">
        <v>15</v>
      </c>
      <c r="S470" s="138">
        <v>15</v>
      </c>
      <c r="T470" s="138">
        <v>15</v>
      </c>
      <c r="U470" s="138">
        <v>15</v>
      </c>
      <c r="V470" s="138">
        <v>15</v>
      </c>
      <c r="W470" s="138">
        <v>15</v>
      </c>
      <c r="X470" s="138">
        <v>15</v>
      </c>
      <c r="Y470" s="138">
        <f t="shared" si="348"/>
        <v>15</v>
      </c>
      <c r="Z470" s="138">
        <f t="shared" si="349"/>
        <v>15</v>
      </c>
      <c r="AA470" s="138">
        <f t="shared" si="350"/>
        <v>15</v>
      </c>
      <c r="AB470" s="138">
        <f t="shared" si="351"/>
        <v>15</v>
      </c>
      <c r="AC470" s="138">
        <f t="shared" si="352"/>
        <v>15</v>
      </c>
      <c r="AD470" s="138">
        <f t="shared" si="353"/>
        <v>15</v>
      </c>
      <c r="AE470" s="138">
        <f t="shared" si="354"/>
        <v>15</v>
      </c>
      <c r="AF470" s="138">
        <f t="shared" si="355"/>
        <v>15</v>
      </c>
      <c r="AG470" s="138">
        <f t="shared" si="356"/>
        <v>15</v>
      </c>
      <c r="AH470" s="138">
        <f t="shared" si="357"/>
        <v>15</v>
      </c>
      <c r="AI470" s="138">
        <f t="shared" si="358"/>
        <v>15</v>
      </c>
      <c r="AJ470" s="138">
        <f t="shared" si="359"/>
        <v>15</v>
      </c>
      <c r="AK470" s="138">
        <f t="shared" si="360"/>
        <v>15</v>
      </c>
      <c r="AL470" s="138">
        <f t="shared" si="361"/>
        <v>15</v>
      </c>
      <c r="AM470" s="138">
        <f t="shared" si="362"/>
        <v>13.75</v>
      </c>
      <c r="AO470" s="77" t="str">
        <f t="shared" si="319"/>
        <v>GDS-2 (Small General Delivery)</v>
      </c>
      <c r="AP470" s="78" t="s">
        <v>670</v>
      </c>
      <c r="AQ470" s="77" t="str">
        <f t="shared" si="320"/>
        <v>Rider PUAC - Public Utility Assessment Charge &gt; 4M</v>
      </c>
      <c r="AR470" s="78" t="str">
        <f t="shared" si="321"/>
        <v>Billing Cycle</v>
      </c>
      <c r="AS470" s="79">
        <f t="shared" si="322"/>
        <v>6</v>
      </c>
      <c r="AT470" s="78">
        <f t="shared" si="323"/>
        <v>15</v>
      </c>
      <c r="AU470" s="78">
        <f t="shared" si="324"/>
        <v>0</v>
      </c>
      <c r="AV470" s="78">
        <f t="shared" si="325"/>
        <v>0</v>
      </c>
      <c r="AW470" s="78">
        <f t="shared" si="326"/>
        <v>0</v>
      </c>
      <c r="AX470" s="78">
        <f t="shared" si="327"/>
        <v>15</v>
      </c>
      <c r="AY470" s="78">
        <f t="shared" si="328"/>
        <v>15</v>
      </c>
      <c r="AZ470" s="78">
        <f t="shared" si="329"/>
        <v>15</v>
      </c>
      <c r="BA470" s="78">
        <f t="shared" si="330"/>
        <v>15</v>
      </c>
      <c r="BB470" s="78">
        <f t="shared" si="331"/>
        <v>15</v>
      </c>
      <c r="BC470" s="78">
        <f t="shared" si="332"/>
        <v>15</v>
      </c>
      <c r="BD470" s="78">
        <f t="shared" si="333"/>
        <v>15</v>
      </c>
      <c r="BE470" s="78">
        <f t="shared" si="334"/>
        <v>15</v>
      </c>
      <c r="BF470" s="78">
        <f t="shared" si="335"/>
        <v>15</v>
      </c>
      <c r="BG470" s="78">
        <f t="shared" si="336"/>
        <v>15</v>
      </c>
      <c r="BH470" s="78">
        <f t="shared" si="337"/>
        <v>15</v>
      </c>
      <c r="BI470" s="78">
        <f t="shared" si="338"/>
        <v>15</v>
      </c>
      <c r="BJ470" s="78">
        <f t="shared" si="339"/>
        <v>15</v>
      </c>
      <c r="BK470" s="78">
        <f t="shared" si="340"/>
        <v>15</v>
      </c>
      <c r="BL470" s="78">
        <f t="shared" si="341"/>
        <v>15</v>
      </c>
      <c r="BM470" s="78">
        <f t="shared" si="342"/>
        <v>15</v>
      </c>
      <c r="BN470" s="78">
        <f t="shared" si="343"/>
        <v>15</v>
      </c>
      <c r="BO470" s="78">
        <f t="shared" si="344"/>
        <v>15</v>
      </c>
      <c r="BP470" s="78">
        <f t="shared" si="345"/>
        <v>15</v>
      </c>
      <c r="BQ470" s="78">
        <f t="shared" si="346"/>
        <v>15</v>
      </c>
      <c r="BR470" s="78">
        <f t="shared" si="347"/>
        <v>15</v>
      </c>
      <c r="BS470" s="77"/>
      <c r="BT470" s="77"/>
    </row>
    <row r="471" spans="1:72" ht="14.1" customHeight="1" x14ac:dyDescent="0.2">
      <c r="A471" s="55" t="str">
        <f t="shared" si="318"/>
        <v>GDS-3 (Intermediate General Delivery)_Rider PUAC - Public Utility Assessment Charge &gt; 4M</v>
      </c>
      <c r="B471" s="80" t="s">
        <v>671</v>
      </c>
      <c r="C471" s="83" t="s">
        <v>868</v>
      </c>
      <c r="D471" s="150"/>
      <c r="E471" s="81"/>
      <c r="F471" s="73" t="s">
        <v>649</v>
      </c>
      <c r="G471" s="73">
        <v>0</v>
      </c>
      <c r="H471" s="73">
        <v>6</v>
      </c>
      <c r="I471" s="74" t="s">
        <v>641</v>
      </c>
      <c r="J471" s="75" t="s">
        <v>634</v>
      </c>
      <c r="K471" s="74"/>
      <c r="L471" s="82">
        <v>15</v>
      </c>
      <c r="M471" s="138">
        <v>0</v>
      </c>
      <c r="N471" s="138">
        <v>0</v>
      </c>
      <c r="O471" s="138">
        <v>0</v>
      </c>
      <c r="P471" s="138">
        <v>15</v>
      </c>
      <c r="Q471" s="138">
        <v>15</v>
      </c>
      <c r="R471" s="138">
        <v>15</v>
      </c>
      <c r="S471" s="138">
        <v>15</v>
      </c>
      <c r="T471" s="138">
        <v>15</v>
      </c>
      <c r="U471" s="138">
        <v>15</v>
      </c>
      <c r="V471" s="138">
        <v>15</v>
      </c>
      <c r="W471" s="138">
        <v>15</v>
      </c>
      <c r="X471" s="138">
        <v>15</v>
      </c>
      <c r="Y471" s="138">
        <f t="shared" si="348"/>
        <v>15</v>
      </c>
      <c r="Z471" s="138">
        <f t="shared" si="349"/>
        <v>15</v>
      </c>
      <c r="AA471" s="138">
        <f t="shared" si="350"/>
        <v>15</v>
      </c>
      <c r="AB471" s="138">
        <f t="shared" si="351"/>
        <v>15</v>
      </c>
      <c r="AC471" s="138">
        <f t="shared" si="352"/>
        <v>15</v>
      </c>
      <c r="AD471" s="138">
        <f t="shared" si="353"/>
        <v>15</v>
      </c>
      <c r="AE471" s="138">
        <f t="shared" si="354"/>
        <v>15</v>
      </c>
      <c r="AF471" s="138">
        <f t="shared" si="355"/>
        <v>15</v>
      </c>
      <c r="AG471" s="138">
        <f t="shared" si="356"/>
        <v>15</v>
      </c>
      <c r="AH471" s="138">
        <f t="shared" si="357"/>
        <v>15</v>
      </c>
      <c r="AI471" s="138">
        <f t="shared" si="358"/>
        <v>15</v>
      </c>
      <c r="AJ471" s="138">
        <f t="shared" si="359"/>
        <v>15</v>
      </c>
      <c r="AK471" s="138">
        <f t="shared" si="360"/>
        <v>15</v>
      </c>
      <c r="AL471" s="138">
        <f t="shared" si="361"/>
        <v>15</v>
      </c>
      <c r="AM471" s="138">
        <f t="shared" si="362"/>
        <v>13.75</v>
      </c>
      <c r="AO471" s="77" t="str">
        <f t="shared" si="319"/>
        <v>GDS-3 (Intermediate General Delivery)</v>
      </c>
      <c r="AP471" s="78" t="s">
        <v>672</v>
      </c>
      <c r="AQ471" s="77" t="str">
        <f t="shared" si="320"/>
        <v>Rider PUAC - Public Utility Assessment Charge &gt; 4M</v>
      </c>
      <c r="AR471" s="78" t="str">
        <f t="shared" si="321"/>
        <v>Billing Cycle</v>
      </c>
      <c r="AS471" s="79">
        <f t="shared" si="322"/>
        <v>6</v>
      </c>
      <c r="AT471" s="78">
        <f t="shared" si="323"/>
        <v>15</v>
      </c>
      <c r="AU471" s="78">
        <f t="shared" si="324"/>
        <v>0</v>
      </c>
      <c r="AV471" s="78">
        <f t="shared" si="325"/>
        <v>0</v>
      </c>
      <c r="AW471" s="78">
        <f t="shared" si="326"/>
        <v>0</v>
      </c>
      <c r="AX471" s="78">
        <f t="shared" si="327"/>
        <v>15</v>
      </c>
      <c r="AY471" s="78">
        <f t="shared" si="328"/>
        <v>15</v>
      </c>
      <c r="AZ471" s="78">
        <f t="shared" si="329"/>
        <v>15</v>
      </c>
      <c r="BA471" s="78">
        <f t="shared" si="330"/>
        <v>15</v>
      </c>
      <c r="BB471" s="78">
        <f t="shared" si="331"/>
        <v>15</v>
      </c>
      <c r="BC471" s="78">
        <f t="shared" si="332"/>
        <v>15</v>
      </c>
      <c r="BD471" s="78">
        <f t="shared" si="333"/>
        <v>15</v>
      </c>
      <c r="BE471" s="78">
        <f t="shared" si="334"/>
        <v>15</v>
      </c>
      <c r="BF471" s="78">
        <f t="shared" si="335"/>
        <v>15</v>
      </c>
      <c r="BG471" s="78">
        <f t="shared" si="336"/>
        <v>15</v>
      </c>
      <c r="BH471" s="78">
        <f t="shared" si="337"/>
        <v>15</v>
      </c>
      <c r="BI471" s="78">
        <f t="shared" si="338"/>
        <v>15</v>
      </c>
      <c r="BJ471" s="78">
        <f t="shared" si="339"/>
        <v>15</v>
      </c>
      <c r="BK471" s="78">
        <f t="shared" si="340"/>
        <v>15</v>
      </c>
      <c r="BL471" s="78">
        <f t="shared" si="341"/>
        <v>15</v>
      </c>
      <c r="BM471" s="78">
        <f t="shared" si="342"/>
        <v>15</v>
      </c>
      <c r="BN471" s="78">
        <f t="shared" si="343"/>
        <v>15</v>
      </c>
      <c r="BO471" s="78">
        <f t="shared" si="344"/>
        <v>15</v>
      </c>
      <c r="BP471" s="78">
        <f t="shared" si="345"/>
        <v>15</v>
      </c>
      <c r="BQ471" s="78">
        <f t="shared" si="346"/>
        <v>15</v>
      </c>
      <c r="BR471" s="78">
        <f t="shared" si="347"/>
        <v>15</v>
      </c>
      <c r="BS471" s="77"/>
      <c r="BT471" s="77"/>
    </row>
    <row r="472" spans="1:72" ht="14.1" customHeight="1" x14ac:dyDescent="0.2">
      <c r="A472" s="55" t="str">
        <f t="shared" si="318"/>
        <v>GDS-4 (Large General Delivery)_Rider PUAC - Public Utility Assessment Charge &gt; 4M</v>
      </c>
      <c r="B472" s="80" t="s">
        <v>673</v>
      </c>
      <c r="C472" s="83" t="s">
        <v>868</v>
      </c>
      <c r="D472" s="150"/>
      <c r="E472" s="81"/>
      <c r="F472" s="73" t="s">
        <v>649</v>
      </c>
      <c r="G472" s="73">
        <v>0</v>
      </c>
      <c r="H472" s="73">
        <v>6</v>
      </c>
      <c r="I472" s="74" t="s">
        <v>641</v>
      </c>
      <c r="J472" s="75" t="s">
        <v>634</v>
      </c>
      <c r="K472" s="74"/>
      <c r="L472" s="82">
        <v>15</v>
      </c>
      <c r="M472" s="138">
        <v>0</v>
      </c>
      <c r="N472" s="138">
        <v>0</v>
      </c>
      <c r="O472" s="138">
        <v>0</v>
      </c>
      <c r="P472" s="138">
        <v>15</v>
      </c>
      <c r="Q472" s="138">
        <v>15</v>
      </c>
      <c r="R472" s="138">
        <v>15</v>
      </c>
      <c r="S472" s="138">
        <v>15</v>
      </c>
      <c r="T472" s="138">
        <v>15</v>
      </c>
      <c r="U472" s="138">
        <v>15</v>
      </c>
      <c r="V472" s="138">
        <v>15</v>
      </c>
      <c r="W472" s="138">
        <v>15</v>
      </c>
      <c r="X472" s="138">
        <v>15</v>
      </c>
      <c r="Y472" s="138">
        <f t="shared" si="348"/>
        <v>15</v>
      </c>
      <c r="Z472" s="138">
        <f t="shared" si="349"/>
        <v>15</v>
      </c>
      <c r="AA472" s="138">
        <f t="shared" si="350"/>
        <v>15</v>
      </c>
      <c r="AB472" s="138">
        <f t="shared" si="351"/>
        <v>15</v>
      </c>
      <c r="AC472" s="138">
        <f t="shared" si="352"/>
        <v>15</v>
      </c>
      <c r="AD472" s="138">
        <f t="shared" si="353"/>
        <v>15</v>
      </c>
      <c r="AE472" s="138">
        <f t="shared" si="354"/>
        <v>15</v>
      </c>
      <c r="AF472" s="138">
        <f t="shared" si="355"/>
        <v>15</v>
      </c>
      <c r="AG472" s="138">
        <f t="shared" si="356"/>
        <v>15</v>
      </c>
      <c r="AH472" s="138">
        <f t="shared" si="357"/>
        <v>15</v>
      </c>
      <c r="AI472" s="138">
        <f t="shared" si="358"/>
        <v>15</v>
      </c>
      <c r="AJ472" s="138">
        <f t="shared" si="359"/>
        <v>15</v>
      </c>
      <c r="AK472" s="138">
        <f t="shared" si="360"/>
        <v>15</v>
      </c>
      <c r="AL472" s="138">
        <f t="shared" si="361"/>
        <v>15</v>
      </c>
      <c r="AM472" s="138">
        <f t="shared" si="362"/>
        <v>13.75</v>
      </c>
      <c r="AO472" s="77" t="str">
        <f t="shared" si="319"/>
        <v>GDS-4 (Large General Delivery)</v>
      </c>
      <c r="AP472" s="78" t="s">
        <v>674</v>
      </c>
      <c r="AQ472" s="77" t="str">
        <f t="shared" si="320"/>
        <v>Rider PUAC - Public Utility Assessment Charge &gt; 4M</v>
      </c>
      <c r="AR472" s="78" t="str">
        <f t="shared" si="321"/>
        <v>Billing Cycle</v>
      </c>
      <c r="AS472" s="79">
        <f t="shared" si="322"/>
        <v>6</v>
      </c>
      <c r="AT472" s="78">
        <f t="shared" si="323"/>
        <v>15</v>
      </c>
      <c r="AU472" s="78">
        <f t="shared" si="324"/>
        <v>0</v>
      </c>
      <c r="AV472" s="78">
        <f t="shared" si="325"/>
        <v>0</v>
      </c>
      <c r="AW472" s="78">
        <f t="shared" si="326"/>
        <v>0</v>
      </c>
      <c r="AX472" s="78">
        <f t="shared" si="327"/>
        <v>15</v>
      </c>
      <c r="AY472" s="78">
        <f t="shared" si="328"/>
        <v>15</v>
      </c>
      <c r="AZ472" s="78">
        <f t="shared" si="329"/>
        <v>15</v>
      </c>
      <c r="BA472" s="78">
        <f t="shared" si="330"/>
        <v>15</v>
      </c>
      <c r="BB472" s="78">
        <f t="shared" si="331"/>
        <v>15</v>
      </c>
      <c r="BC472" s="78">
        <f t="shared" si="332"/>
        <v>15</v>
      </c>
      <c r="BD472" s="78">
        <f t="shared" si="333"/>
        <v>15</v>
      </c>
      <c r="BE472" s="78">
        <f t="shared" si="334"/>
        <v>15</v>
      </c>
      <c r="BF472" s="78">
        <f t="shared" si="335"/>
        <v>15</v>
      </c>
      <c r="BG472" s="78">
        <f t="shared" si="336"/>
        <v>15</v>
      </c>
      <c r="BH472" s="78">
        <f t="shared" si="337"/>
        <v>15</v>
      </c>
      <c r="BI472" s="78">
        <f t="shared" si="338"/>
        <v>15</v>
      </c>
      <c r="BJ472" s="78">
        <f t="shared" si="339"/>
        <v>15</v>
      </c>
      <c r="BK472" s="78">
        <f t="shared" si="340"/>
        <v>15</v>
      </c>
      <c r="BL472" s="78">
        <f t="shared" si="341"/>
        <v>15</v>
      </c>
      <c r="BM472" s="78">
        <f t="shared" si="342"/>
        <v>15</v>
      </c>
      <c r="BN472" s="78">
        <f t="shared" si="343"/>
        <v>15</v>
      </c>
      <c r="BO472" s="78">
        <f t="shared" si="344"/>
        <v>15</v>
      </c>
      <c r="BP472" s="78">
        <f t="shared" si="345"/>
        <v>15</v>
      </c>
      <c r="BQ472" s="78">
        <f t="shared" si="346"/>
        <v>15</v>
      </c>
      <c r="BR472" s="78">
        <f t="shared" si="347"/>
        <v>15</v>
      </c>
      <c r="BS472" s="77"/>
      <c r="BT472" s="77"/>
    </row>
    <row r="473" spans="1:72" ht="14.1" customHeight="1" x14ac:dyDescent="0.2">
      <c r="A473" s="55" t="str">
        <f t="shared" si="318"/>
        <v>GDS-5 (Seasonal)_Rider PUAC - Public Utility Assessment Charge &gt; 4M</v>
      </c>
      <c r="B473" s="80" t="s">
        <v>675</v>
      </c>
      <c r="C473" s="83" t="s">
        <v>868</v>
      </c>
      <c r="D473" s="150"/>
      <c r="E473" s="81"/>
      <c r="F473" s="73" t="s">
        <v>649</v>
      </c>
      <c r="G473" s="73">
        <v>0</v>
      </c>
      <c r="H473" s="73">
        <v>6</v>
      </c>
      <c r="I473" s="74" t="s">
        <v>641</v>
      </c>
      <c r="J473" s="75" t="s">
        <v>634</v>
      </c>
      <c r="K473" s="74"/>
      <c r="L473" s="82">
        <v>15</v>
      </c>
      <c r="M473" s="138">
        <v>0</v>
      </c>
      <c r="N473" s="138">
        <v>0</v>
      </c>
      <c r="O473" s="138">
        <v>0</v>
      </c>
      <c r="P473" s="138">
        <v>15</v>
      </c>
      <c r="Q473" s="138">
        <v>15</v>
      </c>
      <c r="R473" s="138">
        <v>15</v>
      </c>
      <c r="S473" s="138">
        <v>15</v>
      </c>
      <c r="T473" s="138">
        <v>15</v>
      </c>
      <c r="U473" s="138">
        <v>15</v>
      </c>
      <c r="V473" s="138">
        <v>15</v>
      </c>
      <c r="W473" s="138">
        <v>15</v>
      </c>
      <c r="X473" s="138">
        <v>15</v>
      </c>
      <c r="Y473" s="138">
        <f t="shared" si="348"/>
        <v>15</v>
      </c>
      <c r="Z473" s="138">
        <f t="shared" si="349"/>
        <v>15</v>
      </c>
      <c r="AA473" s="138">
        <f t="shared" si="350"/>
        <v>15</v>
      </c>
      <c r="AB473" s="138">
        <f t="shared" si="351"/>
        <v>15</v>
      </c>
      <c r="AC473" s="138">
        <f t="shared" si="352"/>
        <v>15</v>
      </c>
      <c r="AD473" s="138">
        <f t="shared" si="353"/>
        <v>15</v>
      </c>
      <c r="AE473" s="138">
        <f t="shared" si="354"/>
        <v>15</v>
      </c>
      <c r="AF473" s="138">
        <f t="shared" si="355"/>
        <v>15</v>
      </c>
      <c r="AG473" s="138">
        <f t="shared" si="356"/>
        <v>15</v>
      </c>
      <c r="AH473" s="138">
        <f t="shared" si="357"/>
        <v>15</v>
      </c>
      <c r="AI473" s="138">
        <f t="shared" si="358"/>
        <v>15</v>
      </c>
      <c r="AJ473" s="138">
        <f t="shared" si="359"/>
        <v>15</v>
      </c>
      <c r="AK473" s="138">
        <f t="shared" si="360"/>
        <v>15</v>
      </c>
      <c r="AL473" s="138">
        <f t="shared" si="361"/>
        <v>15</v>
      </c>
      <c r="AM473" s="138">
        <f t="shared" si="362"/>
        <v>13.75</v>
      </c>
      <c r="AO473" s="77" t="str">
        <f t="shared" si="319"/>
        <v>GDS-5 (Seasonal)</v>
      </c>
      <c r="AP473" s="78" t="s">
        <v>676</v>
      </c>
      <c r="AQ473" s="77" t="str">
        <f t="shared" si="320"/>
        <v>Rider PUAC - Public Utility Assessment Charge &gt; 4M</v>
      </c>
      <c r="AR473" s="78" t="str">
        <f t="shared" si="321"/>
        <v>Billing Cycle</v>
      </c>
      <c r="AS473" s="79">
        <f t="shared" si="322"/>
        <v>6</v>
      </c>
      <c r="AT473" s="78">
        <f t="shared" si="323"/>
        <v>15</v>
      </c>
      <c r="AU473" s="78">
        <f t="shared" si="324"/>
        <v>0</v>
      </c>
      <c r="AV473" s="78">
        <f t="shared" si="325"/>
        <v>0</v>
      </c>
      <c r="AW473" s="78">
        <f t="shared" si="326"/>
        <v>0</v>
      </c>
      <c r="AX473" s="78">
        <f t="shared" si="327"/>
        <v>15</v>
      </c>
      <c r="AY473" s="78">
        <f t="shared" si="328"/>
        <v>15</v>
      </c>
      <c r="AZ473" s="78">
        <f t="shared" si="329"/>
        <v>15</v>
      </c>
      <c r="BA473" s="78">
        <f t="shared" si="330"/>
        <v>15</v>
      </c>
      <c r="BB473" s="78">
        <f t="shared" si="331"/>
        <v>15</v>
      </c>
      <c r="BC473" s="78">
        <f t="shared" si="332"/>
        <v>15</v>
      </c>
      <c r="BD473" s="78">
        <f t="shared" si="333"/>
        <v>15</v>
      </c>
      <c r="BE473" s="78">
        <f t="shared" si="334"/>
        <v>15</v>
      </c>
      <c r="BF473" s="78">
        <f t="shared" si="335"/>
        <v>15</v>
      </c>
      <c r="BG473" s="78">
        <f t="shared" si="336"/>
        <v>15</v>
      </c>
      <c r="BH473" s="78">
        <f t="shared" si="337"/>
        <v>15</v>
      </c>
      <c r="BI473" s="78">
        <f t="shared" si="338"/>
        <v>15</v>
      </c>
      <c r="BJ473" s="78">
        <f t="shared" si="339"/>
        <v>15</v>
      </c>
      <c r="BK473" s="78">
        <f t="shared" si="340"/>
        <v>15</v>
      </c>
      <c r="BL473" s="78">
        <f t="shared" si="341"/>
        <v>15</v>
      </c>
      <c r="BM473" s="78">
        <f t="shared" si="342"/>
        <v>15</v>
      </c>
      <c r="BN473" s="78">
        <f t="shared" si="343"/>
        <v>15</v>
      </c>
      <c r="BO473" s="78">
        <f t="shared" si="344"/>
        <v>15</v>
      </c>
      <c r="BP473" s="78">
        <f t="shared" si="345"/>
        <v>15</v>
      </c>
      <c r="BQ473" s="78">
        <f t="shared" si="346"/>
        <v>15</v>
      </c>
      <c r="BR473" s="78">
        <f t="shared" si="347"/>
        <v>15</v>
      </c>
      <c r="BS473" s="77"/>
      <c r="BT473" s="77"/>
    </row>
    <row r="474" spans="1:72" ht="14.1" customHeight="1" x14ac:dyDescent="0.2">
      <c r="A474" s="55" t="str">
        <f t="shared" si="318"/>
        <v>DS-1 (Residential)_Rider QF Non-Summer Off-Peak 100 kv</v>
      </c>
      <c r="B474" s="80" t="s">
        <v>90</v>
      </c>
      <c r="C474" s="71" t="s">
        <v>869</v>
      </c>
      <c r="D474" s="150" t="s">
        <v>870</v>
      </c>
      <c r="E474" s="81"/>
      <c r="F474" s="73" t="s">
        <v>640</v>
      </c>
      <c r="G474" s="73">
        <v>0</v>
      </c>
      <c r="H474" s="73">
        <v>6</v>
      </c>
      <c r="I474" s="74" t="s">
        <v>641</v>
      </c>
      <c r="J474" s="75" t="s">
        <v>634</v>
      </c>
      <c r="K474" s="74"/>
      <c r="L474" s="82">
        <v>4.7750000000000001E-2</v>
      </c>
      <c r="M474" s="138">
        <v>4.7750000000000001E-2</v>
      </c>
      <c r="N474" s="138">
        <v>4.7750000000000001E-2</v>
      </c>
      <c r="O474" s="138">
        <v>4.7750000000000001E-2</v>
      </c>
      <c r="P474" s="138">
        <v>4.7750000000000001E-2</v>
      </c>
      <c r="Q474" s="138">
        <v>4.7750000000000001E-2</v>
      </c>
      <c r="R474" s="138">
        <v>4.0289999999999999E-2</v>
      </c>
      <c r="S474" s="138">
        <v>4.0289999999999999E-2</v>
      </c>
      <c r="T474" s="138">
        <v>4.0289999999999999E-2</v>
      </c>
      <c r="U474" s="138">
        <v>4.0289999999999999E-2</v>
      </c>
      <c r="V474" s="138">
        <v>4.0289999999999999E-2</v>
      </c>
      <c r="W474" s="138">
        <v>4.0289999999999999E-2</v>
      </c>
      <c r="X474" s="138">
        <v>4.0289999999999999E-2</v>
      </c>
      <c r="Y474" s="138">
        <f t="shared" si="348"/>
        <v>4.0289999999999999E-2</v>
      </c>
      <c r="Z474" s="138">
        <f t="shared" si="349"/>
        <v>4.0289999999999999E-2</v>
      </c>
      <c r="AA474" s="138">
        <f t="shared" si="350"/>
        <v>4.0289999999999999E-2</v>
      </c>
      <c r="AB474" s="138">
        <f t="shared" si="351"/>
        <v>4.0289999999999999E-2</v>
      </c>
      <c r="AC474" s="138">
        <f t="shared" si="352"/>
        <v>4.0289999999999999E-2</v>
      </c>
      <c r="AD474" s="138">
        <f t="shared" si="353"/>
        <v>4.0289999999999999E-2</v>
      </c>
      <c r="AE474" s="138">
        <f t="shared" si="354"/>
        <v>4.0289999999999999E-2</v>
      </c>
      <c r="AF474" s="138">
        <f t="shared" si="355"/>
        <v>4.0289999999999999E-2</v>
      </c>
      <c r="AG474" s="138">
        <f t="shared" si="356"/>
        <v>4.0289999999999999E-2</v>
      </c>
      <c r="AH474" s="138">
        <f t="shared" si="357"/>
        <v>4.0289999999999999E-2</v>
      </c>
      <c r="AI474" s="138">
        <f t="shared" si="358"/>
        <v>4.0289999999999999E-2</v>
      </c>
      <c r="AJ474" s="138">
        <f t="shared" si="359"/>
        <v>4.0289999999999999E-2</v>
      </c>
      <c r="AK474" s="138">
        <f t="shared" si="360"/>
        <v>4.0289999999999999E-2</v>
      </c>
      <c r="AL474" s="138">
        <f t="shared" si="361"/>
        <v>4.0289999999999999E-2</v>
      </c>
      <c r="AM474" s="138">
        <f t="shared" si="362"/>
        <v>4.153333333333336E-2</v>
      </c>
      <c r="AO474" s="77" t="str">
        <f t="shared" si="319"/>
        <v>DS-1 (Residential)</v>
      </c>
      <c r="AP474" s="78" t="s">
        <v>662</v>
      </c>
      <c r="AQ474" s="77" t="str">
        <f t="shared" si="320"/>
        <v>Rider QF Non-Summer Off-Peak 100 kv</v>
      </c>
      <c r="AR474" s="78" t="str">
        <f t="shared" si="321"/>
        <v>Prorated</v>
      </c>
      <c r="AS474" s="79">
        <f t="shared" si="322"/>
        <v>6</v>
      </c>
      <c r="AT474" s="78">
        <f t="shared" si="323"/>
        <v>0</v>
      </c>
      <c r="AU474" s="78">
        <f t="shared" si="324"/>
        <v>4.7750000000000001E-2</v>
      </c>
      <c r="AV474" s="78">
        <f t="shared" si="325"/>
        <v>4.7750000000000001E-2</v>
      </c>
      <c r="AW474" s="78">
        <f t="shared" si="326"/>
        <v>4.7750000000000001E-2</v>
      </c>
      <c r="AX474" s="78">
        <f t="shared" si="327"/>
        <v>4.7750000000000001E-2</v>
      </c>
      <c r="AY474" s="78">
        <f t="shared" si="328"/>
        <v>4.7750000000000001E-2</v>
      </c>
      <c r="AZ474" s="78">
        <f t="shared" si="329"/>
        <v>4.0289999999999999E-2</v>
      </c>
      <c r="BA474" s="78">
        <f t="shared" si="330"/>
        <v>4.0289999999999999E-2</v>
      </c>
      <c r="BB474" s="78">
        <f t="shared" si="331"/>
        <v>4.0289999999999999E-2</v>
      </c>
      <c r="BC474" s="78">
        <f t="shared" si="332"/>
        <v>4.0289999999999999E-2</v>
      </c>
      <c r="BD474" s="78">
        <f t="shared" si="333"/>
        <v>4.0289999999999999E-2</v>
      </c>
      <c r="BE474" s="78">
        <f t="shared" si="334"/>
        <v>4.0289999999999999E-2</v>
      </c>
      <c r="BF474" s="78">
        <f t="shared" si="335"/>
        <v>4.0289999999999999E-2</v>
      </c>
      <c r="BG474" s="78">
        <f t="shared" si="336"/>
        <v>4.0289999999999999E-2</v>
      </c>
      <c r="BH474" s="78">
        <f t="shared" si="337"/>
        <v>4.0289999999999999E-2</v>
      </c>
      <c r="BI474" s="78">
        <f t="shared" si="338"/>
        <v>4.0289999999999999E-2</v>
      </c>
      <c r="BJ474" s="78">
        <f t="shared" si="339"/>
        <v>4.0289999999999999E-2</v>
      </c>
      <c r="BK474" s="78">
        <f t="shared" si="340"/>
        <v>4.0289999999999999E-2</v>
      </c>
      <c r="BL474" s="78">
        <f t="shared" si="341"/>
        <v>4.0289999999999999E-2</v>
      </c>
      <c r="BM474" s="78">
        <f t="shared" si="342"/>
        <v>4.0289999999999999E-2</v>
      </c>
      <c r="BN474" s="78">
        <f t="shared" si="343"/>
        <v>4.0289999999999999E-2</v>
      </c>
      <c r="BO474" s="78">
        <f t="shared" si="344"/>
        <v>4.0289999999999999E-2</v>
      </c>
      <c r="BP474" s="78">
        <f t="shared" si="345"/>
        <v>4.0289999999999999E-2</v>
      </c>
      <c r="BQ474" s="78">
        <f t="shared" si="346"/>
        <v>4.0289999999999999E-2</v>
      </c>
      <c r="BR474" s="78">
        <f t="shared" si="347"/>
        <v>4.0289999999999999E-2</v>
      </c>
      <c r="BS474" s="77"/>
      <c r="BT474" s="77"/>
    </row>
    <row r="475" spans="1:72" ht="14.1" customHeight="1" x14ac:dyDescent="0.2">
      <c r="A475" s="55" t="str">
        <f t="shared" si="318"/>
        <v>DS-2 (Small General Service)_Rider QF Non-Summer Off-Peak 100 kv</v>
      </c>
      <c r="B475" s="80" t="s">
        <v>665</v>
      </c>
      <c r="C475" s="71" t="s">
        <v>869</v>
      </c>
      <c r="D475" s="150"/>
      <c r="E475" s="81"/>
      <c r="F475" s="73" t="s">
        <v>640</v>
      </c>
      <c r="G475" s="73">
        <v>0</v>
      </c>
      <c r="H475" s="73">
        <v>6</v>
      </c>
      <c r="I475" s="74" t="s">
        <v>641</v>
      </c>
      <c r="J475" s="75" t="s">
        <v>634</v>
      </c>
      <c r="K475" s="74"/>
      <c r="L475" s="82">
        <v>4.7750000000000001E-2</v>
      </c>
      <c r="M475" s="138">
        <v>4.7750000000000001E-2</v>
      </c>
      <c r="N475" s="138">
        <v>4.7750000000000001E-2</v>
      </c>
      <c r="O475" s="138">
        <v>4.7750000000000001E-2</v>
      </c>
      <c r="P475" s="138">
        <v>4.7750000000000001E-2</v>
      </c>
      <c r="Q475" s="138">
        <v>4.7750000000000001E-2</v>
      </c>
      <c r="R475" s="138">
        <v>4.0289999999999999E-2</v>
      </c>
      <c r="S475" s="138">
        <v>4.0289999999999999E-2</v>
      </c>
      <c r="T475" s="138">
        <v>4.0289999999999999E-2</v>
      </c>
      <c r="U475" s="138">
        <v>4.0289999999999999E-2</v>
      </c>
      <c r="V475" s="138">
        <v>4.0289999999999999E-2</v>
      </c>
      <c r="W475" s="138">
        <v>4.0289999999999999E-2</v>
      </c>
      <c r="X475" s="138">
        <v>4.0289999999999999E-2</v>
      </c>
      <c r="Y475" s="138">
        <f t="shared" si="348"/>
        <v>4.0289999999999999E-2</v>
      </c>
      <c r="Z475" s="138">
        <f t="shared" si="349"/>
        <v>4.0289999999999999E-2</v>
      </c>
      <c r="AA475" s="138">
        <f t="shared" si="350"/>
        <v>4.0289999999999999E-2</v>
      </c>
      <c r="AB475" s="138">
        <f t="shared" si="351"/>
        <v>4.0289999999999999E-2</v>
      </c>
      <c r="AC475" s="138">
        <f t="shared" si="352"/>
        <v>4.0289999999999999E-2</v>
      </c>
      <c r="AD475" s="138">
        <f t="shared" si="353"/>
        <v>4.0289999999999999E-2</v>
      </c>
      <c r="AE475" s="138">
        <f t="shared" si="354"/>
        <v>4.0289999999999999E-2</v>
      </c>
      <c r="AF475" s="138">
        <f t="shared" si="355"/>
        <v>4.0289999999999999E-2</v>
      </c>
      <c r="AG475" s="138">
        <f t="shared" si="356"/>
        <v>4.0289999999999999E-2</v>
      </c>
      <c r="AH475" s="138">
        <f t="shared" si="357"/>
        <v>4.0289999999999999E-2</v>
      </c>
      <c r="AI475" s="138">
        <f t="shared" si="358"/>
        <v>4.0289999999999999E-2</v>
      </c>
      <c r="AJ475" s="138">
        <f t="shared" si="359"/>
        <v>4.0289999999999999E-2</v>
      </c>
      <c r="AK475" s="138">
        <f t="shared" si="360"/>
        <v>4.0289999999999999E-2</v>
      </c>
      <c r="AL475" s="138">
        <f t="shared" si="361"/>
        <v>4.0289999999999999E-2</v>
      </c>
      <c r="AM475" s="138">
        <f t="shared" si="362"/>
        <v>4.153333333333336E-2</v>
      </c>
      <c r="AO475" s="77" t="str">
        <f t="shared" si="319"/>
        <v>DS-2 (Small General Service)</v>
      </c>
      <c r="AP475" s="78" t="s">
        <v>664</v>
      </c>
      <c r="AQ475" s="77" t="str">
        <f t="shared" si="320"/>
        <v>Rider QF Non-Summer Off-Peak 100 kv</v>
      </c>
      <c r="AR475" s="78" t="str">
        <f t="shared" si="321"/>
        <v>Prorated</v>
      </c>
      <c r="AS475" s="79">
        <f t="shared" si="322"/>
        <v>6</v>
      </c>
      <c r="AT475" s="78">
        <f t="shared" si="323"/>
        <v>0</v>
      </c>
      <c r="AU475" s="78">
        <f t="shared" si="324"/>
        <v>4.7750000000000001E-2</v>
      </c>
      <c r="AV475" s="78">
        <f t="shared" si="325"/>
        <v>4.7750000000000001E-2</v>
      </c>
      <c r="AW475" s="78">
        <f t="shared" si="326"/>
        <v>4.7750000000000001E-2</v>
      </c>
      <c r="AX475" s="78">
        <f t="shared" si="327"/>
        <v>4.7750000000000001E-2</v>
      </c>
      <c r="AY475" s="78">
        <f t="shared" si="328"/>
        <v>4.7750000000000001E-2</v>
      </c>
      <c r="AZ475" s="78">
        <f t="shared" si="329"/>
        <v>4.0289999999999999E-2</v>
      </c>
      <c r="BA475" s="78">
        <f t="shared" si="330"/>
        <v>4.0289999999999999E-2</v>
      </c>
      <c r="BB475" s="78">
        <f t="shared" si="331"/>
        <v>4.0289999999999999E-2</v>
      </c>
      <c r="BC475" s="78">
        <f t="shared" si="332"/>
        <v>4.0289999999999999E-2</v>
      </c>
      <c r="BD475" s="78">
        <f t="shared" si="333"/>
        <v>4.0289999999999999E-2</v>
      </c>
      <c r="BE475" s="78">
        <f t="shared" si="334"/>
        <v>4.0289999999999999E-2</v>
      </c>
      <c r="BF475" s="78">
        <f t="shared" si="335"/>
        <v>4.0289999999999999E-2</v>
      </c>
      <c r="BG475" s="78">
        <f t="shared" si="336"/>
        <v>4.0289999999999999E-2</v>
      </c>
      <c r="BH475" s="78">
        <f t="shared" si="337"/>
        <v>4.0289999999999999E-2</v>
      </c>
      <c r="BI475" s="78">
        <f t="shared" si="338"/>
        <v>4.0289999999999999E-2</v>
      </c>
      <c r="BJ475" s="78">
        <f t="shared" si="339"/>
        <v>4.0289999999999999E-2</v>
      </c>
      <c r="BK475" s="78">
        <f t="shared" si="340"/>
        <v>4.0289999999999999E-2</v>
      </c>
      <c r="BL475" s="78">
        <f t="shared" si="341"/>
        <v>4.0289999999999999E-2</v>
      </c>
      <c r="BM475" s="78">
        <f t="shared" si="342"/>
        <v>4.0289999999999999E-2</v>
      </c>
      <c r="BN475" s="78">
        <f t="shared" si="343"/>
        <v>4.0289999999999999E-2</v>
      </c>
      <c r="BO475" s="78">
        <f t="shared" si="344"/>
        <v>4.0289999999999999E-2</v>
      </c>
      <c r="BP475" s="78">
        <f t="shared" si="345"/>
        <v>4.0289999999999999E-2</v>
      </c>
      <c r="BQ475" s="78">
        <f t="shared" si="346"/>
        <v>4.0289999999999999E-2</v>
      </c>
      <c r="BR475" s="78">
        <f t="shared" si="347"/>
        <v>4.0289999999999999E-2</v>
      </c>
      <c r="BS475" s="77"/>
      <c r="BT475" s="77"/>
    </row>
    <row r="476" spans="1:72" ht="14.1" customHeight="1" x14ac:dyDescent="0.2">
      <c r="A476" s="55" t="str">
        <f t="shared" si="318"/>
        <v>DS-1 (Residential)_Rider QF Non-Summer Off-Peak High voltage</v>
      </c>
      <c r="B476" s="80" t="s">
        <v>90</v>
      </c>
      <c r="C476" s="71" t="s">
        <v>871</v>
      </c>
      <c r="D476" s="150" t="s">
        <v>870</v>
      </c>
      <c r="E476" s="81"/>
      <c r="F476" s="73" t="s">
        <v>640</v>
      </c>
      <c r="G476" s="73">
        <v>0</v>
      </c>
      <c r="H476" s="73">
        <v>6</v>
      </c>
      <c r="I476" s="74" t="s">
        <v>641</v>
      </c>
      <c r="J476" s="75" t="s">
        <v>634</v>
      </c>
      <c r="K476" s="74"/>
      <c r="L476" s="82">
        <v>4.845E-2</v>
      </c>
      <c r="M476" s="138">
        <v>4.845E-2</v>
      </c>
      <c r="N476" s="138">
        <v>4.845E-2</v>
      </c>
      <c r="O476" s="138">
        <v>4.845E-2</v>
      </c>
      <c r="P476" s="138">
        <v>4.845E-2</v>
      </c>
      <c r="Q476" s="138">
        <v>4.845E-2</v>
      </c>
      <c r="R476" s="138">
        <v>4.0890000000000003E-2</v>
      </c>
      <c r="S476" s="138">
        <v>4.0890000000000003E-2</v>
      </c>
      <c r="T476" s="138">
        <v>4.0890000000000003E-2</v>
      </c>
      <c r="U476" s="138">
        <v>4.0890000000000003E-2</v>
      </c>
      <c r="V476" s="138">
        <v>4.0890000000000003E-2</v>
      </c>
      <c r="W476" s="138">
        <v>4.0890000000000003E-2</v>
      </c>
      <c r="X476" s="138">
        <v>4.0890000000000003E-2</v>
      </c>
      <c r="Y476" s="138">
        <f t="shared" si="348"/>
        <v>4.0890000000000003E-2</v>
      </c>
      <c r="Z476" s="138">
        <f t="shared" si="349"/>
        <v>4.0890000000000003E-2</v>
      </c>
      <c r="AA476" s="138">
        <f t="shared" si="350"/>
        <v>4.0890000000000003E-2</v>
      </c>
      <c r="AB476" s="138">
        <f t="shared" si="351"/>
        <v>4.0890000000000003E-2</v>
      </c>
      <c r="AC476" s="138">
        <f t="shared" si="352"/>
        <v>4.0890000000000003E-2</v>
      </c>
      <c r="AD476" s="138">
        <f t="shared" si="353"/>
        <v>4.0890000000000003E-2</v>
      </c>
      <c r="AE476" s="138">
        <f t="shared" si="354"/>
        <v>4.0890000000000003E-2</v>
      </c>
      <c r="AF476" s="138">
        <f t="shared" si="355"/>
        <v>4.0890000000000003E-2</v>
      </c>
      <c r="AG476" s="138">
        <f t="shared" si="356"/>
        <v>4.0890000000000003E-2</v>
      </c>
      <c r="AH476" s="138">
        <f t="shared" si="357"/>
        <v>4.0890000000000003E-2</v>
      </c>
      <c r="AI476" s="138">
        <f t="shared" si="358"/>
        <v>4.0890000000000003E-2</v>
      </c>
      <c r="AJ476" s="138">
        <f t="shared" si="359"/>
        <v>4.0890000000000003E-2</v>
      </c>
      <c r="AK476" s="138">
        <f t="shared" si="360"/>
        <v>4.0890000000000003E-2</v>
      </c>
      <c r="AL476" s="138">
        <f t="shared" si="361"/>
        <v>4.0889999999999996E-2</v>
      </c>
      <c r="AM476" s="138">
        <f t="shared" si="362"/>
        <v>4.2149999999999993E-2</v>
      </c>
      <c r="AO476" s="77" t="str">
        <f t="shared" si="319"/>
        <v>DS-1 (Residential)</v>
      </c>
      <c r="AP476" s="78" t="s">
        <v>662</v>
      </c>
      <c r="AQ476" s="77" t="str">
        <f t="shared" si="320"/>
        <v>Rider QF Non-Summer Off-Peak High voltage</v>
      </c>
      <c r="AR476" s="78" t="str">
        <f t="shared" si="321"/>
        <v>Prorated</v>
      </c>
      <c r="AS476" s="79">
        <f t="shared" si="322"/>
        <v>6</v>
      </c>
      <c r="AT476" s="78">
        <f t="shared" si="323"/>
        <v>0</v>
      </c>
      <c r="AU476" s="78">
        <f t="shared" si="324"/>
        <v>4.845E-2</v>
      </c>
      <c r="AV476" s="78">
        <f t="shared" si="325"/>
        <v>4.845E-2</v>
      </c>
      <c r="AW476" s="78">
        <f t="shared" si="326"/>
        <v>4.845E-2</v>
      </c>
      <c r="AX476" s="78">
        <f t="shared" si="327"/>
        <v>4.845E-2</v>
      </c>
      <c r="AY476" s="78">
        <f t="shared" si="328"/>
        <v>4.845E-2</v>
      </c>
      <c r="AZ476" s="78">
        <f t="shared" si="329"/>
        <v>4.0890000000000003E-2</v>
      </c>
      <c r="BA476" s="78">
        <f t="shared" si="330"/>
        <v>4.0890000000000003E-2</v>
      </c>
      <c r="BB476" s="78">
        <f t="shared" si="331"/>
        <v>4.0890000000000003E-2</v>
      </c>
      <c r="BC476" s="78">
        <f t="shared" si="332"/>
        <v>4.0890000000000003E-2</v>
      </c>
      <c r="BD476" s="78">
        <f t="shared" si="333"/>
        <v>4.0890000000000003E-2</v>
      </c>
      <c r="BE476" s="78">
        <f t="shared" si="334"/>
        <v>4.0890000000000003E-2</v>
      </c>
      <c r="BF476" s="78">
        <f t="shared" si="335"/>
        <v>4.0890000000000003E-2</v>
      </c>
      <c r="BG476" s="78">
        <f t="shared" si="336"/>
        <v>4.0890000000000003E-2</v>
      </c>
      <c r="BH476" s="78">
        <f t="shared" si="337"/>
        <v>4.0890000000000003E-2</v>
      </c>
      <c r="BI476" s="78">
        <f t="shared" si="338"/>
        <v>4.0890000000000003E-2</v>
      </c>
      <c r="BJ476" s="78">
        <f t="shared" si="339"/>
        <v>4.0890000000000003E-2</v>
      </c>
      <c r="BK476" s="78">
        <f t="shared" si="340"/>
        <v>4.0890000000000003E-2</v>
      </c>
      <c r="BL476" s="78">
        <f t="shared" si="341"/>
        <v>4.0890000000000003E-2</v>
      </c>
      <c r="BM476" s="78">
        <f t="shared" si="342"/>
        <v>4.0890000000000003E-2</v>
      </c>
      <c r="BN476" s="78">
        <f t="shared" si="343"/>
        <v>4.0890000000000003E-2</v>
      </c>
      <c r="BO476" s="78">
        <f t="shared" si="344"/>
        <v>4.0890000000000003E-2</v>
      </c>
      <c r="BP476" s="78">
        <f t="shared" si="345"/>
        <v>4.0890000000000003E-2</v>
      </c>
      <c r="BQ476" s="78">
        <f t="shared" si="346"/>
        <v>4.0890000000000003E-2</v>
      </c>
      <c r="BR476" s="78">
        <f t="shared" si="347"/>
        <v>4.0890000000000003E-2</v>
      </c>
      <c r="BS476" s="77"/>
      <c r="BT476" s="77"/>
    </row>
    <row r="477" spans="1:72" ht="14.1" customHeight="1" x14ac:dyDescent="0.2">
      <c r="A477" s="55" t="str">
        <f t="shared" si="318"/>
        <v>DS-2 (Small General Service)_Rider QF Non-Summer Off-Peak High voltage</v>
      </c>
      <c r="B477" s="80" t="s">
        <v>665</v>
      </c>
      <c r="C477" s="71" t="s">
        <v>871</v>
      </c>
      <c r="D477" s="150"/>
      <c r="E477" s="81"/>
      <c r="F477" s="73" t="s">
        <v>640</v>
      </c>
      <c r="G477" s="73">
        <v>0</v>
      </c>
      <c r="H477" s="73">
        <v>6</v>
      </c>
      <c r="I477" s="74" t="s">
        <v>641</v>
      </c>
      <c r="J477" s="75" t="s">
        <v>634</v>
      </c>
      <c r="K477" s="74"/>
      <c r="L477" s="82">
        <v>4.845E-2</v>
      </c>
      <c r="M477" s="138">
        <v>4.845E-2</v>
      </c>
      <c r="N477" s="138">
        <v>4.845E-2</v>
      </c>
      <c r="O477" s="138">
        <v>4.845E-2</v>
      </c>
      <c r="P477" s="138">
        <v>4.845E-2</v>
      </c>
      <c r="Q477" s="138">
        <v>4.845E-2</v>
      </c>
      <c r="R477" s="138">
        <v>4.0890000000000003E-2</v>
      </c>
      <c r="S477" s="138">
        <v>4.0890000000000003E-2</v>
      </c>
      <c r="T477" s="138">
        <v>4.0890000000000003E-2</v>
      </c>
      <c r="U477" s="138">
        <v>4.0890000000000003E-2</v>
      </c>
      <c r="V477" s="138">
        <v>4.0890000000000003E-2</v>
      </c>
      <c r="W477" s="138">
        <v>4.0890000000000003E-2</v>
      </c>
      <c r="X477" s="138">
        <v>4.0890000000000003E-2</v>
      </c>
      <c r="Y477" s="138">
        <f t="shared" si="348"/>
        <v>4.0890000000000003E-2</v>
      </c>
      <c r="Z477" s="138">
        <f t="shared" si="349"/>
        <v>4.0890000000000003E-2</v>
      </c>
      <c r="AA477" s="138">
        <f t="shared" si="350"/>
        <v>4.0890000000000003E-2</v>
      </c>
      <c r="AB477" s="138">
        <f t="shared" si="351"/>
        <v>4.0890000000000003E-2</v>
      </c>
      <c r="AC477" s="138">
        <f t="shared" si="352"/>
        <v>4.0890000000000003E-2</v>
      </c>
      <c r="AD477" s="138">
        <f t="shared" si="353"/>
        <v>4.0890000000000003E-2</v>
      </c>
      <c r="AE477" s="138">
        <f t="shared" si="354"/>
        <v>4.0890000000000003E-2</v>
      </c>
      <c r="AF477" s="138">
        <f t="shared" si="355"/>
        <v>4.0890000000000003E-2</v>
      </c>
      <c r="AG477" s="138">
        <f t="shared" si="356"/>
        <v>4.0890000000000003E-2</v>
      </c>
      <c r="AH477" s="138">
        <f t="shared" si="357"/>
        <v>4.0890000000000003E-2</v>
      </c>
      <c r="AI477" s="138">
        <f t="shared" si="358"/>
        <v>4.0890000000000003E-2</v>
      </c>
      <c r="AJ477" s="138">
        <f t="shared" si="359"/>
        <v>4.0890000000000003E-2</v>
      </c>
      <c r="AK477" s="138">
        <f t="shared" si="360"/>
        <v>4.0890000000000003E-2</v>
      </c>
      <c r="AL477" s="138">
        <f t="shared" si="361"/>
        <v>4.0889999999999996E-2</v>
      </c>
      <c r="AM477" s="138">
        <f t="shared" si="362"/>
        <v>4.2149999999999993E-2</v>
      </c>
      <c r="AO477" s="77" t="str">
        <f t="shared" si="319"/>
        <v>DS-2 (Small General Service)</v>
      </c>
      <c r="AP477" s="78" t="s">
        <v>664</v>
      </c>
      <c r="AQ477" s="77" t="str">
        <f t="shared" si="320"/>
        <v>Rider QF Non-Summer Off-Peak High voltage</v>
      </c>
      <c r="AR477" s="78" t="str">
        <f t="shared" si="321"/>
        <v>Prorated</v>
      </c>
      <c r="AS477" s="79">
        <f t="shared" si="322"/>
        <v>6</v>
      </c>
      <c r="AT477" s="78">
        <f t="shared" si="323"/>
        <v>0</v>
      </c>
      <c r="AU477" s="78">
        <f t="shared" si="324"/>
        <v>4.845E-2</v>
      </c>
      <c r="AV477" s="78">
        <f t="shared" si="325"/>
        <v>4.845E-2</v>
      </c>
      <c r="AW477" s="78">
        <f t="shared" si="326"/>
        <v>4.845E-2</v>
      </c>
      <c r="AX477" s="78">
        <f t="shared" si="327"/>
        <v>4.845E-2</v>
      </c>
      <c r="AY477" s="78">
        <f t="shared" si="328"/>
        <v>4.845E-2</v>
      </c>
      <c r="AZ477" s="78">
        <f t="shared" si="329"/>
        <v>4.0890000000000003E-2</v>
      </c>
      <c r="BA477" s="78">
        <f t="shared" si="330"/>
        <v>4.0890000000000003E-2</v>
      </c>
      <c r="BB477" s="78">
        <f t="shared" si="331"/>
        <v>4.0890000000000003E-2</v>
      </c>
      <c r="BC477" s="78">
        <f t="shared" si="332"/>
        <v>4.0890000000000003E-2</v>
      </c>
      <c r="BD477" s="78">
        <f t="shared" si="333"/>
        <v>4.0890000000000003E-2</v>
      </c>
      <c r="BE477" s="78">
        <f t="shared" si="334"/>
        <v>4.0890000000000003E-2</v>
      </c>
      <c r="BF477" s="78">
        <f t="shared" si="335"/>
        <v>4.0890000000000003E-2</v>
      </c>
      <c r="BG477" s="78">
        <f t="shared" si="336"/>
        <v>4.0890000000000003E-2</v>
      </c>
      <c r="BH477" s="78">
        <f t="shared" si="337"/>
        <v>4.0890000000000003E-2</v>
      </c>
      <c r="BI477" s="78">
        <f t="shared" si="338"/>
        <v>4.0890000000000003E-2</v>
      </c>
      <c r="BJ477" s="78">
        <f t="shared" si="339"/>
        <v>4.0890000000000003E-2</v>
      </c>
      <c r="BK477" s="78">
        <f t="shared" si="340"/>
        <v>4.0890000000000003E-2</v>
      </c>
      <c r="BL477" s="78">
        <f t="shared" si="341"/>
        <v>4.0890000000000003E-2</v>
      </c>
      <c r="BM477" s="78">
        <f t="shared" si="342"/>
        <v>4.0890000000000003E-2</v>
      </c>
      <c r="BN477" s="78">
        <f t="shared" si="343"/>
        <v>4.0890000000000003E-2</v>
      </c>
      <c r="BO477" s="78">
        <f t="shared" si="344"/>
        <v>4.0890000000000003E-2</v>
      </c>
      <c r="BP477" s="78">
        <f t="shared" si="345"/>
        <v>4.0890000000000003E-2</v>
      </c>
      <c r="BQ477" s="78">
        <f t="shared" si="346"/>
        <v>4.0890000000000003E-2</v>
      </c>
      <c r="BR477" s="78">
        <f t="shared" si="347"/>
        <v>4.0890000000000003E-2</v>
      </c>
      <c r="BS477" s="77"/>
      <c r="BT477" s="77"/>
    </row>
    <row r="478" spans="1:72" ht="14.1" customHeight="1" x14ac:dyDescent="0.2">
      <c r="A478" s="55" t="str">
        <f t="shared" si="318"/>
        <v>DS-1 (Residential)_Rider QF Non-Summer Off-Peak Primary</v>
      </c>
      <c r="B478" s="80" t="s">
        <v>90</v>
      </c>
      <c r="C478" s="71" t="s">
        <v>872</v>
      </c>
      <c r="D478" s="150" t="s">
        <v>870</v>
      </c>
      <c r="E478" s="81"/>
      <c r="F478" s="73" t="s">
        <v>640</v>
      </c>
      <c r="G478" s="73">
        <v>0</v>
      </c>
      <c r="H478" s="73">
        <v>6</v>
      </c>
      <c r="I478" s="74" t="s">
        <v>641</v>
      </c>
      <c r="J478" s="75" t="s">
        <v>634</v>
      </c>
      <c r="K478" s="74"/>
      <c r="L478" s="82">
        <v>4.9149999999999999E-2</v>
      </c>
      <c r="M478" s="138">
        <v>4.9149999999999999E-2</v>
      </c>
      <c r="N478" s="138">
        <v>4.9149999999999999E-2</v>
      </c>
      <c r="O478" s="138">
        <v>4.9149999999999999E-2</v>
      </c>
      <c r="P478" s="138">
        <v>4.9149999999999999E-2</v>
      </c>
      <c r="Q478" s="138">
        <v>4.9149999999999999E-2</v>
      </c>
      <c r="R478" s="138">
        <v>4.1390000000000003E-2</v>
      </c>
      <c r="S478" s="138">
        <v>4.1390000000000003E-2</v>
      </c>
      <c r="T478" s="138">
        <v>4.1390000000000003E-2</v>
      </c>
      <c r="U478" s="138">
        <v>4.1390000000000003E-2</v>
      </c>
      <c r="V478" s="138">
        <v>4.1390000000000003E-2</v>
      </c>
      <c r="W478" s="138">
        <v>4.1390000000000003E-2</v>
      </c>
      <c r="X478" s="138">
        <v>4.1390000000000003E-2</v>
      </c>
      <c r="Y478" s="138">
        <f t="shared" si="348"/>
        <v>4.1390000000000003E-2</v>
      </c>
      <c r="Z478" s="138">
        <f t="shared" si="349"/>
        <v>4.1390000000000003E-2</v>
      </c>
      <c r="AA478" s="138">
        <f t="shared" si="350"/>
        <v>4.1390000000000003E-2</v>
      </c>
      <c r="AB478" s="138">
        <f t="shared" si="351"/>
        <v>4.1390000000000003E-2</v>
      </c>
      <c r="AC478" s="138">
        <f t="shared" si="352"/>
        <v>4.1390000000000003E-2</v>
      </c>
      <c r="AD478" s="138">
        <f t="shared" si="353"/>
        <v>4.1390000000000003E-2</v>
      </c>
      <c r="AE478" s="138">
        <f t="shared" si="354"/>
        <v>4.1390000000000003E-2</v>
      </c>
      <c r="AF478" s="138">
        <f t="shared" si="355"/>
        <v>4.1390000000000003E-2</v>
      </c>
      <c r="AG478" s="138">
        <f t="shared" si="356"/>
        <v>4.1390000000000003E-2</v>
      </c>
      <c r="AH478" s="138">
        <f t="shared" si="357"/>
        <v>4.1390000000000003E-2</v>
      </c>
      <c r="AI478" s="138">
        <f t="shared" si="358"/>
        <v>4.1390000000000003E-2</v>
      </c>
      <c r="AJ478" s="138">
        <f t="shared" si="359"/>
        <v>4.1390000000000003E-2</v>
      </c>
      <c r="AK478" s="138">
        <f t="shared" si="360"/>
        <v>4.1390000000000003E-2</v>
      </c>
      <c r="AL478" s="138">
        <f t="shared" si="361"/>
        <v>4.1389999999999996E-2</v>
      </c>
      <c r="AM478" s="138">
        <f t="shared" si="362"/>
        <v>4.2683333333333351E-2</v>
      </c>
      <c r="AO478" s="77" t="str">
        <f t="shared" si="319"/>
        <v>DS-1 (Residential)</v>
      </c>
      <c r="AP478" s="78" t="s">
        <v>662</v>
      </c>
      <c r="AQ478" s="77" t="str">
        <f t="shared" si="320"/>
        <v>Rider QF Non-Summer Off-Peak Primary</v>
      </c>
      <c r="AR478" s="78" t="str">
        <f t="shared" si="321"/>
        <v>Prorated</v>
      </c>
      <c r="AS478" s="79">
        <f t="shared" si="322"/>
        <v>6</v>
      </c>
      <c r="AT478" s="78">
        <f t="shared" si="323"/>
        <v>0</v>
      </c>
      <c r="AU478" s="78">
        <f t="shared" si="324"/>
        <v>4.9149999999999999E-2</v>
      </c>
      <c r="AV478" s="78">
        <f t="shared" si="325"/>
        <v>4.9149999999999999E-2</v>
      </c>
      <c r="AW478" s="78">
        <f t="shared" si="326"/>
        <v>4.9149999999999999E-2</v>
      </c>
      <c r="AX478" s="78">
        <f t="shared" si="327"/>
        <v>4.9149999999999999E-2</v>
      </c>
      <c r="AY478" s="78">
        <f t="shared" si="328"/>
        <v>4.9149999999999999E-2</v>
      </c>
      <c r="AZ478" s="78">
        <f t="shared" si="329"/>
        <v>4.1390000000000003E-2</v>
      </c>
      <c r="BA478" s="78">
        <f t="shared" si="330"/>
        <v>4.1390000000000003E-2</v>
      </c>
      <c r="BB478" s="78">
        <f t="shared" si="331"/>
        <v>4.1390000000000003E-2</v>
      </c>
      <c r="BC478" s="78">
        <f t="shared" si="332"/>
        <v>4.1390000000000003E-2</v>
      </c>
      <c r="BD478" s="78">
        <f t="shared" si="333"/>
        <v>4.1390000000000003E-2</v>
      </c>
      <c r="BE478" s="78">
        <f t="shared" si="334"/>
        <v>4.1390000000000003E-2</v>
      </c>
      <c r="BF478" s="78">
        <f t="shared" si="335"/>
        <v>4.1390000000000003E-2</v>
      </c>
      <c r="BG478" s="78">
        <f t="shared" si="336"/>
        <v>4.1390000000000003E-2</v>
      </c>
      <c r="BH478" s="78">
        <f t="shared" si="337"/>
        <v>4.1390000000000003E-2</v>
      </c>
      <c r="BI478" s="78">
        <f t="shared" si="338"/>
        <v>4.1390000000000003E-2</v>
      </c>
      <c r="BJ478" s="78">
        <f t="shared" si="339"/>
        <v>4.1390000000000003E-2</v>
      </c>
      <c r="BK478" s="78">
        <f t="shared" si="340"/>
        <v>4.1390000000000003E-2</v>
      </c>
      <c r="BL478" s="78">
        <f t="shared" si="341"/>
        <v>4.1390000000000003E-2</v>
      </c>
      <c r="BM478" s="78">
        <f t="shared" si="342"/>
        <v>4.1390000000000003E-2</v>
      </c>
      <c r="BN478" s="78">
        <f t="shared" si="343"/>
        <v>4.1390000000000003E-2</v>
      </c>
      <c r="BO478" s="78">
        <f t="shared" si="344"/>
        <v>4.1390000000000003E-2</v>
      </c>
      <c r="BP478" s="78">
        <f t="shared" si="345"/>
        <v>4.1390000000000003E-2</v>
      </c>
      <c r="BQ478" s="78">
        <f t="shared" si="346"/>
        <v>4.1390000000000003E-2</v>
      </c>
      <c r="BR478" s="78">
        <f t="shared" si="347"/>
        <v>4.1390000000000003E-2</v>
      </c>
      <c r="BS478" s="77">
        <v>4000000</v>
      </c>
      <c r="BT478" s="77" t="s">
        <v>654</v>
      </c>
    </row>
    <row r="479" spans="1:72" ht="14.1" customHeight="1" x14ac:dyDescent="0.2">
      <c r="A479" s="55" t="str">
        <f t="shared" si="318"/>
        <v>DS-2 (Small General Service)_Rider QF Non-Summer Off-Peak Primary</v>
      </c>
      <c r="B479" s="80" t="s">
        <v>665</v>
      </c>
      <c r="C479" s="71" t="s">
        <v>872</v>
      </c>
      <c r="D479" s="150"/>
      <c r="E479" s="81"/>
      <c r="F479" s="73" t="s">
        <v>640</v>
      </c>
      <c r="G479" s="73">
        <v>0</v>
      </c>
      <c r="H479" s="73">
        <v>6</v>
      </c>
      <c r="I479" s="74" t="s">
        <v>641</v>
      </c>
      <c r="J479" s="75" t="s">
        <v>634</v>
      </c>
      <c r="K479" s="74"/>
      <c r="L479" s="82">
        <v>4.9149999999999999E-2</v>
      </c>
      <c r="M479" s="138">
        <v>4.9149999999999999E-2</v>
      </c>
      <c r="N479" s="138">
        <v>4.9149999999999999E-2</v>
      </c>
      <c r="O479" s="138">
        <v>4.9149999999999999E-2</v>
      </c>
      <c r="P479" s="138">
        <v>4.9149999999999999E-2</v>
      </c>
      <c r="Q479" s="138">
        <v>4.9149999999999999E-2</v>
      </c>
      <c r="R479" s="138">
        <v>4.1390000000000003E-2</v>
      </c>
      <c r="S479" s="138">
        <v>4.1390000000000003E-2</v>
      </c>
      <c r="T479" s="138">
        <v>4.1390000000000003E-2</v>
      </c>
      <c r="U479" s="138">
        <v>4.1390000000000003E-2</v>
      </c>
      <c r="V479" s="138">
        <v>4.1390000000000003E-2</v>
      </c>
      <c r="W479" s="138">
        <v>4.1390000000000003E-2</v>
      </c>
      <c r="X479" s="138">
        <v>4.1390000000000003E-2</v>
      </c>
      <c r="Y479" s="138">
        <f t="shared" si="348"/>
        <v>4.1390000000000003E-2</v>
      </c>
      <c r="Z479" s="138">
        <f t="shared" si="349"/>
        <v>4.1390000000000003E-2</v>
      </c>
      <c r="AA479" s="138">
        <f t="shared" si="350"/>
        <v>4.1390000000000003E-2</v>
      </c>
      <c r="AB479" s="138">
        <f t="shared" si="351"/>
        <v>4.1390000000000003E-2</v>
      </c>
      <c r="AC479" s="138">
        <f t="shared" si="352"/>
        <v>4.1390000000000003E-2</v>
      </c>
      <c r="AD479" s="138">
        <f t="shared" si="353"/>
        <v>4.1390000000000003E-2</v>
      </c>
      <c r="AE479" s="138">
        <f t="shared" si="354"/>
        <v>4.1390000000000003E-2</v>
      </c>
      <c r="AF479" s="138">
        <f t="shared" si="355"/>
        <v>4.1390000000000003E-2</v>
      </c>
      <c r="AG479" s="138">
        <f t="shared" si="356"/>
        <v>4.1390000000000003E-2</v>
      </c>
      <c r="AH479" s="138">
        <f t="shared" si="357"/>
        <v>4.1390000000000003E-2</v>
      </c>
      <c r="AI479" s="138">
        <f t="shared" si="358"/>
        <v>4.1390000000000003E-2</v>
      </c>
      <c r="AJ479" s="138">
        <f t="shared" si="359"/>
        <v>4.1390000000000003E-2</v>
      </c>
      <c r="AK479" s="138">
        <f t="shared" si="360"/>
        <v>4.1390000000000003E-2</v>
      </c>
      <c r="AL479" s="138">
        <f t="shared" si="361"/>
        <v>4.1389999999999996E-2</v>
      </c>
      <c r="AM479" s="138">
        <f t="shared" si="362"/>
        <v>4.2683333333333351E-2</v>
      </c>
      <c r="AO479" s="77" t="str">
        <f t="shared" si="319"/>
        <v>DS-2 (Small General Service)</v>
      </c>
      <c r="AP479" s="78" t="s">
        <v>664</v>
      </c>
      <c r="AQ479" s="77" t="str">
        <f t="shared" si="320"/>
        <v>Rider QF Non-Summer Off-Peak Primary</v>
      </c>
      <c r="AR479" s="78" t="str">
        <f t="shared" si="321"/>
        <v>Prorated</v>
      </c>
      <c r="AS479" s="79">
        <f t="shared" si="322"/>
        <v>6</v>
      </c>
      <c r="AT479" s="78">
        <f t="shared" si="323"/>
        <v>0</v>
      </c>
      <c r="AU479" s="78">
        <f t="shared" si="324"/>
        <v>4.9149999999999999E-2</v>
      </c>
      <c r="AV479" s="78">
        <f t="shared" si="325"/>
        <v>4.9149999999999999E-2</v>
      </c>
      <c r="AW479" s="78">
        <f t="shared" si="326"/>
        <v>4.9149999999999999E-2</v>
      </c>
      <c r="AX479" s="78">
        <f t="shared" si="327"/>
        <v>4.9149999999999999E-2</v>
      </c>
      <c r="AY479" s="78">
        <f t="shared" si="328"/>
        <v>4.9149999999999999E-2</v>
      </c>
      <c r="AZ479" s="78">
        <f t="shared" si="329"/>
        <v>4.1390000000000003E-2</v>
      </c>
      <c r="BA479" s="78">
        <f t="shared" si="330"/>
        <v>4.1390000000000003E-2</v>
      </c>
      <c r="BB479" s="78">
        <f t="shared" si="331"/>
        <v>4.1390000000000003E-2</v>
      </c>
      <c r="BC479" s="78">
        <f t="shared" si="332"/>
        <v>4.1390000000000003E-2</v>
      </c>
      <c r="BD479" s="78">
        <f t="shared" si="333"/>
        <v>4.1390000000000003E-2</v>
      </c>
      <c r="BE479" s="78">
        <f t="shared" si="334"/>
        <v>4.1390000000000003E-2</v>
      </c>
      <c r="BF479" s="78">
        <f t="shared" si="335"/>
        <v>4.1390000000000003E-2</v>
      </c>
      <c r="BG479" s="78">
        <f t="shared" si="336"/>
        <v>4.1390000000000003E-2</v>
      </c>
      <c r="BH479" s="78">
        <f t="shared" si="337"/>
        <v>4.1390000000000003E-2</v>
      </c>
      <c r="BI479" s="78">
        <f t="shared" si="338"/>
        <v>4.1390000000000003E-2</v>
      </c>
      <c r="BJ479" s="78">
        <f t="shared" si="339"/>
        <v>4.1390000000000003E-2</v>
      </c>
      <c r="BK479" s="78">
        <f t="shared" si="340"/>
        <v>4.1390000000000003E-2</v>
      </c>
      <c r="BL479" s="78">
        <f t="shared" si="341"/>
        <v>4.1390000000000003E-2</v>
      </c>
      <c r="BM479" s="78">
        <f t="shared" si="342"/>
        <v>4.1390000000000003E-2</v>
      </c>
      <c r="BN479" s="78">
        <f t="shared" si="343"/>
        <v>4.1390000000000003E-2</v>
      </c>
      <c r="BO479" s="78">
        <f t="shared" si="344"/>
        <v>4.1390000000000003E-2</v>
      </c>
      <c r="BP479" s="78">
        <f t="shared" si="345"/>
        <v>4.1390000000000003E-2</v>
      </c>
      <c r="BQ479" s="78">
        <f t="shared" si="346"/>
        <v>4.1390000000000003E-2</v>
      </c>
      <c r="BR479" s="78">
        <f t="shared" si="347"/>
        <v>4.1390000000000003E-2</v>
      </c>
      <c r="BS479" s="77">
        <v>4000000</v>
      </c>
      <c r="BT479" s="77" t="s">
        <v>684</v>
      </c>
    </row>
    <row r="480" spans="1:72" ht="14.1" customHeight="1" x14ac:dyDescent="0.2">
      <c r="A480" s="55" t="str">
        <f t="shared" si="318"/>
        <v>DS-1 (Residential)_Rider QF Non-Summer Off-Peak Secondary</v>
      </c>
      <c r="B480" s="80" t="s">
        <v>90</v>
      </c>
      <c r="C480" s="71" t="s">
        <v>873</v>
      </c>
      <c r="D480" s="150" t="s">
        <v>870</v>
      </c>
      <c r="E480" s="81"/>
      <c r="F480" s="73" t="s">
        <v>640</v>
      </c>
      <c r="G480" s="73">
        <v>0</v>
      </c>
      <c r="H480" s="73">
        <v>6</v>
      </c>
      <c r="I480" s="74" t="s">
        <v>641</v>
      </c>
      <c r="J480" s="75" t="s">
        <v>634</v>
      </c>
      <c r="K480" s="74"/>
      <c r="L480" s="82">
        <v>5.015E-2</v>
      </c>
      <c r="M480" s="138">
        <v>5.015E-2</v>
      </c>
      <c r="N480" s="138">
        <v>5.015E-2</v>
      </c>
      <c r="O480" s="138">
        <v>5.015E-2</v>
      </c>
      <c r="P480" s="138">
        <v>5.015E-2</v>
      </c>
      <c r="Q480" s="138">
        <v>5.015E-2</v>
      </c>
      <c r="R480" s="138">
        <v>4.2389999999999997E-2</v>
      </c>
      <c r="S480" s="138">
        <v>4.2389999999999997E-2</v>
      </c>
      <c r="T480" s="138">
        <v>4.2389999999999997E-2</v>
      </c>
      <c r="U480" s="138">
        <v>4.2389999999999997E-2</v>
      </c>
      <c r="V480" s="138">
        <v>4.2389999999999997E-2</v>
      </c>
      <c r="W480" s="138">
        <v>4.2389999999999997E-2</v>
      </c>
      <c r="X480" s="138">
        <v>4.2389999999999997E-2</v>
      </c>
      <c r="Y480" s="138">
        <f t="shared" si="348"/>
        <v>4.2389999999999997E-2</v>
      </c>
      <c r="Z480" s="138">
        <f t="shared" si="349"/>
        <v>4.2389999999999997E-2</v>
      </c>
      <c r="AA480" s="138">
        <f t="shared" si="350"/>
        <v>4.2389999999999997E-2</v>
      </c>
      <c r="AB480" s="138">
        <f t="shared" si="351"/>
        <v>4.2389999999999997E-2</v>
      </c>
      <c r="AC480" s="138">
        <f t="shared" si="352"/>
        <v>4.2389999999999997E-2</v>
      </c>
      <c r="AD480" s="138">
        <f t="shared" si="353"/>
        <v>4.2389999999999997E-2</v>
      </c>
      <c r="AE480" s="138">
        <f t="shared" si="354"/>
        <v>4.2389999999999997E-2</v>
      </c>
      <c r="AF480" s="138">
        <f t="shared" si="355"/>
        <v>4.2389999999999997E-2</v>
      </c>
      <c r="AG480" s="138">
        <f t="shared" si="356"/>
        <v>4.2389999999999997E-2</v>
      </c>
      <c r="AH480" s="138">
        <f t="shared" si="357"/>
        <v>4.2389999999999997E-2</v>
      </c>
      <c r="AI480" s="138">
        <f t="shared" si="358"/>
        <v>4.2389999999999997E-2</v>
      </c>
      <c r="AJ480" s="138">
        <f t="shared" si="359"/>
        <v>4.2389999999999997E-2</v>
      </c>
      <c r="AK480" s="138">
        <f t="shared" si="360"/>
        <v>4.2389999999999997E-2</v>
      </c>
      <c r="AL480" s="138">
        <f t="shared" si="361"/>
        <v>4.238999999999999E-2</v>
      </c>
      <c r="AM480" s="138">
        <f t="shared" si="362"/>
        <v>4.3683333333333345E-2</v>
      </c>
      <c r="AO480" s="77" t="str">
        <f t="shared" si="319"/>
        <v>DS-1 (Residential)</v>
      </c>
      <c r="AP480" s="78" t="s">
        <v>662</v>
      </c>
      <c r="AQ480" s="77" t="str">
        <f t="shared" si="320"/>
        <v>Rider QF Non-Summer Off-Peak Secondary</v>
      </c>
      <c r="AR480" s="78" t="str">
        <f t="shared" si="321"/>
        <v>Prorated</v>
      </c>
      <c r="AS480" s="79">
        <f t="shared" si="322"/>
        <v>6</v>
      </c>
      <c r="AT480" s="78">
        <f t="shared" si="323"/>
        <v>0</v>
      </c>
      <c r="AU480" s="78">
        <f t="shared" si="324"/>
        <v>5.015E-2</v>
      </c>
      <c r="AV480" s="78">
        <f t="shared" si="325"/>
        <v>5.015E-2</v>
      </c>
      <c r="AW480" s="78">
        <f t="shared" si="326"/>
        <v>5.015E-2</v>
      </c>
      <c r="AX480" s="78">
        <f t="shared" si="327"/>
        <v>5.015E-2</v>
      </c>
      <c r="AY480" s="78">
        <f t="shared" si="328"/>
        <v>5.015E-2</v>
      </c>
      <c r="AZ480" s="78">
        <f t="shared" si="329"/>
        <v>4.2389999999999997E-2</v>
      </c>
      <c r="BA480" s="78">
        <f t="shared" si="330"/>
        <v>4.2389999999999997E-2</v>
      </c>
      <c r="BB480" s="78">
        <f t="shared" si="331"/>
        <v>4.2389999999999997E-2</v>
      </c>
      <c r="BC480" s="78">
        <f t="shared" si="332"/>
        <v>4.2389999999999997E-2</v>
      </c>
      <c r="BD480" s="78">
        <f t="shared" si="333"/>
        <v>4.2389999999999997E-2</v>
      </c>
      <c r="BE480" s="78">
        <f t="shared" si="334"/>
        <v>4.2389999999999997E-2</v>
      </c>
      <c r="BF480" s="78">
        <f t="shared" si="335"/>
        <v>4.2389999999999997E-2</v>
      </c>
      <c r="BG480" s="78">
        <f t="shared" si="336"/>
        <v>4.2389999999999997E-2</v>
      </c>
      <c r="BH480" s="78">
        <f t="shared" si="337"/>
        <v>4.2389999999999997E-2</v>
      </c>
      <c r="BI480" s="78">
        <f t="shared" si="338"/>
        <v>4.2389999999999997E-2</v>
      </c>
      <c r="BJ480" s="78">
        <f t="shared" si="339"/>
        <v>4.2389999999999997E-2</v>
      </c>
      <c r="BK480" s="78">
        <f t="shared" si="340"/>
        <v>4.2389999999999997E-2</v>
      </c>
      <c r="BL480" s="78">
        <f t="shared" si="341"/>
        <v>4.2389999999999997E-2</v>
      </c>
      <c r="BM480" s="78">
        <f t="shared" si="342"/>
        <v>4.2389999999999997E-2</v>
      </c>
      <c r="BN480" s="78">
        <f t="shared" si="343"/>
        <v>4.2389999999999997E-2</v>
      </c>
      <c r="BO480" s="78">
        <f t="shared" si="344"/>
        <v>4.2389999999999997E-2</v>
      </c>
      <c r="BP480" s="78">
        <f t="shared" si="345"/>
        <v>4.2389999999999997E-2</v>
      </c>
      <c r="BQ480" s="78">
        <f t="shared" si="346"/>
        <v>4.2389999999999997E-2</v>
      </c>
      <c r="BR480" s="78">
        <f t="shared" si="347"/>
        <v>4.2389999999999997E-2</v>
      </c>
      <c r="BS480" s="77"/>
      <c r="BT480" s="77"/>
    </row>
    <row r="481" spans="1:72" ht="14.1" customHeight="1" x14ac:dyDescent="0.2">
      <c r="A481" s="55" t="str">
        <f t="shared" si="318"/>
        <v>DS-2 (Small General Service)_Rider QF Non-Summer Off-Peak Secondary</v>
      </c>
      <c r="B481" s="80" t="s">
        <v>665</v>
      </c>
      <c r="C481" s="71" t="s">
        <v>873</v>
      </c>
      <c r="D481" s="150"/>
      <c r="E481" s="81"/>
      <c r="F481" s="73" t="s">
        <v>640</v>
      </c>
      <c r="G481" s="73">
        <v>0</v>
      </c>
      <c r="H481" s="73">
        <v>6</v>
      </c>
      <c r="I481" s="74" t="s">
        <v>641</v>
      </c>
      <c r="J481" s="75" t="s">
        <v>634</v>
      </c>
      <c r="K481" s="74"/>
      <c r="L481" s="82">
        <v>5.015E-2</v>
      </c>
      <c r="M481" s="138">
        <v>5.015E-2</v>
      </c>
      <c r="N481" s="138">
        <v>5.015E-2</v>
      </c>
      <c r="O481" s="138">
        <v>5.015E-2</v>
      </c>
      <c r="P481" s="138">
        <v>5.015E-2</v>
      </c>
      <c r="Q481" s="138">
        <v>5.015E-2</v>
      </c>
      <c r="R481" s="138">
        <v>4.2389999999999997E-2</v>
      </c>
      <c r="S481" s="138">
        <v>4.2389999999999997E-2</v>
      </c>
      <c r="T481" s="138">
        <v>4.2389999999999997E-2</v>
      </c>
      <c r="U481" s="138">
        <v>4.2389999999999997E-2</v>
      </c>
      <c r="V481" s="138">
        <v>4.2389999999999997E-2</v>
      </c>
      <c r="W481" s="138">
        <v>4.2389999999999997E-2</v>
      </c>
      <c r="X481" s="138">
        <v>4.2389999999999997E-2</v>
      </c>
      <c r="Y481" s="138">
        <f t="shared" si="348"/>
        <v>4.2389999999999997E-2</v>
      </c>
      <c r="Z481" s="138">
        <f t="shared" si="349"/>
        <v>4.2389999999999997E-2</v>
      </c>
      <c r="AA481" s="138">
        <f t="shared" si="350"/>
        <v>4.2389999999999997E-2</v>
      </c>
      <c r="AB481" s="138">
        <f t="shared" si="351"/>
        <v>4.2389999999999997E-2</v>
      </c>
      <c r="AC481" s="138">
        <f t="shared" si="352"/>
        <v>4.2389999999999997E-2</v>
      </c>
      <c r="AD481" s="138">
        <f t="shared" si="353"/>
        <v>4.2389999999999997E-2</v>
      </c>
      <c r="AE481" s="138">
        <f t="shared" si="354"/>
        <v>4.2389999999999997E-2</v>
      </c>
      <c r="AF481" s="138">
        <f t="shared" si="355"/>
        <v>4.2389999999999997E-2</v>
      </c>
      <c r="AG481" s="138">
        <f t="shared" si="356"/>
        <v>4.2389999999999997E-2</v>
      </c>
      <c r="AH481" s="138">
        <f t="shared" si="357"/>
        <v>4.2389999999999997E-2</v>
      </c>
      <c r="AI481" s="138">
        <f t="shared" si="358"/>
        <v>4.2389999999999997E-2</v>
      </c>
      <c r="AJ481" s="138">
        <f t="shared" si="359"/>
        <v>4.2389999999999997E-2</v>
      </c>
      <c r="AK481" s="138">
        <f t="shared" si="360"/>
        <v>4.2389999999999997E-2</v>
      </c>
      <c r="AL481" s="138">
        <f t="shared" si="361"/>
        <v>4.238999999999999E-2</v>
      </c>
      <c r="AM481" s="138">
        <f t="shared" si="362"/>
        <v>4.3683333333333345E-2</v>
      </c>
      <c r="AO481" s="77" t="str">
        <f t="shared" si="319"/>
        <v>DS-2 (Small General Service)</v>
      </c>
      <c r="AP481" s="78" t="s">
        <v>664</v>
      </c>
      <c r="AQ481" s="77" t="str">
        <f t="shared" si="320"/>
        <v>Rider QF Non-Summer Off-Peak Secondary</v>
      </c>
      <c r="AR481" s="78" t="str">
        <f t="shared" si="321"/>
        <v>Prorated</v>
      </c>
      <c r="AS481" s="79">
        <f t="shared" si="322"/>
        <v>6</v>
      </c>
      <c r="AT481" s="78">
        <f t="shared" si="323"/>
        <v>0</v>
      </c>
      <c r="AU481" s="78">
        <f t="shared" si="324"/>
        <v>5.015E-2</v>
      </c>
      <c r="AV481" s="78">
        <f t="shared" si="325"/>
        <v>5.015E-2</v>
      </c>
      <c r="AW481" s="78">
        <f t="shared" si="326"/>
        <v>5.015E-2</v>
      </c>
      <c r="AX481" s="78">
        <f t="shared" si="327"/>
        <v>5.015E-2</v>
      </c>
      <c r="AY481" s="78">
        <f t="shared" si="328"/>
        <v>5.015E-2</v>
      </c>
      <c r="AZ481" s="78">
        <f t="shared" si="329"/>
        <v>4.2389999999999997E-2</v>
      </c>
      <c r="BA481" s="78">
        <f t="shared" si="330"/>
        <v>4.2389999999999997E-2</v>
      </c>
      <c r="BB481" s="78">
        <f t="shared" si="331"/>
        <v>4.2389999999999997E-2</v>
      </c>
      <c r="BC481" s="78">
        <f t="shared" si="332"/>
        <v>4.2389999999999997E-2</v>
      </c>
      <c r="BD481" s="78">
        <f t="shared" si="333"/>
        <v>4.2389999999999997E-2</v>
      </c>
      <c r="BE481" s="78">
        <f t="shared" si="334"/>
        <v>4.2389999999999997E-2</v>
      </c>
      <c r="BF481" s="78">
        <f t="shared" si="335"/>
        <v>4.2389999999999997E-2</v>
      </c>
      <c r="BG481" s="78">
        <f t="shared" si="336"/>
        <v>4.2389999999999997E-2</v>
      </c>
      <c r="BH481" s="78">
        <f t="shared" si="337"/>
        <v>4.2389999999999997E-2</v>
      </c>
      <c r="BI481" s="78">
        <f t="shared" si="338"/>
        <v>4.2389999999999997E-2</v>
      </c>
      <c r="BJ481" s="78">
        <f t="shared" si="339"/>
        <v>4.2389999999999997E-2</v>
      </c>
      <c r="BK481" s="78">
        <f t="shared" si="340"/>
        <v>4.2389999999999997E-2</v>
      </c>
      <c r="BL481" s="78">
        <f t="shared" si="341"/>
        <v>4.2389999999999997E-2</v>
      </c>
      <c r="BM481" s="78">
        <f t="shared" si="342"/>
        <v>4.2389999999999997E-2</v>
      </c>
      <c r="BN481" s="78">
        <f t="shared" si="343"/>
        <v>4.2389999999999997E-2</v>
      </c>
      <c r="BO481" s="78">
        <f t="shared" si="344"/>
        <v>4.2389999999999997E-2</v>
      </c>
      <c r="BP481" s="78">
        <f t="shared" si="345"/>
        <v>4.2389999999999997E-2</v>
      </c>
      <c r="BQ481" s="78">
        <f t="shared" si="346"/>
        <v>4.2389999999999997E-2</v>
      </c>
      <c r="BR481" s="78">
        <f t="shared" si="347"/>
        <v>4.2389999999999997E-2</v>
      </c>
      <c r="BS481" s="77"/>
      <c r="BT481" s="77"/>
    </row>
    <row r="482" spans="1:72" ht="14.1" customHeight="1" x14ac:dyDescent="0.2">
      <c r="A482" s="55" t="str">
        <f t="shared" si="318"/>
        <v>DS-1 (Residential)_Rider QF Non-Summer On-Peak 100 kv</v>
      </c>
      <c r="B482" s="80" t="s">
        <v>90</v>
      </c>
      <c r="C482" s="71" t="s">
        <v>874</v>
      </c>
      <c r="D482" s="150" t="s">
        <v>870</v>
      </c>
      <c r="E482" s="81"/>
      <c r="F482" s="73" t="s">
        <v>640</v>
      </c>
      <c r="G482" s="73">
        <v>0</v>
      </c>
      <c r="H482" s="73">
        <v>6</v>
      </c>
      <c r="I482" s="74" t="s">
        <v>641</v>
      </c>
      <c r="J482" s="75" t="s">
        <v>634</v>
      </c>
      <c r="K482" s="74"/>
      <c r="L482" s="82">
        <v>5.3060000000000003E-2</v>
      </c>
      <c r="M482" s="138">
        <v>5.3060000000000003E-2</v>
      </c>
      <c r="N482" s="138">
        <v>5.3060000000000003E-2</v>
      </c>
      <c r="O482" s="138">
        <v>5.3060000000000003E-2</v>
      </c>
      <c r="P482" s="138">
        <v>5.3060000000000003E-2</v>
      </c>
      <c r="Q482" s="138">
        <v>5.3060000000000003E-2</v>
      </c>
      <c r="R482" s="138">
        <v>4.675E-2</v>
      </c>
      <c r="S482" s="138">
        <v>4.675E-2</v>
      </c>
      <c r="T482" s="138">
        <v>4.675E-2</v>
      </c>
      <c r="U482" s="138">
        <v>4.675E-2</v>
      </c>
      <c r="V482" s="138">
        <v>4.675E-2</v>
      </c>
      <c r="W482" s="138">
        <v>4.675E-2</v>
      </c>
      <c r="X482" s="138">
        <v>4.675E-2</v>
      </c>
      <c r="Y482" s="138">
        <f t="shared" si="348"/>
        <v>4.675E-2</v>
      </c>
      <c r="Z482" s="138">
        <f t="shared" si="349"/>
        <v>4.675E-2</v>
      </c>
      <c r="AA482" s="138">
        <f t="shared" si="350"/>
        <v>4.675E-2</v>
      </c>
      <c r="AB482" s="138">
        <f t="shared" si="351"/>
        <v>4.675E-2</v>
      </c>
      <c r="AC482" s="138">
        <f t="shared" si="352"/>
        <v>4.675E-2</v>
      </c>
      <c r="AD482" s="138">
        <f t="shared" si="353"/>
        <v>4.675E-2</v>
      </c>
      <c r="AE482" s="138">
        <f t="shared" si="354"/>
        <v>4.675E-2</v>
      </c>
      <c r="AF482" s="138">
        <f t="shared" si="355"/>
        <v>4.675E-2</v>
      </c>
      <c r="AG482" s="138">
        <f t="shared" si="356"/>
        <v>4.675E-2</v>
      </c>
      <c r="AH482" s="138">
        <f t="shared" si="357"/>
        <v>4.675E-2</v>
      </c>
      <c r="AI482" s="138">
        <f t="shared" si="358"/>
        <v>4.675E-2</v>
      </c>
      <c r="AJ482" s="138">
        <f t="shared" si="359"/>
        <v>4.675E-2</v>
      </c>
      <c r="AK482" s="138">
        <f t="shared" si="360"/>
        <v>4.675E-2</v>
      </c>
      <c r="AL482" s="138">
        <f t="shared" si="361"/>
        <v>4.6750000000000007E-2</v>
      </c>
      <c r="AM482" s="138">
        <f t="shared" si="362"/>
        <v>4.7801666666666659E-2</v>
      </c>
      <c r="AO482" s="77" t="str">
        <f t="shared" si="319"/>
        <v>DS-1 (Residential)</v>
      </c>
      <c r="AP482" s="78" t="s">
        <v>662</v>
      </c>
      <c r="AQ482" s="77" t="str">
        <f t="shared" si="320"/>
        <v>Rider QF Non-Summer On-Peak 100 kv</v>
      </c>
      <c r="AR482" s="78" t="str">
        <f t="shared" si="321"/>
        <v>Prorated</v>
      </c>
      <c r="AS482" s="79">
        <f t="shared" si="322"/>
        <v>6</v>
      </c>
      <c r="AT482" s="78">
        <f t="shared" si="323"/>
        <v>0</v>
      </c>
      <c r="AU482" s="78">
        <f t="shared" si="324"/>
        <v>5.3060000000000003E-2</v>
      </c>
      <c r="AV482" s="78">
        <f t="shared" si="325"/>
        <v>5.3060000000000003E-2</v>
      </c>
      <c r="AW482" s="78">
        <f t="shared" si="326"/>
        <v>5.3060000000000003E-2</v>
      </c>
      <c r="AX482" s="78">
        <f t="shared" si="327"/>
        <v>5.3060000000000003E-2</v>
      </c>
      <c r="AY482" s="78">
        <f t="shared" si="328"/>
        <v>5.3060000000000003E-2</v>
      </c>
      <c r="AZ482" s="78">
        <f t="shared" si="329"/>
        <v>4.675E-2</v>
      </c>
      <c r="BA482" s="78">
        <f t="shared" si="330"/>
        <v>4.675E-2</v>
      </c>
      <c r="BB482" s="78">
        <f t="shared" si="331"/>
        <v>4.675E-2</v>
      </c>
      <c r="BC482" s="78">
        <f t="shared" si="332"/>
        <v>4.675E-2</v>
      </c>
      <c r="BD482" s="78">
        <f t="shared" si="333"/>
        <v>4.675E-2</v>
      </c>
      <c r="BE482" s="78">
        <f t="shared" si="334"/>
        <v>4.675E-2</v>
      </c>
      <c r="BF482" s="78">
        <f t="shared" si="335"/>
        <v>4.675E-2</v>
      </c>
      <c r="BG482" s="78">
        <f t="shared" si="336"/>
        <v>4.675E-2</v>
      </c>
      <c r="BH482" s="78">
        <f t="shared" si="337"/>
        <v>4.675E-2</v>
      </c>
      <c r="BI482" s="78">
        <f t="shared" si="338"/>
        <v>4.675E-2</v>
      </c>
      <c r="BJ482" s="78">
        <f t="shared" si="339"/>
        <v>4.675E-2</v>
      </c>
      <c r="BK482" s="78">
        <f t="shared" si="340"/>
        <v>4.675E-2</v>
      </c>
      <c r="BL482" s="78">
        <f t="shared" si="341"/>
        <v>4.675E-2</v>
      </c>
      <c r="BM482" s="78">
        <f t="shared" si="342"/>
        <v>4.675E-2</v>
      </c>
      <c r="BN482" s="78">
        <f t="shared" si="343"/>
        <v>4.675E-2</v>
      </c>
      <c r="BO482" s="78">
        <f t="shared" si="344"/>
        <v>4.675E-2</v>
      </c>
      <c r="BP482" s="78">
        <f t="shared" si="345"/>
        <v>4.675E-2</v>
      </c>
      <c r="BQ482" s="78">
        <f t="shared" si="346"/>
        <v>4.675E-2</v>
      </c>
      <c r="BR482" s="78">
        <f t="shared" si="347"/>
        <v>4.675E-2</v>
      </c>
      <c r="BS482" s="77"/>
      <c r="BT482" s="77"/>
    </row>
    <row r="483" spans="1:72" ht="14.1" customHeight="1" x14ac:dyDescent="0.2">
      <c r="A483" s="55" t="str">
        <f t="shared" si="318"/>
        <v>DS-2 (Small General Service)_Rider QF Non-Summer On-Peak 100 kv</v>
      </c>
      <c r="B483" s="80" t="s">
        <v>665</v>
      </c>
      <c r="C483" s="71" t="s">
        <v>874</v>
      </c>
      <c r="D483" s="150"/>
      <c r="E483" s="81"/>
      <c r="F483" s="73" t="s">
        <v>640</v>
      </c>
      <c r="G483" s="73">
        <v>0</v>
      </c>
      <c r="H483" s="73">
        <v>6</v>
      </c>
      <c r="I483" s="74" t="s">
        <v>641</v>
      </c>
      <c r="J483" s="75" t="s">
        <v>634</v>
      </c>
      <c r="K483" s="74"/>
      <c r="L483" s="82">
        <v>5.3060000000000003E-2</v>
      </c>
      <c r="M483" s="138">
        <v>5.3060000000000003E-2</v>
      </c>
      <c r="N483" s="138">
        <v>5.3060000000000003E-2</v>
      </c>
      <c r="O483" s="138">
        <v>5.3060000000000003E-2</v>
      </c>
      <c r="P483" s="138">
        <v>5.3060000000000003E-2</v>
      </c>
      <c r="Q483" s="138">
        <v>5.3060000000000003E-2</v>
      </c>
      <c r="R483" s="138">
        <v>4.675E-2</v>
      </c>
      <c r="S483" s="138">
        <v>4.675E-2</v>
      </c>
      <c r="T483" s="138">
        <v>4.675E-2</v>
      </c>
      <c r="U483" s="138">
        <v>4.675E-2</v>
      </c>
      <c r="V483" s="138">
        <v>4.675E-2</v>
      </c>
      <c r="W483" s="138">
        <v>4.675E-2</v>
      </c>
      <c r="X483" s="138">
        <v>4.675E-2</v>
      </c>
      <c r="Y483" s="138">
        <f t="shared" si="348"/>
        <v>4.675E-2</v>
      </c>
      <c r="Z483" s="138">
        <f t="shared" si="349"/>
        <v>4.675E-2</v>
      </c>
      <c r="AA483" s="138">
        <f t="shared" si="350"/>
        <v>4.675E-2</v>
      </c>
      <c r="AB483" s="138">
        <f t="shared" si="351"/>
        <v>4.675E-2</v>
      </c>
      <c r="AC483" s="138">
        <f t="shared" si="352"/>
        <v>4.675E-2</v>
      </c>
      <c r="AD483" s="138">
        <f t="shared" si="353"/>
        <v>4.675E-2</v>
      </c>
      <c r="AE483" s="138">
        <f t="shared" si="354"/>
        <v>4.675E-2</v>
      </c>
      <c r="AF483" s="138">
        <f t="shared" si="355"/>
        <v>4.675E-2</v>
      </c>
      <c r="AG483" s="138">
        <f t="shared" si="356"/>
        <v>4.675E-2</v>
      </c>
      <c r="AH483" s="138">
        <f t="shared" si="357"/>
        <v>4.675E-2</v>
      </c>
      <c r="AI483" s="138">
        <f t="shared" si="358"/>
        <v>4.675E-2</v>
      </c>
      <c r="AJ483" s="138">
        <f t="shared" si="359"/>
        <v>4.675E-2</v>
      </c>
      <c r="AK483" s="138">
        <f t="shared" si="360"/>
        <v>4.675E-2</v>
      </c>
      <c r="AL483" s="138">
        <f t="shared" si="361"/>
        <v>4.6750000000000007E-2</v>
      </c>
      <c r="AM483" s="138">
        <f t="shared" si="362"/>
        <v>4.7801666666666659E-2</v>
      </c>
      <c r="AO483" s="77" t="str">
        <f t="shared" si="319"/>
        <v>DS-2 (Small General Service)</v>
      </c>
      <c r="AP483" s="78" t="s">
        <v>664</v>
      </c>
      <c r="AQ483" s="77" t="str">
        <f t="shared" si="320"/>
        <v>Rider QF Non-Summer On-Peak 100 kv</v>
      </c>
      <c r="AR483" s="78" t="str">
        <f t="shared" si="321"/>
        <v>Prorated</v>
      </c>
      <c r="AS483" s="79">
        <f t="shared" si="322"/>
        <v>6</v>
      </c>
      <c r="AT483" s="78">
        <f t="shared" si="323"/>
        <v>0</v>
      </c>
      <c r="AU483" s="78">
        <f t="shared" si="324"/>
        <v>5.3060000000000003E-2</v>
      </c>
      <c r="AV483" s="78">
        <f t="shared" si="325"/>
        <v>5.3060000000000003E-2</v>
      </c>
      <c r="AW483" s="78">
        <f t="shared" si="326"/>
        <v>5.3060000000000003E-2</v>
      </c>
      <c r="AX483" s="78">
        <f t="shared" si="327"/>
        <v>5.3060000000000003E-2</v>
      </c>
      <c r="AY483" s="78">
        <f t="shared" si="328"/>
        <v>5.3060000000000003E-2</v>
      </c>
      <c r="AZ483" s="78">
        <f t="shared" si="329"/>
        <v>4.675E-2</v>
      </c>
      <c r="BA483" s="78">
        <f t="shared" si="330"/>
        <v>4.675E-2</v>
      </c>
      <c r="BB483" s="78">
        <f t="shared" si="331"/>
        <v>4.675E-2</v>
      </c>
      <c r="BC483" s="78">
        <f t="shared" si="332"/>
        <v>4.675E-2</v>
      </c>
      <c r="BD483" s="78">
        <f t="shared" si="333"/>
        <v>4.675E-2</v>
      </c>
      <c r="BE483" s="78">
        <f t="shared" si="334"/>
        <v>4.675E-2</v>
      </c>
      <c r="BF483" s="78">
        <f t="shared" si="335"/>
        <v>4.675E-2</v>
      </c>
      <c r="BG483" s="78">
        <f t="shared" si="336"/>
        <v>4.675E-2</v>
      </c>
      <c r="BH483" s="78">
        <f t="shared" si="337"/>
        <v>4.675E-2</v>
      </c>
      <c r="BI483" s="78">
        <f t="shared" si="338"/>
        <v>4.675E-2</v>
      </c>
      <c r="BJ483" s="78">
        <f t="shared" si="339"/>
        <v>4.675E-2</v>
      </c>
      <c r="BK483" s="78">
        <f t="shared" si="340"/>
        <v>4.675E-2</v>
      </c>
      <c r="BL483" s="78">
        <f t="shared" si="341"/>
        <v>4.675E-2</v>
      </c>
      <c r="BM483" s="78">
        <f t="shared" si="342"/>
        <v>4.675E-2</v>
      </c>
      <c r="BN483" s="78">
        <f t="shared" si="343"/>
        <v>4.675E-2</v>
      </c>
      <c r="BO483" s="78">
        <f t="shared" si="344"/>
        <v>4.675E-2</v>
      </c>
      <c r="BP483" s="78">
        <f t="shared" si="345"/>
        <v>4.675E-2</v>
      </c>
      <c r="BQ483" s="78">
        <f t="shared" si="346"/>
        <v>4.675E-2</v>
      </c>
      <c r="BR483" s="78">
        <f t="shared" si="347"/>
        <v>4.675E-2</v>
      </c>
      <c r="BS483" s="77"/>
      <c r="BT483" s="77"/>
    </row>
    <row r="484" spans="1:72" ht="14.1" customHeight="1" x14ac:dyDescent="0.2">
      <c r="A484" s="55" t="str">
        <f t="shared" si="318"/>
        <v>DS-1 (Residential)_Rider QF Non-Summer On-Peak High voltage</v>
      </c>
      <c r="B484" s="80" t="s">
        <v>90</v>
      </c>
      <c r="C484" s="71" t="s">
        <v>875</v>
      </c>
      <c r="D484" s="150" t="s">
        <v>870</v>
      </c>
      <c r="E484" s="81"/>
      <c r="F484" s="73" t="s">
        <v>640</v>
      </c>
      <c r="G484" s="73">
        <v>0</v>
      </c>
      <c r="H484" s="73">
        <v>6</v>
      </c>
      <c r="I484" s="74" t="s">
        <v>641</v>
      </c>
      <c r="J484" s="75" t="s">
        <v>634</v>
      </c>
      <c r="K484" s="74"/>
      <c r="L484" s="82">
        <v>5.3859999999999998E-2</v>
      </c>
      <c r="M484" s="138">
        <v>5.3859999999999998E-2</v>
      </c>
      <c r="N484" s="138">
        <v>5.3859999999999998E-2</v>
      </c>
      <c r="O484" s="138">
        <v>5.3859999999999998E-2</v>
      </c>
      <c r="P484" s="138">
        <v>5.3859999999999998E-2</v>
      </c>
      <c r="Q484" s="138">
        <v>5.3859999999999998E-2</v>
      </c>
      <c r="R484" s="138">
        <v>4.7449999999999999E-2</v>
      </c>
      <c r="S484" s="138">
        <v>4.7449999999999999E-2</v>
      </c>
      <c r="T484" s="138">
        <v>4.7449999999999999E-2</v>
      </c>
      <c r="U484" s="138">
        <v>4.7449999999999999E-2</v>
      </c>
      <c r="V484" s="138">
        <v>4.7449999999999999E-2</v>
      </c>
      <c r="W484" s="138">
        <v>4.7449999999999999E-2</v>
      </c>
      <c r="X484" s="138">
        <v>4.7449999999999999E-2</v>
      </c>
      <c r="Y484" s="138">
        <f t="shared" si="348"/>
        <v>4.7449999999999999E-2</v>
      </c>
      <c r="Z484" s="138">
        <f t="shared" si="349"/>
        <v>4.7449999999999999E-2</v>
      </c>
      <c r="AA484" s="138">
        <f t="shared" si="350"/>
        <v>4.7449999999999999E-2</v>
      </c>
      <c r="AB484" s="138">
        <f t="shared" si="351"/>
        <v>4.7449999999999999E-2</v>
      </c>
      <c r="AC484" s="138">
        <f t="shared" si="352"/>
        <v>4.7449999999999999E-2</v>
      </c>
      <c r="AD484" s="138">
        <f t="shared" si="353"/>
        <v>4.7449999999999999E-2</v>
      </c>
      <c r="AE484" s="138">
        <f t="shared" si="354"/>
        <v>4.7449999999999999E-2</v>
      </c>
      <c r="AF484" s="138">
        <f t="shared" si="355"/>
        <v>4.7449999999999999E-2</v>
      </c>
      <c r="AG484" s="138">
        <f t="shared" si="356"/>
        <v>4.7449999999999999E-2</v>
      </c>
      <c r="AH484" s="138">
        <f t="shared" si="357"/>
        <v>4.7449999999999999E-2</v>
      </c>
      <c r="AI484" s="138">
        <f t="shared" si="358"/>
        <v>4.7449999999999999E-2</v>
      </c>
      <c r="AJ484" s="138">
        <f t="shared" si="359"/>
        <v>4.7449999999999999E-2</v>
      </c>
      <c r="AK484" s="138">
        <f t="shared" si="360"/>
        <v>4.7449999999999999E-2</v>
      </c>
      <c r="AL484" s="138">
        <f t="shared" si="361"/>
        <v>4.7449999999999999E-2</v>
      </c>
      <c r="AM484" s="138">
        <f t="shared" si="362"/>
        <v>4.851833333333333E-2</v>
      </c>
      <c r="AO484" s="77" t="str">
        <f t="shared" si="319"/>
        <v>DS-1 (Residential)</v>
      </c>
      <c r="AP484" s="78" t="s">
        <v>662</v>
      </c>
      <c r="AQ484" s="77" t="str">
        <f t="shared" si="320"/>
        <v>Rider QF Non-Summer On-Peak High voltage</v>
      </c>
      <c r="AR484" s="78" t="str">
        <f t="shared" si="321"/>
        <v>Prorated</v>
      </c>
      <c r="AS484" s="79">
        <f t="shared" si="322"/>
        <v>6</v>
      </c>
      <c r="AT484" s="78">
        <f t="shared" si="323"/>
        <v>0</v>
      </c>
      <c r="AU484" s="78">
        <f t="shared" si="324"/>
        <v>5.3859999999999998E-2</v>
      </c>
      <c r="AV484" s="78">
        <f t="shared" si="325"/>
        <v>5.3859999999999998E-2</v>
      </c>
      <c r="AW484" s="78">
        <f t="shared" si="326"/>
        <v>5.3859999999999998E-2</v>
      </c>
      <c r="AX484" s="78">
        <f t="shared" si="327"/>
        <v>5.3859999999999998E-2</v>
      </c>
      <c r="AY484" s="78">
        <f t="shared" si="328"/>
        <v>5.3859999999999998E-2</v>
      </c>
      <c r="AZ484" s="78">
        <f t="shared" si="329"/>
        <v>4.7449999999999999E-2</v>
      </c>
      <c r="BA484" s="78">
        <f t="shared" si="330"/>
        <v>4.7449999999999999E-2</v>
      </c>
      <c r="BB484" s="78">
        <f t="shared" si="331"/>
        <v>4.7449999999999999E-2</v>
      </c>
      <c r="BC484" s="78">
        <f t="shared" si="332"/>
        <v>4.7449999999999999E-2</v>
      </c>
      <c r="BD484" s="78">
        <f t="shared" si="333"/>
        <v>4.7449999999999999E-2</v>
      </c>
      <c r="BE484" s="78">
        <f t="shared" si="334"/>
        <v>4.7449999999999999E-2</v>
      </c>
      <c r="BF484" s="78">
        <f t="shared" si="335"/>
        <v>4.7449999999999999E-2</v>
      </c>
      <c r="BG484" s="78">
        <f t="shared" si="336"/>
        <v>4.7449999999999999E-2</v>
      </c>
      <c r="BH484" s="78">
        <f t="shared" si="337"/>
        <v>4.7449999999999999E-2</v>
      </c>
      <c r="BI484" s="78">
        <f t="shared" si="338"/>
        <v>4.7449999999999999E-2</v>
      </c>
      <c r="BJ484" s="78">
        <f t="shared" si="339"/>
        <v>4.7449999999999999E-2</v>
      </c>
      <c r="BK484" s="78">
        <f t="shared" si="340"/>
        <v>4.7449999999999999E-2</v>
      </c>
      <c r="BL484" s="78">
        <f t="shared" si="341"/>
        <v>4.7449999999999999E-2</v>
      </c>
      <c r="BM484" s="78">
        <f t="shared" si="342"/>
        <v>4.7449999999999999E-2</v>
      </c>
      <c r="BN484" s="78">
        <f t="shared" si="343"/>
        <v>4.7449999999999999E-2</v>
      </c>
      <c r="BO484" s="78">
        <f t="shared" si="344"/>
        <v>4.7449999999999999E-2</v>
      </c>
      <c r="BP484" s="78">
        <f t="shared" si="345"/>
        <v>4.7449999999999999E-2</v>
      </c>
      <c r="BQ484" s="78">
        <f t="shared" si="346"/>
        <v>4.7449999999999999E-2</v>
      </c>
      <c r="BR484" s="78">
        <f t="shared" si="347"/>
        <v>4.7449999999999999E-2</v>
      </c>
      <c r="BS484" s="77"/>
      <c r="BT484" s="77"/>
    </row>
    <row r="485" spans="1:72" ht="14.1" customHeight="1" x14ac:dyDescent="0.2">
      <c r="A485" s="55" t="str">
        <f t="shared" si="318"/>
        <v>DS-2 (Small General Service)_Rider QF Non-Summer On-Peak High voltage</v>
      </c>
      <c r="B485" s="80" t="s">
        <v>665</v>
      </c>
      <c r="C485" s="71" t="s">
        <v>875</v>
      </c>
      <c r="D485" s="150"/>
      <c r="E485" s="81"/>
      <c r="F485" s="73" t="s">
        <v>640</v>
      </c>
      <c r="G485" s="73">
        <v>0</v>
      </c>
      <c r="H485" s="73">
        <v>6</v>
      </c>
      <c r="I485" s="74" t="s">
        <v>641</v>
      </c>
      <c r="J485" s="75" t="s">
        <v>634</v>
      </c>
      <c r="K485" s="74"/>
      <c r="L485" s="82">
        <v>5.3859999999999998E-2</v>
      </c>
      <c r="M485" s="138">
        <v>5.3859999999999998E-2</v>
      </c>
      <c r="N485" s="138">
        <v>5.3859999999999998E-2</v>
      </c>
      <c r="O485" s="138">
        <v>5.3859999999999998E-2</v>
      </c>
      <c r="P485" s="138">
        <v>5.3859999999999998E-2</v>
      </c>
      <c r="Q485" s="138">
        <v>5.3859999999999998E-2</v>
      </c>
      <c r="R485" s="138">
        <v>4.7449999999999999E-2</v>
      </c>
      <c r="S485" s="138">
        <v>4.7449999999999999E-2</v>
      </c>
      <c r="T485" s="138">
        <v>4.7449999999999999E-2</v>
      </c>
      <c r="U485" s="138">
        <v>4.7449999999999999E-2</v>
      </c>
      <c r="V485" s="138">
        <v>4.7449999999999999E-2</v>
      </c>
      <c r="W485" s="138">
        <v>4.7449999999999999E-2</v>
      </c>
      <c r="X485" s="138">
        <v>4.7449999999999999E-2</v>
      </c>
      <c r="Y485" s="138">
        <f t="shared" si="348"/>
        <v>4.7449999999999999E-2</v>
      </c>
      <c r="Z485" s="138">
        <f t="shared" si="349"/>
        <v>4.7449999999999999E-2</v>
      </c>
      <c r="AA485" s="138">
        <f t="shared" si="350"/>
        <v>4.7449999999999999E-2</v>
      </c>
      <c r="AB485" s="138">
        <f t="shared" si="351"/>
        <v>4.7449999999999999E-2</v>
      </c>
      <c r="AC485" s="138">
        <f t="shared" si="352"/>
        <v>4.7449999999999999E-2</v>
      </c>
      <c r="AD485" s="138">
        <f t="shared" si="353"/>
        <v>4.7449999999999999E-2</v>
      </c>
      <c r="AE485" s="138">
        <f t="shared" si="354"/>
        <v>4.7449999999999999E-2</v>
      </c>
      <c r="AF485" s="138">
        <f t="shared" si="355"/>
        <v>4.7449999999999999E-2</v>
      </c>
      <c r="AG485" s="138">
        <f t="shared" si="356"/>
        <v>4.7449999999999999E-2</v>
      </c>
      <c r="AH485" s="138">
        <f t="shared" si="357"/>
        <v>4.7449999999999999E-2</v>
      </c>
      <c r="AI485" s="138">
        <f t="shared" si="358"/>
        <v>4.7449999999999999E-2</v>
      </c>
      <c r="AJ485" s="138">
        <f t="shared" si="359"/>
        <v>4.7449999999999999E-2</v>
      </c>
      <c r="AK485" s="138">
        <f t="shared" si="360"/>
        <v>4.7449999999999999E-2</v>
      </c>
      <c r="AL485" s="138">
        <f t="shared" si="361"/>
        <v>4.7449999999999999E-2</v>
      </c>
      <c r="AM485" s="138">
        <f t="shared" si="362"/>
        <v>4.851833333333333E-2</v>
      </c>
      <c r="AO485" s="77" t="str">
        <f t="shared" si="319"/>
        <v>DS-2 (Small General Service)</v>
      </c>
      <c r="AP485" s="78" t="s">
        <v>664</v>
      </c>
      <c r="AQ485" s="77" t="str">
        <f t="shared" si="320"/>
        <v>Rider QF Non-Summer On-Peak High voltage</v>
      </c>
      <c r="AR485" s="78" t="str">
        <f t="shared" si="321"/>
        <v>Prorated</v>
      </c>
      <c r="AS485" s="79">
        <f t="shared" si="322"/>
        <v>6</v>
      </c>
      <c r="AT485" s="78">
        <f t="shared" si="323"/>
        <v>0</v>
      </c>
      <c r="AU485" s="78">
        <f t="shared" si="324"/>
        <v>5.3859999999999998E-2</v>
      </c>
      <c r="AV485" s="78">
        <f t="shared" si="325"/>
        <v>5.3859999999999998E-2</v>
      </c>
      <c r="AW485" s="78">
        <f t="shared" si="326"/>
        <v>5.3859999999999998E-2</v>
      </c>
      <c r="AX485" s="78">
        <f t="shared" si="327"/>
        <v>5.3859999999999998E-2</v>
      </c>
      <c r="AY485" s="78">
        <f t="shared" si="328"/>
        <v>5.3859999999999998E-2</v>
      </c>
      <c r="AZ485" s="78">
        <f t="shared" si="329"/>
        <v>4.7449999999999999E-2</v>
      </c>
      <c r="BA485" s="78">
        <f t="shared" si="330"/>
        <v>4.7449999999999999E-2</v>
      </c>
      <c r="BB485" s="78">
        <f t="shared" si="331"/>
        <v>4.7449999999999999E-2</v>
      </c>
      <c r="BC485" s="78">
        <f t="shared" si="332"/>
        <v>4.7449999999999999E-2</v>
      </c>
      <c r="BD485" s="78">
        <f t="shared" si="333"/>
        <v>4.7449999999999999E-2</v>
      </c>
      <c r="BE485" s="78">
        <f t="shared" si="334"/>
        <v>4.7449999999999999E-2</v>
      </c>
      <c r="BF485" s="78">
        <f t="shared" si="335"/>
        <v>4.7449999999999999E-2</v>
      </c>
      <c r="BG485" s="78">
        <f t="shared" si="336"/>
        <v>4.7449999999999999E-2</v>
      </c>
      <c r="BH485" s="78">
        <f t="shared" si="337"/>
        <v>4.7449999999999999E-2</v>
      </c>
      <c r="BI485" s="78">
        <f t="shared" si="338"/>
        <v>4.7449999999999999E-2</v>
      </c>
      <c r="BJ485" s="78">
        <f t="shared" si="339"/>
        <v>4.7449999999999999E-2</v>
      </c>
      <c r="BK485" s="78">
        <f t="shared" si="340"/>
        <v>4.7449999999999999E-2</v>
      </c>
      <c r="BL485" s="78">
        <f t="shared" si="341"/>
        <v>4.7449999999999999E-2</v>
      </c>
      <c r="BM485" s="78">
        <f t="shared" si="342"/>
        <v>4.7449999999999999E-2</v>
      </c>
      <c r="BN485" s="78">
        <f t="shared" si="343"/>
        <v>4.7449999999999999E-2</v>
      </c>
      <c r="BO485" s="78">
        <f t="shared" si="344"/>
        <v>4.7449999999999999E-2</v>
      </c>
      <c r="BP485" s="78">
        <f t="shared" si="345"/>
        <v>4.7449999999999999E-2</v>
      </c>
      <c r="BQ485" s="78">
        <f t="shared" si="346"/>
        <v>4.7449999999999999E-2</v>
      </c>
      <c r="BR485" s="78">
        <f t="shared" si="347"/>
        <v>4.7449999999999999E-2</v>
      </c>
      <c r="BS485" s="77"/>
      <c r="BT485" s="77"/>
    </row>
    <row r="486" spans="1:72" ht="14.1" customHeight="1" x14ac:dyDescent="0.2">
      <c r="A486" s="55" t="str">
        <f t="shared" si="318"/>
        <v>DS-1 (Residential)_Rider QF Non-Summer On-Peak Primary</v>
      </c>
      <c r="B486" s="80" t="s">
        <v>90</v>
      </c>
      <c r="C486" s="71" t="s">
        <v>876</v>
      </c>
      <c r="D486" s="150" t="s">
        <v>870</v>
      </c>
      <c r="E486" s="81"/>
      <c r="F486" s="73" t="s">
        <v>640</v>
      </c>
      <c r="G486" s="73">
        <v>0</v>
      </c>
      <c r="H486" s="73">
        <v>6</v>
      </c>
      <c r="I486" s="74" t="s">
        <v>641</v>
      </c>
      <c r="J486" s="75" t="s">
        <v>634</v>
      </c>
      <c r="K486" s="74"/>
      <c r="L486" s="82">
        <v>5.4559999999999997E-2</v>
      </c>
      <c r="M486" s="138">
        <v>5.4559999999999997E-2</v>
      </c>
      <c r="N486" s="138">
        <v>5.4559999999999997E-2</v>
      </c>
      <c r="O486" s="138">
        <v>5.4559999999999997E-2</v>
      </c>
      <c r="P486" s="138">
        <v>5.4559999999999997E-2</v>
      </c>
      <c r="Q486" s="138">
        <v>5.4559999999999997E-2</v>
      </c>
      <c r="R486" s="138">
        <v>4.8050000000000002E-2</v>
      </c>
      <c r="S486" s="138">
        <v>4.8050000000000002E-2</v>
      </c>
      <c r="T486" s="138">
        <v>4.8050000000000002E-2</v>
      </c>
      <c r="U486" s="138">
        <v>4.8050000000000002E-2</v>
      </c>
      <c r="V486" s="138">
        <v>4.8050000000000002E-2</v>
      </c>
      <c r="W486" s="138">
        <v>4.8050000000000002E-2</v>
      </c>
      <c r="X486" s="138">
        <v>4.8050000000000002E-2</v>
      </c>
      <c r="Y486" s="138">
        <f t="shared" si="348"/>
        <v>4.8050000000000002E-2</v>
      </c>
      <c r="Z486" s="138">
        <f t="shared" si="349"/>
        <v>4.8050000000000002E-2</v>
      </c>
      <c r="AA486" s="138">
        <f t="shared" si="350"/>
        <v>4.8050000000000002E-2</v>
      </c>
      <c r="AB486" s="138">
        <f t="shared" si="351"/>
        <v>4.8050000000000002E-2</v>
      </c>
      <c r="AC486" s="138">
        <f t="shared" si="352"/>
        <v>4.8050000000000002E-2</v>
      </c>
      <c r="AD486" s="138">
        <f t="shared" si="353"/>
        <v>4.8050000000000002E-2</v>
      </c>
      <c r="AE486" s="138">
        <f t="shared" si="354"/>
        <v>4.8050000000000002E-2</v>
      </c>
      <c r="AF486" s="138">
        <f t="shared" si="355"/>
        <v>4.8050000000000002E-2</v>
      </c>
      <c r="AG486" s="138">
        <f t="shared" si="356"/>
        <v>4.8050000000000002E-2</v>
      </c>
      <c r="AH486" s="138">
        <f t="shared" si="357"/>
        <v>4.8050000000000002E-2</v>
      </c>
      <c r="AI486" s="138">
        <f t="shared" si="358"/>
        <v>4.8050000000000002E-2</v>
      </c>
      <c r="AJ486" s="138">
        <f t="shared" si="359"/>
        <v>4.8050000000000002E-2</v>
      </c>
      <c r="AK486" s="138">
        <f t="shared" si="360"/>
        <v>4.8050000000000002E-2</v>
      </c>
      <c r="AL486" s="138">
        <f t="shared" si="361"/>
        <v>4.8050000000000002E-2</v>
      </c>
      <c r="AM486" s="138">
        <f t="shared" si="362"/>
        <v>4.9135000000000005E-2</v>
      </c>
      <c r="AO486" s="77" t="str">
        <f t="shared" si="319"/>
        <v>DS-1 (Residential)</v>
      </c>
      <c r="AP486" s="78" t="s">
        <v>662</v>
      </c>
      <c r="AQ486" s="77" t="str">
        <f t="shared" si="320"/>
        <v>Rider QF Non-Summer On-Peak Primary</v>
      </c>
      <c r="AR486" s="78" t="str">
        <f t="shared" si="321"/>
        <v>Prorated</v>
      </c>
      <c r="AS486" s="79">
        <f t="shared" si="322"/>
        <v>6</v>
      </c>
      <c r="AT486" s="78">
        <f t="shared" si="323"/>
        <v>0</v>
      </c>
      <c r="AU486" s="78">
        <f t="shared" si="324"/>
        <v>5.4559999999999997E-2</v>
      </c>
      <c r="AV486" s="78">
        <f t="shared" si="325"/>
        <v>5.4559999999999997E-2</v>
      </c>
      <c r="AW486" s="78">
        <f t="shared" si="326"/>
        <v>5.4559999999999997E-2</v>
      </c>
      <c r="AX486" s="78">
        <f t="shared" si="327"/>
        <v>5.4559999999999997E-2</v>
      </c>
      <c r="AY486" s="78">
        <f t="shared" si="328"/>
        <v>5.4559999999999997E-2</v>
      </c>
      <c r="AZ486" s="78">
        <f t="shared" si="329"/>
        <v>4.8050000000000002E-2</v>
      </c>
      <c r="BA486" s="78">
        <f t="shared" si="330"/>
        <v>4.8050000000000002E-2</v>
      </c>
      <c r="BB486" s="78">
        <f t="shared" si="331"/>
        <v>4.8050000000000002E-2</v>
      </c>
      <c r="BC486" s="78">
        <f t="shared" si="332"/>
        <v>4.8050000000000002E-2</v>
      </c>
      <c r="BD486" s="78">
        <f t="shared" si="333"/>
        <v>4.8050000000000002E-2</v>
      </c>
      <c r="BE486" s="78">
        <f t="shared" si="334"/>
        <v>4.8050000000000002E-2</v>
      </c>
      <c r="BF486" s="78">
        <f t="shared" si="335"/>
        <v>4.8050000000000002E-2</v>
      </c>
      <c r="BG486" s="78">
        <f t="shared" si="336"/>
        <v>4.8050000000000002E-2</v>
      </c>
      <c r="BH486" s="78">
        <f t="shared" si="337"/>
        <v>4.8050000000000002E-2</v>
      </c>
      <c r="BI486" s="78">
        <f t="shared" si="338"/>
        <v>4.8050000000000002E-2</v>
      </c>
      <c r="BJ486" s="78">
        <f t="shared" si="339"/>
        <v>4.8050000000000002E-2</v>
      </c>
      <c r="BK486" s="78">
        <f t="shared" si="340"/>
        <v>4.8050000000000002E-2</v>
      </c>
      <c r="BL486" s="78">
        <f t="shared" si="341"/>
        <v>4.8050000000000002E-2</v>
      </c>
      <c r="BM486" s="78">
        <f t="shared" si="342"/>
        <v>4.8050000000000002E-2</v>
      </c>
      <c r="BN486" s="78">
        <f t="shared" si="343"/>
        <v>4.8050000000000002E-2</v>
      </c>
      <c r="BO486" s="78">
        <f t="shared" si="344"/>
        <v>4.8050000000000002E-2</v>
      </c>
      <c r="BP486" s="78">
        <f t="shared" si="345"/>
        <v>4.8050000000000002E-2</v>
      </c>
      <c r="BQ486" s="78">
        <f t="shared" si="346"/>
        <v>4.8050000000000002E-2</v>
      </c>
      <c r="BR486" s="78">
        <f t="shared" si="347"/>
        <v>4.8050000000000002E-2</v>
      </c>
      <c r="BS486" s="77"/>
      <c r="BT486" s="77"/>
    </row>
    <row r="487" spans="1:72" ht="14.1" customHeight="1" x14ac:dyDescent="0.2">
      <c r="A487" s="55" t="str">
        <f t="shared" si="318"/>
        <v>DS-2 (Small General Service)_Rider QF Non-Summer On-Peak Primary</v>
      </c>
      <c r="B487" s="80" t="s">
        <v>665</v>
      </c>
      <c r="C487" s="71" t="s">
        <v>876</v>
      </c>
      <c r="D487" s="150"/>
      <c r="E487" s="81"/>
      <c r="F487" s="73" t="s">
        <v>640</v>
      </c>
      <c r="G487" s="73">
        <v>0</v>
      </c>
      <c r="H487" s="73">
        <v>6</v>
      </c>
      <c r="I487" s="74" t="s">
        <v>641</v>
      </c>
      <c r="J487" s="75" t="s">
        <v>634</v>
      </c>
      <c r="K487" s="74"/>
      <c r="L487" s="82">
        <v>5.4559999999999997E-2</v>
      </c>
      <c r="M487" s="138">
        <v>5.4559999999999997E-2</v>
      </c>
      <c r="N487" s="138">
        <v>5.4559999999999997E-2</v>
      </c>
      <c r="O487" s="138">
        <v>5.4559999999999997E-2</v>
      </c>
      <c r="P487" s="138">
        <v>5.4559999999999997E-2</v>
      </c>
      <c r="Q487" s="138">
        <v>5.4559999999999997E-2</v>
      </c>
      <c r="R487" s="138">
        <v>4.8050000000000002E-2</v>
      </c>
      <c r="S487" s="138">
        <v>4.8050000000000002E-2</v>
      </c>
      <c r="T487" s="138">
        <v>4.8050000000000002E-2</v>
      </c>
      <c r="U487" s="138">
        <v>4.8050000000000002E-2</v>
      </c>
      <c r="V487" s="138">
        <v>4.8050000000000002E-2</v>
      </c>
      <c r="W487" s="138">
        <v>4.8050000000000002E-2</v>
      </c>
      <c r="X487" s="138">
        <v>4.8050000000000002E-2</v>
      </c>
      <c r="Y487" s="138">
        <f t="shared" si="348"/>
        <v>4.8050000000000002E-2</v>
      </c>
      <c r="Z487" s="138">
        <f t="shared" si="349"/>
        <v>4.8050000000000002E-2</v>
      </c>
      <c r="AA487" s="138">
        <f t="shared" si="350"/>
        <v>4.8050000000000002E-2</v>
      </c>
      <c r="AB487" s="138">
        <f t="shared" si="351"/>
        <v>4.8050000000000002E-2</v>
      </c>
      <c r="AC487" s="138">
        <f t="shared" si="352"/>
        <v>4.8050000000000002E-2</v>
      </c>
      <c r="AD487" s="138">
        <f t="shared" si="353"/>
        <v>4.8050000000000002E-2</v>
      </c>
      <c r="AE487" s="138">
        <f t="shared" si="354"/>
        <v>4.8050000000000002E-2</v>
      </c>
      <c r="AF487" s="138">
        <f t="shared" si="355"/>
        <v>4.8050000000000002E-2</v>
      </c>
      <c r="AG487" s="138">
        <f t="shared" si="356"/>
        <v>4.8050000000000002E-2</v>
      </c>
      <c r="AH487" s="138">
        <f t="shared" si="357"/>
        <v>4.8050000000000002E-2</v>
      </c>
      <c r="AI487" s="138">
        <f t="shared" si="358"/>
        <v>4.8050000000000002E-2</v>
      </c>
      <c r="AJ487" s="138">
        <f t="shared" si="359"/>
        <v>4.8050000000000002E-2</v>
      </c>
      <c r="AK487" s="138">
        <f t="shared" si="360"/>
        <v>4.8050000000000002E-2</v>
      </c>
      <c r="AL487" s="138">
        <f t="shared" si="361"/>
        <v>4.8050000000000002E-2</v>
      </c>
      <c r="AM487" s="138">
        <f t="shared" si="362"/>
        <v>4.9135000000000005E-2</v>
      </c>
      <c r="AO487" s="77" t="str">
        <f t="shared" si="319"/>
        <v>DS-2 (Small General Service)</v>
      </c>
      <c r="AP487" s="78" t="s">
        <v>664</v>
      </c>
      <c r="AQ487" s="77" t="str">
        <f t="shared" si="320"/>
        <v>Rider QF Non-Summer On-Peak Primary</v>
      </c>
      <c r="AR487" s="78" t="str">
        <f t="shared" si="321"/>
        <v>Prorated</v>
      </c>
      <c r="AS487" s="79">
        <f t="shared" si="322"/>
        <v>6</v>
      </c>
      <c r="AT487" s="78">
        <f t="shared" si="323"/>
        <v>0</v>
      </c>
      <c r="AU487" s="78">
        <f t="shared" si="324"/>
        <v>5.4559999999999997E-2</v>
      </c>
      <c r="AV487" s="78">
        <f t="shared" si="325"/>
        <v>5.4559999999999997E-2</v>
      </c>
      <c r="AW487" s="78">
        <f t="shared" si="326"/>
        <v>5.4559999999999997E-2</v>
      </c>
      <c r="AX487" s="78">
        <f t="shared" si="327"/>
        <v>5.4559999999999997E-2</v>
      </c>
      <c r="AY487" s="78">
        <f t="shared" si="328"/>
        <v>5.4559999999999997E-2</v>
      </c>
      <c r="AZ487" s="78">
        <f t="shared" si="329"/>
        <v>4.8050000000000002E-2</v>
      </c>
      <c r="BA487" s="78">
        <f t="shared" si="330"/>
        <v>4.8050000000000002E-2</v>
      </c>
      <c r="BB487" s="78">
        <f t="shared" si="331"/>
        <v>4.8050000000000002E-2</v>
      </c>
      <c r="BC487" s="78">
        <f t="shared" si="332"/>
        <v>4.8050000000000002E-2</v>
      </c>
      <c r="BD487" s="78">
        <f t="shared" si="333"/>
        <v>4.8050000000000002E-2</v>
      </c>
      <c r="BE487" s="78">
        <f t="shared" si="334"/>
        <v>4.8050000000000002E-2</v>
      </c>
      <c r="BF487" s="78">
        <f t="shared" si="335"/>
        <v>4.8050000000000002E-2</v>
      </c>
      <c r="BG487" s="78">
        <f t="shared" si="336"/>
        <v>4.8050000000000002E-2</v>
      </c>
      <c r="BH487" s="78">
        <f t="shared" si="337"/>
        <v>4.8050000000000002E-2</v>
      </c>
      <c r="BI487" s="78">
        <f t="shared" si="338"/>
        <v>4.8050000000000002E-2</v>
      </c>
      <c r="BJ487" s="78">
        <f t="shared" si="339"/>
        <v>4.8050000000000002E-2</v>
      </c>
      <c r="BK487" s="78">
        <f t="shared" si="340"/>
        <v>4.8050000000000002E-2</v>
      </c>
      <c r="BL487" s="78">
        <f t="shared" si="341"/>
        <v>4.8050000000000002E-2</v>
      </c>
      <c r="BM487" s="78">
        <f t="shared" si="342"/>
        <v>4.8050000000000002E-2</v>
      </c>
      <c r="BN487" s="78">
        <f t="shared" si="343"/>
        <v>4.8050000000000002E-2</v>
      </c>
      <c r="BO487" s="78">
        <f t="shared" si="344"/>
        <v>4.8050000000000002E-2</v>
      </c>
      <c r="BP487" s="78">
        <f t="shared" si="345"/>
        <v>4.8050000000000002E-2</v>
      </c>
      <c r="BQ487" s="78">
        <f t="shared" si="346"/>
        <v>4.8050000000000002E-2</v>
      </c>
      <c r="BR487" s="78">
        <f t="shared" si="347"/>
        <v>4.8050000000000002E-2</v>
      </c>
      <c r="BS487" s="77"/>
      <c r="BT487" s="77"/>
    </row>
    <row r="488" spans="1:72" ht="14.1" customHeight="1" x14ac:dyDescent="0.2">
      <c r="A488" s="55" t="str">
        <f t="shared" si="318"/>
        <v>DS-1 (Residential)_Rider QF Non-Summer On-Peak Secondary</v>
      </c>
      <c r="B488" s="80" t="s">
        <v>90</v>
      </c>
      <c r="C488" s="71" t="s">
        <v>877</v>
      </c>
      <c r="D488" s="150" t="s">
        <v>870</v>
      </c>
      <c r="E488" s="81"/>
      <c r="F488" s="73" t="s">
        <v>640</v>
      </c>
      <c r="G488" s="73">
        <v>0</v>
      </c>
      <c r="H488" s="73">
        <v>6</v>
      </c>
      <c r="I488" s="74" t="s">
        <v>641</v>
      </c>
      <c r="J488" s="75" t="s">
        <v>634</v>
      </c>
      <c r="K488" s="74"/>
      <c r="L488" s="82">
        <v>5.5759999999999997E-2</v>
      </c>
      <c r="M488" s="138">
        <v>5.5759999999999997E-2</v>
      </c>
      <c r="N488" s="138">
        <v>5.5759999999999997E-2</v>
      </c>
      <c r="O488" s="138">
        <v>5.5759999999999997E-2</v>
      </c>
      <c r="P488" s="138">
        <v>5.5759999999999997E-2</v>
      </c>
      <c r="Q488" s="138">
        <v>5.5759999999999997E-2</v>
      </c>
      <c r="R488" s="138">
        <v>4.9160000000000002E-2</v>
      </c>
      <c r="S488" s="138">
        <v>4.9160000000000002E-2</v>
      </c>
      <c r="T488" s="138">
        <v>4.9160000000000002E-2</v>
      </c>
      <c r="U488" s="138">
        <v>4.9160000000000002E-2</v>
      </c>
      <c r="V488" s="138">
        <v>4.9160000000000002E-2</v>
      </c>
      <c r="W488" s="138">
        <v>4.9160000000000002E-2</v>
      </c>
      <c r="X488" s="138">
        <v>4.9160000000000002E-2</v>
      </c>
      <c r="Y488" s="138">
        <f t="shared" si="348"/>
        <v>4.9160000000000002E-2</v>
      </c>
      <c r="Z488" s="138">
        <f t="shared" si="349"/>
        <v>4.9160000000000002E-2</v>
      </c>
      <c r="AA488" s="138">
        <f t="shared" si="350"/>
        <v>4.9160000000000002E-2</v>
      </c>
      <c r="AB488" s="138">
        <f t="shared" si="351"/>
        <v>4.9160000000000002E-2</v>
      </c>
      <c r="AC488" s="138">
        <f t="shared" si="352"/>
        <v>4.9160000000000002E-2</v>
      </c>
      <c r="AD488" s="138">
        <f t="shared" si="353"/>
        <v>4.9160000000000002E-2</v>
      </c>
      <c r="AE488" s="138">
        <f t="shared" si="354"/>
        <v>4.9160000000000002E-2</v>
      </c>
      <c r="AF488" s="138">
        <f t="shared" si="355"/>
        <v>4.9160000000000002E-2</v>
      </c>
      <c r="AG488" s="138">
        <f t="shared" si="356"/>
        <v>4.9160000000000002E-2</v>
      </c>
      <c r="AH488" s="138">
        <f t="shared" si="357"/>
        <v>4.9160000000000002E-2</v>
      </c>
      <c r="AI488" s="138">
        <f t="shared" si="358"/>
        <v>4.9160000000000002E-2</v>
      </c>
      <c r="AJ488" s="138">
        <f t="shared" si="359"/>
        <v>4.9160000000000002E-2</v>
      </c>
      <c r="AK488" s="138">
        <f t="shared" si="360"/>
        <v>4.9160000000000002E-2</v>
      </c>
      <c r="AL488" s="138">
        <f t="shared" si="361"/>
        <v>4.9159999999999988E-2</v>
      </c>
      <c r="AM488" s="138">
        <f t="shared" si="362"/>
        <v>5.0260000000000006E-2</v>
      </c>
      <c r="AO488" s="77" t="str">
        <f t="shared" si="319"/>
        <v>DS-1 (Residential)</v>
      </c>
      <c r="AP488" s="78" t="s">
        <v>662</v>
      </c>
      <c r="AQ488" s="77" t="str">
        <f t="shared" si="320"/>
        <v>Rider QF Non-Summer On-Peak Secondary</v>
      </c>
      <c r="AR488" s="78" t="str">
        <f t="shared" si="321"/>
        <v>Prorated</v>
      </c>
      <c r="AS488" s="79">
        <f t="shared" si="322"/>
        <v>6</v>
      </c>
      <c r="AT488" s="78">
        <f t="shared" si="323"/>
        <v>0</v>
      </c>
      <c r="AU488" s="78">
        <f t="shared" si="324"/>
        <v>5.5759999999999997E-2</v>
      </c>
      <c r="AV488" s="78">
        <f t="shared" si="325"/>
        <v>5.5759999999999997E-2</v>
      </c>
      <c r="AW488" s="78">
        <f t="shared" si="326"/>
        <v>5.5759999999999997E-2</v>
      </c>
      <c r="AX488" s="78">
        <f t="shared" si="327"/>
        <v>5.5759999999999997E-2</v>
      </c>
      <c r="AY488" s="78">
        <f t="shared" si="328"/>
        <v>5.5759999999999997E-2</v>
      </c>
      <c r="AZ488" s="78">
        <f t="shared" si="329"/>
        <v>4.9160000000000002E-2</v>
      </c>
      <c r="BA488" s="78">
        <f t="shared" si="330"/>
        <v>4.9160000000000002E-2</v>
      </c>
      <c r="BB488" s="78">
        <f t="shared" si="331"/>
        <v>4.9160000000000002E-2</v>
      </c>
      <c r="BC488" s="78">
        <f t="shared" si="332"/>
        <v>4.9160000000000002E-2</v>
      </c>
      <c r="BD488" s="78">
        <f t="shared" si="333"/>
        <v>4.9160000000000002E-2</v>
      </c>
      <c r="BE488" s="78">
        <f t="shared" si="334"/>
        <v>4.9160000000000002E-2</v>
      </c>
      <c r="BF488" s="78">
        <f t="shared" si="335"/>
        <v>4.9160000000000002E-2</v>
      </c>
      <c r="BG488" s="78">
        <f t="shared" si="336"/>
        <v>4.9160000000000002E-2</v>
      </c>
      <c r="BH488" s="78">
        <f t="shared" si="337"/>
        <v>4.9160000000000002E-2</v>
      </c>
      <c r="BI488" s="78">
        <f t="shared" si="338"/>
        <v>4.9160000000000002E-2</v>
      </c>
      <c r="BJ488" s="78">
        <f t="shared" si="339"/>
        <v>4.9160000000000002E-2</v>
      </c>
      <c r="BK488" s="78">
        <f t="shared" si="340"/>
        <v>4.9160000000000002E-2</v>
      </c>
      <c r="BL488" s="78">
        <f t="shared" si="341"/>
        <v>4.9160000000000002E-2</v>
      </c>
      <c r="BM488" s="78">
        <f t="shared" si="342"/>
        <v>4.9160000000000002E-2</v>
      </c>
      <c r="BN488" s="78">
        <f t="shared" si="343"/>
        <v>4.9160000000000002E-2</v>
      </c>
      <c r="BO488" s="78">
        <f t="shared" si="344"/>
        <v>4.9160000000000002E-2</v>
      </c>
      <c r="BP488" s="78">
        <f t="shared" si="345"/>
        <v>4.9160000000000002E-2</v>
      </c>
      <c r="BQ488" s="78">
        <f t="shared" si="346"/>
        <v>4.9160000000000002E-2</v>
      </c>
      <c r="BR488" s="78">
        <f t="shared" si="347"/>
        <v>4.9160000000000002E-2</v>
      </c>
      <c r="BS488" s="77"/>
      <c r="BT488" s="77"/>
    </row>
    <row r="489" spans="1:72" ht="14.1" customHeight="1" x14ac:dyDescent="0.2">
      <c r="A489" s="55" t="str">
        <f t="shared" si="318"/>
        <v>DS-2 (Small General Service)_Rider QF Non-Summer On-Peak Secondary</v>
      </c>
      <c r="B489" s="80" t="s">
        <v>665</v>
      </c>
      <c r="C489" s="71" t="s">
        <v>877</v>
      </c>
      <c r="D489" s="150"/>
      <c r="E489" s="81"/>
      <c r="F489" s="73" t="s">
        <v>640</v>
      </c>
      <c r="G489" s="73">
        <v>0</v>
      </c>
      <c r="H489" s="73">
        <v>6</v>
      </c>
      <c r="I489" s="74" t="s">
        <v>641</v>
      </c>
      <c r="J489" s="75" t="s">
        <v>634</v>
      </c>
      <c r="K489" s="74"/>
      <c r="L489" s="82">
        <v>5.5759999999999997E-2</v>
      </c>
      <c r="M489" s="138">
        <v>5.5759999999999997E-2</v>
      </c>
      <c r="N489" s="138">
        <v>5.5759999999999997E-2</v>
      </c>
      <c r="O489" s="138">
        <v>5.5759999999999997E-2</v>
      </c>
      <c r="P489" s="138">
        <v>5.5759999999999997E-2</v>
      </c>
      <c r="Q489" s="138">
        <v>5.5759999999999997E-2</v>
      </c>
      <c r="R489" s="138">
        <v>4.9160000000000002E-2</v>
      </c>
      <c r="S489" s="138">
        <v>4.9160000000000002E-2</v>
      </c>
      <c r="T489" s="138">
        <v>4.9160000000000002E-2</v>
      </c>
      <c r="U489" s="138">
        <v>4.9160000000000002E-2</v>
      </c>
      <c r="V489" s="138">
        <v>4.9160000000000002E-2</v>
      </c>
      <c r="W489" s="138">
        <v>4.9160000000000002E-2</v>
      </c>
      <c r="X489" s="138">
        <v>4.9160000000000002E-2</v>
      </c>
      <c r="Y489" s="138">
        <f t="shared" si="348"/>
        <v>4.9160000000000002E-2</v>
      </c>
      <c r="Z489" s="138">
        <f t="shared" si="349"/>
        <v>4.9160000000000002E-2</v>
      </c>
      <c r="AA489" s="138">
        <f t="shared" si="350"/>
        <v>4.9160000000000002E-2</v>
      </c>
      <c r="AB489" s="138">
        <f t="shared" si="351"/>
        <v>4.9160000000000002E-2</v>
      </c>
      <c r="AC489" s="138">
        <f t="shared" si="352"/>
        <v>4.9160000000000002E-2</v>
      </c>
      <c r="AD489" s="138">
        <f t="shared" si="353"/>
        <v>4.9160000000000002E-2</v>
      </c>
      <c r="AE489" s="138">
        <f t="shared" si="354"/>
        <v>4.9160000000000002E-2</v>
      </c>
      <c r="AF489" s="138">
        <f t="shared" si="355"/>
        <v>4.9160000000000002E-2</v>
      </c>
      <c r="AG489" s="138">
        <f t="shared" si="356"/>
        <v>4.9160000000000002E-2</v>
      </c>
      <c r="AH489" s="138">
        <f t="shared" si="357"/>
        <v>4.9160000000000002E-2</v>
      </c>
      <c r="AI489" s="138">
        <f t="shared" si="358"/>
        <v>4.9160000000000002E-2</v>
      </c>
      <c r="AJ489" s="138">
        <f t="shared" si="359"/>
        <v>4.9160000000000002E-2</v>
      </c>
      <c r="AK489" s="138">
        <f t="shared" si="360"/>
        <v>4.9160000000000002E-2</v>
      </c>
      <c r="AL489" s="138">
        <f t="shared" si="361"/>
        <v>4.9159999999999988E-2</v>
      </c>
      <c r="AM489" s="138">
        <f t="shared" si="362"/>
        <v>5.0260000000000006E-2</v>
      </c>
      <c r="AO489" s="77" t="str">
        <f t="shared" si="319"/>
        <v>DS-2 (Small General Service)</v>
      </c>
      <c r="AP489" s="78" t="s">
        <v>664</v>
      </c>
      <c r="AQ489" s="77" t="str">
        <f t="shared" si="320"/>
        <v>Rider QF Non-Summer On-Peak Secondary</v>
      </c>
      <c r="AR489" s="78" t="str">
        <f t="shared" si="321"/>
        <v>Prorated</v>
      </c>
      <c r="AS489" s="79">
        <f t="shared" si="322"/>
        <v>6</v>
      </c>
      <c r="AT489" s="78">
        <f t="shared" si="323"/>
        <v>0</v>
      </c>
      <c r="AU489" s="78">
        <f t="shared" si="324"/>
        <v>5.5759999999999997E-2</v>
      </c>
      <c r="AV489" s="78">
        <f t="shared" si="325"/>
        <v>5.5759999999999997E-2</v>
      </c>
      <c r="AW489" s="78">
        <f t="shared" si="326"/>
        <v>5.5759999999999997E-2</v>
      </c>
      <c r="AX489" s="78">
        <f t="shared" si="327"/>
        <v>5.5759999999999997E-2</v>
      </c>
      <c r="AY489" s="78">
        <f t="shared" si="328"/>
        <v>5.5759999999999997E-2</v>
      </c>
      <c r="AZ489" s="78">
        <f t="shared" si="329"/>
        <v>4.9160000000000002E-2</v>
      </c>
      <c r="BA489" s="78">
        <f t="shared" si="330"/>
        <v>4.9160000000000002E-2</v>
      </c>
      <c r="BB489" s="78">
        <f t="shared" si="331"/>
        <v>4.9160000000000002E-2</v>
      </c>
      <c r="BC489" s="78">
        <f t="shared" si="332"/>
        <v>4.9160000000000002E-2</v>
      </c>
      <c r="BD489" s="78">
        <f t="shared" si="333"/>
        <v>4.9160000000000002E-2</v>
      </c>
      <c r="BE489" s="78">
        <f t="shared" si="334"/>
        <v>4.9160000000000002E-2</v>
      </c>
      <c r="BF489" s="78">
        <f t="shared" si="335"/>
        <v>4.9160000000000002E-2</v>
      </c>
      <c r="BG489" s="78">
        <f t="shared" si="336"/>
        <v>4.9160000000000002E-2</v>
      </c>
      <c r="BH489" s="78">
        <f t="shared" si="337"/>
        <v>4.9160000000000002E-2</v>
      </c>
      <c r="BI489" s="78">
        <f t="shared" si="338"/>
        <v>4.9160000000000002E-2</v>
      </c>
      <c r="BJ489" s="78">
        <f t="shared" si="339"/>
        <v>4.9160000000000002E-2</v>
      </c>
      <c r="BK489" s="78">
        <f t="shared" si="340"/>
        <v>4.9160000000000002E-2</v>
      </c>
      <c r="BL489" s="78">
        <f t="shared" si="341"/>
        <v>4.9160000000000002E-2</v>
      </c>
      <c r="BM489" s="78">
        <f t="shared" si="342"/>
        <v>4.9160000000000002E-2</v>
      </c>
      <c r="BN489" s="78">
        <f t="shared" si="343"/>
        <v>4.9160000000000002E-2</v>
      </c>
      <c r="BO489" s="78">
        <f t="shared" si="344"/>
        <v>4.9160000000000002E-2</v>
      </c>
      <c r="BP489" s="78">
        <f t="shared" si="345"/>
        <v>4.9160000000000002E-2</v>
      </c>
      <c r="BQ489" s="78">
        <f t="shared" si="346"/>
        <v>4.9160000000000002E-2</v>
      </c>
      <c r="BR489" s="78">
        <f t="shared" si="347"/>
        <v>4.9160000000000002E-2</v>
      </c>
      <c r="BS489" s="77"/>
      <c r="BT489" s="77"/>
    </row>
    <row r="490" spans="1:72" ht="14.1" customHeight="1" x14ac:dyDescent="0.2">
      <c r="A490" s="55" t="str">
        <f t="shared" si="318"/>
        <v>DS-1 (Residential)_Rider QF Summer Off-Peak 100 kv</v>
      </c>
      <c r="B490" s="80" t="s">
        <v>90</v>
      </c>
      <c r="C490" s="71" t="s">
        <v>878</v>
      </c>
      <c r="D490" s="150" t="s">
        <v>870</v>
      </c>
      <c r="E490" s="81"/>
      <c r="F490" s="73" t="s">
        <v>640</v>
      </c>
      <c r="G490" s="73">
        <v>0</v>
      </c>
      <c r="H490" s="73">
        <v>6</v>
      </c>
      <c r="I490" s="74" t="s">
        <v>641</v>
      </c>
      <c r="J490" s="75" t="s">
        <v>634</v>
      </c>
      <c r="K490" s="74"/>
      <c r="L490" s="82">
        <v>3.7650000000000003E-2</v>
      </c>
      <c r="M490" s="138">
        <v>3.7650000000000003E-2</v>
      </c>
      <c r="N490" s="138">
        <v>3.7650000000000003E-2</v>
      </c>
      <c r="O490" s="138">
        <v>3.7650000000000003E-2</v>
      </c>
      <c r="P490" s="138">
        <v>3.7650000000000003E-2</v>
      </c>
      <c r="Q490" s="138">
        <v>3.7650000000000003E-2</v>
      </c>
      <c r="R490" s="138">
        <v>3.4590000000000003E-2</v>
      </c>
      <c r="S490" s="138">
        <v>3.4590000000000003E-2</v>
      </c>
      <c r="T490" s="138">
        <v>3.4590000000000003E-2</v>
      </c>
      <c r="U490" s="138">
        <v>3.4590000000000003E-2</v>
      </c>
      <c r="V490" s="138">
        <v>3.4590000000000003E-2</v>
      </c>
      <c r="W490" s="138">
        <v>3.4590000000000003E-2</v>
      </c>
      <c r="X490" s="138">
        <v>3.4590000000000003E-2</v>
      </c>
      <c r="Y490" s="138">
        <f t="shared" si="348"/>
        <v>3.4590000000000003E-2</v>
      </c>
      <c r="Z490" s="138">
        <f t="shared" si="349"/>
        <v>3.4590000000000003E-2</v>
      </c>
      <c r="AA490" s="138">
        <f t="shared" si="350"/>
        <v>3.4590000000000003E-2</v>
      </c>
      <c r="AB490" s="138">
        <f t="shared" si="351"/>
        <v>3.4590000000000003E-2</v>
      </c>
      <c r="AC490" s="138">
        <f t="shared" si="352"/>
        <v>3.4590000000000003E-2</v>
      </c>
      <c r="AD490" s="138">
        <f t="shared" si="353"/>
        <v>3.4590000000000003E-2</v>
      </c>
      <c r="AE490" s="138">
        <f t="shared" si="354"/>
        <v>3.4590000000000003E-2</v>
      </c>
      <c r="AF490" s="138">
        <f t="shared" si="355"/>
        <v>3.4590000000000003E-2</v>
      </c>
      <c r="AG490" s="138">
        <f t="shared" si="356"/>
        <v>3.4590000000000003E-2</v>
      </c>
      <c r="AH490" s="138">
        <f t="shared" si="357"/>
        <v>3.4590000000000003E-2</v>
      </c>
      <c r="AI490" s="138">
        <f t="shared" si="358"/>
        <v>3.4590000000000003E-2</v>
      </c>
      <c r="AJ490" s="138">
        <f t="shared" si="359"/>
        <v>3.4590000000000003E-2</v>
      </c>
      <c r="AK490" s="138">
        <f t="shared" si="360"/>
        <v>3.4590000000000003E-2</v>
      </c>
      <c r="AL490" s="138">
        <f t="shared" si="361"/>
        <v>3.4590000000000003E-2</v>
      </c>
      <c r="AM490" s="138">
        <f t="shared" si="362"/>
        <v>3.5100000000000006E-2</v>
      </c>
      <c r="AO490" s="77" t="str">
        <f t="shared" si="319"/>
        <v>DS-1 (Residential)</v>
      </c>
      <c r="AP490" s="78" t="s">
        <v>662</v>
      </c>
      <c r="AQ490" s="77" t="str">
        <f t="shared" si="320"/>
        <v>Rider QF Summer Off-Peak 100 kv</v>
      </c>
      <c r="AR490" s="78" t="str">
        <f t="shared" si="321"/>
        <v>Prorated</v>
      </c>
      <c r="AS490" s="79">
        <f t="shared" si="322"/>
        <v>6</v>
      </c>
      <c r="AT490" s="78">
        <f t="shared" si="323"/>
        <v>0</v>
      </c>
      <c r="AU490" s="78">
        <f t="shared" si="324"/>
        <v>3.7650000000000003E-2</v>
      </c>
      <c r="AV490" s="78">
        <f t="shared" si="325"/>
        <v>3.7650000000000003E-2</v>
      </c>
      <c r="AW490" s="78">
        <f t="shared" si="326"/>
        <v>3.7650000000000003E-2</v>
      </c>
      <c r="AX490" s="78">
        <f t="shared" si="327"/>
        <v>3.7650000000000003E-2</v>
      </c>
      <c r="AY490" s="78">
        <f t="shared" si="328"/>
        <v>3.7650000000000003E-2</v>
      </c>
      <c r="AZ490" s="78">
        <f t="shared" si="329"/>
        <v>3.4590000000000003E-2</v>
      </c>
      <c r="BA490" s="78">
        <f t="shared" si="330"/>
        <v>3.4590000000000003E-2</v>
      </c>
      <c r="BB490" s="78">
        <f t="shared" si="331"/>
        <v>3.4590000000000003E-2</v>
      </c>
      <c r="BC490" s="78">
        <f t="shared" si="332"/>
        <v>3.4590000000000003E-2</v>
      </c>
      <c r="BD490" s="78">
        <f t="shared" si="333"/>
        <v>3.4590000000000003E-2</v>
      </c>
      <c r="BE490" s="78">
        <f t="shared" si="334"/>
        <v>3.4590000000000003E-2</v>
      </c>
      <c r="BF490" s="78">
        <f t="shared" si="335"/>
        <v>3.4590000000000003E-2</v>
      </c>
      <c r="BG490" s="78">
        <f t="shared" si="336"/>
        <v>3.4590000000000003E-2</v>
      </c>
      <c r="BH490" s="78">
        <f t="shared" si="337"/>
        <v>3.4590000000000003E-2</v>
      </c>
      <c r="BI490" s="78">
        <f t="shared" si="338"/>
        <v>3.4590000000000003E-2</v>
      </c>
      <c r="BJ490" s="78">
        <f t="shared" si="339"/>
        <v>3.4590000000000003E-2</v>
      </c>
      <c r="BK490" s="78">
        <f t="shared" si="340"/>
        <v>3.4590000000000003E-2</v>
      </c>
      <c r="BL490" s="78">
        <f t="shared" si="341"/>
        <v>3.4590000000000003E-2</v>
      </c>
      <c r="BM490" s="78">
        <f t="shared" si="342"/>
        <v>3.4590000000000003E-2</v>
      </c>
      <c r="BN490" s="78">
        <f t="shared" si="343"/>
        <v>3.4590000000000003E-2</v>
      </c>
      <c r="BO490" s="78">
        <f t="shared" si="344"/>
        <v>3.4590000000000003E-2</v>
      </c>
      <c r="BP490" s="78">
        <f t="shared" si="345"/>
        <v>3.4590000000000003E-2</v>
      </c>
      <c r="BQ490" s="78">
        <f t="shared" si="346"/>
        <v>3.4590000000000003E-2</v>
      </c>
      <c r="BR490" s="78">
        <f t="shared" si="347"/>
        <v>3.4590000000000003E-2</v>
      </c>
      <c r="BS490" s="77"/>
      <c r="BT490" s="77"/>
    </row>
    <row r="491" spans="1:72" ht="14.1" customHeight="1" x14ac:dyDescent="0.2">
      <c r="A491" s="55" t="str">
        <f t="shared" si="318"/>
        <v>DS-2 (Small General Service)_Rider QF Summer Off-Peak 100 kv</v>
      </c>
      <c r="B491" s="80" t="s">
        <v>665</v>
      </c>
      <c r="C491" s="71" t="s">
        <v>878</v>
      </c>
      <c r="D491" s="150"/>
      <c r="E491" s="81"/>
      <c r="F491" s="73" t="s">
        <v>640</v>
      </c>
      <c r="G491" s="73">
        <v>0</v>
      </c>
      <c r="H491" s="73">
        <v>6</v>
      </c>
      <c r="I491" s="74" t="s">
        <v>641</v>
      </c>
      <c r="J491" s="75" t="s">
        <v>634</v>
      </c>
      <c r="K491" s="74"/>
      <c r="L491" s="82" t="s">
        <v>879</v>
      </c>
      <c r="M491" s="138" t="s">
        <v>879</v>
      </c>
      <c r="N491" s="138" t="s">
        <v>879</v>
      </c>
      <c r="O491" s="138" t="s">
        <v>879</v>
      </c>
      <c r="P491" s="138" t="s">
        <v>879</v>
      </c>
      <c r="Q491" s="138" t="s">
        <v>879</v>
      </c>
      <c r="R491" s="138">
        <v>3.4590000000000003E-2</v>
      </c>
      <c r="S491" s="138">
        <v>3.4590000000000003E-2</v>
      </c>
      <c r="T491" s="138">
        <v>3.4590000000000003E-2</v>
      </c>
      <c r="U491" s="138">
        <v>3.4590000000000003E-2</v>
      </c>
      <c r="V491" s="138">
        <v>3.4590000000000003E-2</v>
      </c>
      <c r="W491" s="138">
        <v>3.4590000000000003E-2</v>
      </c>
      <c r="X491" s="138">
        <v>3.4590000000000003E-2</v>
      </c>
      <c r="Y491" s="138">
        <f t="shared" si="348"/>
        <v>3.4590000000000003E-2</v>
      </c>
      <c r="Z491" s="138">
        <f t="shared" si="349"/>
        <v>3.4590000000000003E-2</v>
      </c>
      <c r="AA491" s="138">
        <f t="shared" si="350"/>
        <v>3.4590000000000003E-2</v>
      </c>
      <c r="AB491" s="138">
        <f t="shared" si="351"/>
        <v>3.4590000000000003E-2</v>
      </c>
      <c r="AC491" s="138">
        <f t="shared" si="352"/>
        <v>3.4590000000000003E-2</v>
      </c>
      <c r="AD491" s="138">
        <f t="shared" si="353"/>
        <v>3.4590000000000003E-2</v>
      </c>
      <c r="AE491" s="138">
        <f t="shared" si="354"/>
        <v>3.4590000000000003E-2</v>
      </c>
      <c r="AF491" s="138">
        <f t="shared" si="355"/>
        <v>3.4590000000000003E-2</v>
      </c>
      <c r="AG491" s="138">
        <f t="shared" si="356"/>
        <v>3.4590000000000003E-2</v>
      </c>
      <c r="AH491" s="138">
        <f t="shared" si="357"/>
        <v>3.4590000000000003E-2</v>
      </c>
      <c r="AI491" s="138">
        <f t="shared" si="358"/>
        <v>3.4590000000000003E-2</v>
      </c>
      <c r="AJ491" s="138">
        <f t="shared" si="359"/>
        <v>3.4590000000000003E-2</v>
      </c>
      <c r="AK491" s="138">
        <f t="shared" si="360"/>
        <v>3.4590000000000003E-2</v>
      </c>
      <c r="AL491" s="138">
        <f t="shared" si="361"/>
        <v>3.4590000000000003E-2</v>
      </c>
      <c r="AM491" s="138">
        <f t="shared" si="362"/>
        <v>3.4590000000000003E-2</v>
      </c>
      <c r="AO491" s="77" t="str">
        <f t="shared" si="319"/>
        <v>DS-2 (Small General Service)</v>
      </c>
      <c r="AP491" s="78" t="s">
        <v>664</v>
      </c>
      <c r="AQ491" s="77" t="str">
        <f t="shared" si="320"/>
        <v>Rider QF Summer Off-Peak 100 kv</v>
      </c>
      <c r="AR491" s="78" t="str">
        <f t="shared" si="321"/>
        <v>Prorated</v>
      </c>
      <c r="AS491" s="79">
        <f t="shared" si="322"/>
        <v>6</v>
      </c>
      <c r="AT491" s="78" t="e">
        <f t="shared" si="323"/>
        <v>#VALUE!</v>
      </c>
      <c r="AU491" s="78" t="e">
        <f t="shared" si="324"/>
        <v>#VALUE!</v>
      </c>
      <c r="AV491" s="78" t="e">
        <f t="shared" si="325"/>
        <v>#VALUE!</v>
      </c>
      <c r="AW491" s="78" t="e">
        <f t="shared" si="326"/>
        <v>#VALUE!</v>
      </c>
      <c r="AX491" s="78" t="e">
        <f t="shared" si="327"/>
        <v>#VALUE!</v>
      </c>
      <c r="AY491" s="78" t="e">
        <f t="shared" si="328"/>
        <v>#VALUE!</v>
      </c>
      <c r="AZ491" s="78">
        <f t="shared" si="329"/>
        <v>3.4590000000000003E-2</v>
      </c>
      <c r="BA491" s="78">
        <f t="shared" si="330"/>
        <v>3.4590000000000003E-2</v>
      </c>
      <c r="BB491" s="78">
        <f t="shared" si="331"/>
        <v>3.4590000000000003E-2</v>
      </c>
      <c r="BC491" s="78">
        <f t="shared" si="332"/>
        <v>3.4590000000000003E-2</v>
      </c>
      <c r="BD491" s="78">
        <f t="shared" si="333"/>
        <v>3.4590000000000003E-2</v>
      </c>
      <c r="BE491" s="78">
        <f t="shared" si="334"/>
        <v>3.4590000000000003E-2</v>
      </c>
      <c r="BF491" s="78">
        <f t="shared" si="335"/>
        <v>3.4590000000000003E-2</v>
      </c>
      <c r="BG491" s="78">
        <f t="shared" si="336"/>
        <v>3.4590000000000003E-2</v>
      </c>
      <c r="BH491" s="78">
        <f t="shared" si="337"/>
        <v>3.4590000000000003E-2</v>
      </c>
      <c r="BI491" s="78">
        <f t="shared" si="338"/>
        <v>3.4590000000000003E-2</v>
      </c>
      <c r="BJ491" s="78">
        <f t="shared" si="339"/>
        <v>3.4590000000000003E-2</v>
      </c>
      <c r="BK491" s="78">
        <f t="shared" si="340"/>
        <v>3.4590000000000003E-2</v>
      </c>
      <c r="BL491" s="78">
        <f t="shared" si="341"/>
        <v>3.4590000000000003E-2</v>
      </c>
      <c r="BM491" s="78">
        <f t="shared" si="342"/>
        <v>3.4590000000000003E-2</v>
      </c>
      <c r="BN491" s="78">
        <f t="shared" si="343"/>
        <v>3.4590000000000003E-2</v>
      </c>
      <c r="BO491" s="78">
        <f t="shared" si="344"/>
        <v>3.4590000000000003E-2</v>
      </c>
      <c r="BP491" s="78">
        <f t="shared" si="345"/>
        <v>3.4590000000000003E-2</v>
      </c>
      <c r="BQ491" s="78">
        <f t="shared" si="346"/>
        <v>3.4590000000000003E-2</v>
      </c>
      <c r="BR491" s="78">
        <f t="shared" si="347"/>
        <v>3.4590000000000003E-2</v>
      </c>
      <c r="BS491" s="77"/>
      <c r="BT491" s="77"/>
    </row>
    <row r="492" spans="1:72" ht="14.1" customHeight="1" x14ac:dyDescent="0.2">
      <c r="A492" s="55" t="str">
        <f t="shared" si="318"/>
        <v>DS-1 (Residential)_Rider QF Summer Off-Peak High voltage</v>
      </c>
      <c r="B492" s="80" t="s">
        <v>90</v>
      </c>
      <c r="C492" s="71" t="s">
        <v>880</v>
      </c>
      <c r="D492" s="150" t="s">
        <v>870</v>
      </c>
      <c r="E492" s="81"/>
      <c r="F492" s="73" t="s">
        <v>640</v>
      </c>
      <c r="G492" s="73">
        <v>0</v>
      </c>
      <c r="H492" s="73">
        <v>6</v>
      </c>
      <c r="I492" s="74" t="s">
        <v>641</v>
      </c>
      <c r="J492" s="75" t="s">
        <v>634</v>
      </c>
      <c r="K492" s="74"/>
      <c r="L492" s="82">
        <v>3.8150000000000003E-2</v>
      </c>
      <c r="M492" s="138">
        <v>3.8150000000000003E-2</v>
      </c>
      <c r="N492" s="138">
        <v>3.8150000000000003E-2</v>
      </c>
      <c r="O492" s="138">
        <v>3.8150000000000003E-2</v>
      </c>
      <c r="P492" s="138">
        <v>3.8150000000000003E-2</v>
      </c>
      <c r="Q492" s="138">
        <v>3.8150000000000003E-2</v>
      </c>
      <c r="R492" s="138">
        <v>3.5090000000000003E-2</v>
      </c>
      <c r="S492" s="138">
        <v>3.5090000000000003E-2</v>
      </c>
      <c r="T492" s="138">
        <v>3.5090000000000003E-2</v>
      </c>
      <c r="U492" s="138">
        <v>3.5090000000000003E-2</v>
      </c>
      <c r="V492" s="138">
        <v>3.5090000000000003E-2</v>
      </c>
      <c r="W492" s="138">
        <v>3.5090000000000003E-2</v>
      </c>
      <c r="X492" s="138">
        <v>3.5090000000000003E-2</v>
      </c>
      <c r="Y492" s="138">
        <f t="shared" si="348"/>
        <v>3.5090000000000003E-2</v>
      </c>
      <c r="Z492" s="138">
        <f t="shared" si="349"/>
        <v>3.5090000000000003E-2</v>
      </c>
      <c r="AA492" s="138">
        <f t="shared" si="350"/>
        <v>3.5090000000000003E-2</v>
      </c>
      <c r="AB492" s="138">
        <f t="shared" si="351"/>
        <v>3.5090000000000003E-2</v>
      </c>
      <c r="AC492" s="138">
        <f t="shared" si="352"/>
        <v>3.5090000000000003E-2</v>
      </c>
      <c r="AD492" s="138">
        <f t="shared" si="353"/>
        <v>3.5090000000000003E-2</v>
      </c>
      <c r="AE492" s="138">
        <f t="shared" si="354"/>
        <v>3.5090000000000003E-2</v>
      </c>
      <c r="AF492" s="138">
        <f t="shared" si="355"/>
        <v>3.5090000000000003E-2</v>
      </c>
      <c r="AG492" s="138">
        <f t="shared" si="356"/>
        <v>3.5090000000000003E-2</v>
      </c>
      <c r="AH492" s="138">
        <f t="shared" si="357"/>
        <v>3.5090000000000003E-2</v>
      </c>
      <c r="AI492" s="138">
        <f t="shared" si="358"/>
        <v>3.5090000000000003E-2</v>
      </c>
      <c r="AJ492" s="138">
        <f t="shared" si="359"/>
        <v>3.5090000000000003E-2</v>
      </c>
      <c r="AK492" s="138">
        <f t="shared" si="360"/>
        <v>3.5090000000000003E-2</v>
      </c>
      <c r="AL492" s="138">
        <f t="shared" si="361"/>
        <v>3.5090000000000003E-2</v>
      </c>
      <c r="AM492" s="138">
        <f t="shared" si="362"/>
        <v>3.5599999999999986E-2</v>
      </c>
      <c r="AO492" s="77" t="str">
        <f t="shared" si="319"/>
        <v>DS-1 (Residential)</v>
      </c>
      <c r="AP492" s="78" t="s">
        <v>662</v>
      </c>
      <c r="AQ492" s="77" t="str">
        <f t="shared" si="320"/>
        <v>Rider QF Summer Off-Peak High voltage</v>
      </c>
      <c r="AR492" s="78" t="str">
        <f t="shared" si="321"/>
        <v>Prorated</v>
      </c>
      <c r="AS492" s="79">
        <f t="shared" si="322"/>
        <v>6</v>
      </c>
      <c r="AT492" s="78">
        <f t="shared" si="323"/>
        <v>0</v>
      </c>
      <c r="AU492" s="78">
        <f t="shared" si="324"/>
        <v>3.8150000000000003E-2</v>
      </c>
      <c r="AV492" s="78">
        <f t="shared" si="325"/>
        <v>3.8150000000000003E-2</v>
      </c>
      <c r="AW492" s="78">
        <f t="shared" si="326"/>
        <v>3.8150000000000003E-2</v>
      </c>
      <c r="AX492" s="78">
        <f t="shared" si="327"/>
        <v>3.8150000000000003E-2</v>
      </c>
      <c r="AY492" s="78">
        <f t="shared" si="328"/>
        <v>3.8150000000000003E-2</v>
      </c>
      <c r="AZ492" s="78">
        <f t="shared" si="329"/>
        <v>3.5090000000000003E-2</v>
      </c>
      <c r="BA492" s="78">
        <f t="shared" si="330"/>
        <v>3.5090000000000003E-2</v>
      </c>
      <c r="BB492" s="78">
        <f t="shared" si="331"/>
        <v>3.5090000000000003E-2</v>
      </c>
      <c r="BC492" s="78">
        <f t="shared" si="332"/>
        <v>3.5090000000000003E-2</v>
      </c>
      <c r="BD492" s="78">
        <f t="shared" si="333"/>
        <v>3.5090000000000003E-2</v>
      </c>
      <c r="BE492" s="78">
        <f t="shared" si="334"/>
        <v>3.5090000000000003E-2</v>
      </c>
      <c r="BF492" s="78">
        <f t="shared" si="335"/>
        <v>3.5090000000000003E-2</v>
      </c>
      <c r="BG492" s="78">
        <f t="shared" si="336"/>
        <v>3.5090000000000003E-2</v>
      </c>
      <c r="BH492" s="78">
        <f t="shared" si="337"/>
        <v>3.5090000000000003E-2</v>
      </c>
      <c r="BI492" s="78">
        <f t="shared" si="338"/>
        <v>3.5090000000000003E-2</v>
      </c>
      <c r="BJ492" s="78">
        <f t="shared" si="339"/>
        <v>3.5090000000000003E-2</v>
      </c>
      <c r="BK492" s="78">
        <f t="shared" si="340"/>
        <v>3.5090000000000003E-2</v>
      </c>
      <c r="BL492" s="78">
        <f t="shared" si="341"/>
        <v>3.5090000000000003E-2</v>
      </c>
      <c r="BM492" s="78">
        <f t="shared" si="342"/>
        <v>3.5090000000000003E-2</v>
      </c>
      <c r="BN492" s="78">
        <f t="shared" si="343"/>
        <v>3.5090000000000003E-2</v>
      </c>
      <c r="BO492" s="78">
        <f t="shared" si="344"/>
        <v>3.5090000000000003E-2</v>
      </c>
      <c r="BP492" s="78">
        <f t="shared" si="345"/>
        <v>3.5090000000000003E-2</v>
      </c>
      <c r="BQ492" s="78">
        <f t="shared" si="346"/>
        <v>3.5090000000000003E-2</v>
      </c>
      <c r="BR492" s="78">
        <f t="shared" si="347"/>
        <v>3.5090000000000003E-2</v>
      </c>
      <c r="BS492" s="77"/>
      <c r="BT492" s="77"/>
    </row>
    <row r="493" spans="1:72" ht="14.1" customHeight="1" x14ac:dyDescent="0.2">
      <c r="A493" s="55" t="str">
        <f t="shared" si="318"/>
        <v>DS-2 (Small General Service)_Rider QF Summer Off-Peak High voltage</v>
      </c>
      <c r="B493" s="80" t="s">
        <v>665</v>
      </c>
      <c r="C493" s="71" t="s">
        <v>880</v>
      </c>
      <c r="D493" s="150"/>
      <c r="E493" s="81"/>
      <c r="F493" s="73" t="s">
        <v>640</v>
      </c>
      <c r="G493" s="73">
        <v>0</v>
      </c>
      <c r="H493" s="73">
        <v>6</v>
      </c>
      <c r="I493" s="74" t="s">
        <v>641</v>
      </c>
      <c r="J493" s="75" t="s">
        <v>634</v>
      </c>
      <c r="K493" s="74"/>
      <c r="L493" s="82">
        <v>3.8150000000000003E-2</v>
      </c>
      <c r="M493" s="138">
        <v>3.8150000000000003E-2</v>
      </c>
      <c r="N493" s="138">
        <v>3.8150000000000003E-2</v>
      </c>
      <c r="O493" s="138">
        <v>3.8150000000000003E-2</v>
      </c>
      <c r="P493" s="138">
        <v>3.8150000000000003E-2</v>
      </c>
      <c r="Q493" s="138">
        <v>3.8150000000000003E-2</v>
      </c>
      <c r="R493" s="138">
        <v>3.5090000000000003E-2</v>
      </c>
      <c r="S493" s="138">
        <v>3.5090000000000003E-2</v>
      </c>
      <c r="T493" s="138">
        <v>3.5090000000000003E-2</v>
      </c>
      <c r="U493" s="138">
        <v>3.5090000000000003E-2</v>
      </c>
      <c r="V493" s="138">
        <v>3.5090000000000003E-2</v>
      </c>
      <c r="W493" s="138">
        <v>3.5090000000000003E-2</v>
      </c>
      <c r="X493" s="138">
        <v>3.5090000000000003E-2</v>
      </c>
      <c r="Y493" s="138">
        <f t="shared" si="348"/>
        <v>3.5090000000000003E-2</v>
      </c>
      <c r="Z493" s="138">
        <f t="shared" si="349"/>
        <v>3.5090000000000003E-2</v>
      </c>
      <c r="AA493" s="138">
        <f t="shared" si="350"/>
        <v>3.5090000000000003E-2</v>
      </c>
      <c r="AB493" s="138">
        <f t="shared" si="351"/>
        <v>3.5090000000000003E-2</v>
      </c>
      <c r="AC493" s="138">
        <f t="shared" si="352"/>
        <v>3.5090000000000003E-2</v>
      </c>
      <c r="AD493" s="138">
        <f t="shared" si="353"/>
        <v>3.5090000000000003E-2</v>
      </c>
      <c r="AE493" s="138">
        <f t="shared" si="354"/>
        <v>3.5090000000000003E-2</v>
      </c>
      <c r="AF493" s="138">
        <f t="shared" si="355"/>
        <v>3.5090000000000003E-2</v>
      </c>
      <c r="AG493" s="138">
        <f t="shared" si="356"/>
        <v>3.5090000000000003E-2</v>
      </c>
      <c r="AH493" s="138">
        <f t="shared" si="357"/>
        <v>3.5090000000000003E-2</v>
      </c>
      <c r="AI493" s="138">
        <f t="shared" si="358"/>
        <v>3.5090000000000003E-2</v>
      </c>
      <c r="AJ493" s="138">
        <f t="shared" si="359"/>
        <v>3.5090000000000003E-2</v>
      </c>
      <c r="AK493" s="138">
        <f t="shared" si="360"/>
        <v>3.5090000000000003E-2</v>
      </c>
      <c r="AL493" s="138">
        <f t="shared" si="361"/>
        <v>3.5090000000000003E-2</v>
      </c>
      <c r="AM493" s="138">
        <f t="shared" si="362"/>
        <v>3.5599999999999986E-2</v>
      </c>
      <c r="AO493" s="77" t="str">
        <f t="shared" si="319"/>
        <v>DS-2 (Small General Service)</v>
      </c>
      <c r="AP493" s="78" t="s">
        <v>664</v>
      </c>
      <c r="AQ493" s="77" t="str">
        <f t="shared" si="320"/>
        <v>Rider QF Summer Off-Peak High voltage</v>
      </c>
      <c r="AR493" s="78" t="str">
        <f t="shared" si="321"/>
        <v>Prorated</v>
      </c>
      <c r="AS493" s="79">
        <f t="shared" si="322"/>
        <v>6</v>
      </c>
      <c r="AT493" s="78">
        <f t="shared" si="323"/>
        <v>0</v>
      </c>
      <c r="AU493" s="78">
        <f t="shared" si="324"/>
        <v>3.8150000000000003E-2</v>
      </c>
      <c r="AV493" s="78">
        <f t="shared" si="325"/>
        <v>3.8150000000000003E-2</v>
      </c>
      <c r="AW493" s="78">
        <f t="shared" si="326"/>
        <v>3.8150000000000003E-2</v>
      </c>
      <c r="AX493" s="78">
        <f t="shared" si="327"/>
        <v>3.8150000000000003E-2</v>
      </c>
      <c r="AY493" s="78">
        <f t="shared" si="328"/>
        <v>3.8150000000000003E-2</v>
      </c>
      <c r="AZ493" s="78">
        <f t="shared" si="329"/>
        <v>3.5090000000000003E-2</v>
      </c>
      <c r="BA493" s="78">
        <f t="shared" si="330"/>
        <v>3.5090000000000003E-2</v>
      </c>
      <c r="BB493" s="78">
        <f t="shared" si="331"/>
        <v>3.5090000000000003E-2</v>
      </c>
      <c r="BC493" s="78">
        <f t="shared" si="332"/>
        <v>3.5090000000000003E-2</v>
      </c>
      <c r="BD493" s="78">
        <f t="shared" si="333"/>
        <v>3.5090000000000003E-2</v>
      </c>
      <c r="BE493" s="78">
        <f t="shared" si="334"/>
        <v>3.5090000000000003E-2</v>
      </c>
      <c r="BF493" s="78">
        <f t="shared" si="335"/>
        <v>3.5090000000000003E-2</v>
      </c>
      <c r="BG493" s="78">
        <f t="shared" si="336"/>
        <v>3.5090000000000003E-2</v>
      </c>
      <c r="BH493" s="78">
        <f t="shared" si="337"/>
        <v>3.5090000000000003E-2</v>
      </c>
      <c r="BI493" s="78">
        <f t="shared" si="338"/>
        <v>3.5090000000000003E-2</v>
      </c>
      <c r="BJ493" s="78">
        <f t="shared" si="339"/>
        <v>3.5090000000000003E-2</v>
      </c>
      <c r="BK493" s="78">
        <f t="shared" si="340"/>
        <v>3.5090000000000003E-2</v>
      </c>
      <c r="BL493" s="78">
        <f t="shared" si="341"/>
        <v>3.5090000000000003E-2</v>
      </c>
      <c r="BM493" s="78">
        <f t="shared" si="342"/>
        <v>3.5090000000000003E-2</v>
      </c>
      <c r="BN493" s="78">
        <f t="shared" si="343"/>
        <v>3.5090000000000003E-2</v>
      </c>
      <c r="BO493" s="78">
        <f t="shared" si="344"/>
        <v>3.5090000000000003E-2</v>
      </c>
      <c r="BP493" s="78">
        <f t="shared" si="345"/>
        <v>3.5090000000000003E-2</v>
      </c>
      <c r="BQ493" s="78">
        <f t="shared" si="346"/>
        <v>3.5090000000000003E-2</v>
      </c>
      <c r="BR493" s="78">
        <f t="shared" si="347"/>
        <v>3.5090000000000003E-2</v>
      </c>
      <c r="BS493" s="77"/>
      <c r="BT493" s="77"/>
    </row>
    <row r="494" spans="1:72" ht="14.1" customHeight="1" x14ac:dyDescent="0.2">
      <c r="A494" s="55" t="str">
        <f t="shared" si="318"/>
        <v>DS-1 (Residential)_Rider QF Summer Off-Peak Primary</v>
      </c>
      <c r="B494" s="80" t="s">
        <v>90</v>
      </c>
      <c r="C494" s="71" t="s">
        <v>881</v>
      </c>
      <c r="D494" s="150" t="s">
        <v>870</v>
      </c>
      <c r="E494" s="81"/>
      <c r="F494" s="73" t="s">
        <v>640</v>
      </c>
      <c r="G494" s="73">
        <v>0</v>
      </c>
      <c r="H494" s="73">
        <v>6</v>
      </c>
      <c r="I494" s="74" t="s">
        <v>641</v>
      </c>
      <c r="J494" s="75" t="s">
        <v>634</v>
      </c>
      <c r="K494" s="74"/>
      <c r="L494" s="82">
        <v>3.875E-2</v>
      </c>
      <c r="M494" s="138">
        <v>3.875E-2</v>
      </c>
      <c r="N494" s="138">
        <v>3.875E-2</v>
      </c>
      <c r="O494" s="138">
        <v>3.875E-2</v>
      </c>
      <c r="P494" s="138">
        <v>3.875E-2</v>
      </c>
      <c r="Q494" s="138">
        <v>3.875E-2</v>
      </c>
      <c r="R494" s="138">
        <v>3.5589999999999997E-2</v>
      </c>
      <c r="S494" s="138">
        <v>3.5589999999999997E-2</v>
      </c>
      <c r="T494" s="138">
        <v>3.5589999999999997E-2</v>
      </c>
      <c r="U494" s="138">
        <v>3.5589999999999997E-2</v>
      </c>
      <c r="V494" s="138">
        <v>3.5589999999999997E-2</v>
      </c>
      <c r="W494" s="138">
        <v>3.5589999999999997E-2</v>
      </c>
      <c r="X494" s="138">
        <v>3.5589999999999997E-2</v>
      </c>
      <c r="Y494" s="138">
        <f t="shared" si="348"/>
        <v>3.5589999999999997E-2</v>
      </c>
      <c r="Z494" s="138">
        <f t="shared" si="349"/>
        <v>3.5589999999999997E-2</v>
      </c>
      <c r="AA494" s="138">
        <f t="shared" si="350"/>
        <v>3.5589999999999997E-2</v>
      </c>
      <c r="AB494" s="138">
        <f t="shared" si="351"/>
        <v>3.5589999999999997E-2</v>
      </c>
      <c r="AC494" s="138">
        <f t="shared" si="352"/>
        <v>3.5589999999999997E-2</v>
      </c>
      <c r="AD494" s="138">
        <f t="shared" si="353"/>
        <v>3.5589999999999997E-2</v>
      </c>
      <c r="AE494" s="138">
        <f t="shared" si="354"/>
        <v>3.5589999999999997E-2</v>
      </c>
      <c r="AF494" s="138">
        <f t="shared" si="355"/>
        <v>3.5589999999999997E-2</v>
      </c>
      <c r="AG494" s="138">
        <f t="shared" si="356"/>
        <v>3.5589999999999997E-2</v>
      </c>
      <c r="AH494" s="138">
        <f t="shared" si="357"/>
        <v>3.5589999999999997E-2</v>
      </c>
      <c r="AI494" s="138">
        <f t="shared" si="358"/>
        <v>3.5589999999999997E-2</v>
      </c>
      <c r="AJ494" s="138">
        <f t="shared" si="359"/>
        <v>3.5589999999999997E-2</v>
      </c>
      <c r="AK494" s="138">
        <f t="shared" si="360"/>
        <v>3.5589999999999997E-2</v>
      </c>
      <c r="AL494" s="138">
        <f t="shared" si="361"/>
        <v>3.5590000000000004E-2</v>
      </c>
      <c r="AM494" s="138">
        <f t="shared" si="362"/>
        <v>3.6116666666666672E-2</v>
      </c>
      <c r="AO494" s="77" t="str">
        <f t="shared" si="319"/>
        <v>DS-1 (Residential)</v>
      </c>
      <c r="AP494" s="78" t="s">
        <v>662</v>
      </c>
      <c r="AQ494" s="77" t="str">
        <f t="shared" si="320"/>
        <v>Rider QF Summer Off-Peak Primary</v>
      </c>
      <c r="AR494" s="78" t="str">
        <f t="shared" si="321"/>
        <v>Prorated</v>
      </c>
      <c r="AS494" s="79">
        <f t="shared" si="322"/>
        <v>6</v>
      </c>
      <c r="AT494" s="78">
        <f t="shared" si="323"/>
        <v>0</v>
      </c>
      <c r="AU494" s="78">
        <f t="shared" si="324"/>
        <v>3.875E-2</v>
      </c>
      <c r="AV494" s="78">
        <f t="shared" si="325"/>
        <v>3.875E-2</v>
      </c>
      <c r="AW494" s="78">
        <f t="shared" si="326"/>
        <v>3.875E-2</v>
      </c>
      <c r="AX494" s="78">
        <f t="shared" si="327"/>
        <v>3.875E-2</v>
      </c>
      <c r="AY494" s="78">
        <f t="shared" si="328"/>
        <v>3.875E-2</v>
      </c>
      <c r="AZ494" s="78">
        <f t="shared" si="329"/>
        <v>3.5589999999999997E-2</v>
      </c>
      <c r="BA494" s="78">
        <f t="shared" si="330"/>
        <v>3.5589999999999997E-2</v>
      </c>
      <c r="BB494" s="78">
        <f t="shared" si="331"/>
        <v>3.5589999999999997E-2</v>
      </c>
      <c r="BC494" s="78">
        <f t="shared" si="332"/>
        <v>3.5589999999999997E-2</v>
      </c>
      <c r="BD494" s="78">
        <f t="shared" si="333"/>
        <v>3.5589999999999997E-2</v>
      </c>
      <c r="BE494" s="78">
        <f t="shared" si="334"/>
        <v>3.5589999999999997E-2</v>
      </c>
      <c r="BF494" s="78">
        <f t="shared" si="335"/>
        <v>3.5589999999999997E-2</v>
      </c>
      <c r="BG494" s="78">
        <f t="shared" si="336"/>
        <v>3.5589999999999997E-2</v>
      </c>
      <c r="BH494" s="78">
        <f t="shared" si="337"/>
        <v>3.5589999999999997E-2</v>
      </c>
      <c r="BI494" s="78">
        <f t="shared" si="338"/>
        <v>3.5589999999999997E-2</v>
      </c>
      <c r="BJ494" s="78">
        <f t="shared" si="339"/>
        <v>3.5589999999999997E-2</v>
      </c>
      <c r="BK494" s="78">
        <f t="shared" si="340"/>
        <v>3.5589999999999997E-2</v>
      </c>
      <c r="BL494" s="78">
        <f t="shared" si="341"/>
        <v>3.5589999999999997E-2</v>
      </c>
      <c r="BM494" s="78">
        <f t="shared" si="342"/>
        <v>3.5589999999999997E-2</v>
      </c>
      <c r="BN494" s="78">
        <f t="shared" si="343"/>
        <v>3.5589999999999997E-2</v>
      </c>
      <c r="BO494" s="78">
        <f t="shared" si="344"/>
        <v>3.5589999999999997E-2</v>
      </c>
      <c r="BP494" s="78">
        <f t="shared" si="345"/>
        <v>3.5589999999999997E-2</v>
      </c>
      <c r="BQ494" s="78">
        <f t="shared" si="346"/>
        <v>3.5589999999999997E-2</v>
      </c>
      <c r="BR494" s="78">
        <f t="shared" si="347"/>
        <v>3.5589999999999997E-2</v>
      </c>
      <c r="BS494" s="77"/>
      <c r="BT494" s="77"/>
    </row>
    <row r="495" spans="1:72" ht="14.1" customHeight="1" x14ac:dyDescent="0.2">
      <c r="A495" s="55" t="str">
        <f t="shared" si="318"/>
        <v>DS-2 (Small General Service)_Rider QF Summer Off-Peak Primary</v>
      </c>
      <c r="B495" s="80" t="s">
        <v>665</v>
      </c>
      <c r="C495" s="71" t="s">
        <v>881</v>
      </c>
      <c r="D495" s="150"/>
      <c r="E495" s="81"/>
      <c r="F495" s="73" t="s">
        <v>640</v>
      </c>
      <c r="G495" s="73">
        <v>0</v>
      </c>
      <c r="H495" s="73">
        <v>6</v>
      </c>
      <c r="I495" s="74" t="s">
        <v>641</v>
      </c>
      <c r="J495" s="75" t="s">
        <v>634</v>
      </c>
      <c r="K495" s="74"/>
      <c r="L495" s="82">
        <v>3.875E-2</v>
      </c>
      <c r="M495" s="138">
        <v>3.875E-2</v>
      </c>
      <c r="N495" s="138">
        <v>3.875E-2</v>
      </c>
      <c r="O495" s="138">
        <v>3.875E-2</v>
      </c>
      <c r="P495" s="138">
        <v>3.875E-2</v>
      </c>
      <c r="Q495" s="138">
        <v>3.875E-2</v>
      </c>
      <c r="R495" s="138">
        <v>3.5589999999999997E-2</v>
      </c>
      <c r="S495" s="138">
        <v>3.5589999999999997E-2</v>
      </c>
      <c r="T495" s="138">
        <v>3.5589999999999997E-2</v>
      </c>
      <c r="U495" s="138">
        <v>3.5589999999999997E-2</v>
      </c>
      <c r="V495" s="138">
        <v>3.5589999999999997E-2</v>
      </c>
      <c r="W495" s="138">
        <v>3.5589999999999997E-2</v>
      </c>
      <c r="X495" s="138">
        <v>3.5589999999999997E-2</v>
      </c>
      <c r="Y495" s="138">
        <f t="shared" si="348"/>
        <v>3.5589999999999997E-2</v>
      </c>
      <c r="Z495" s="138">
        <f t="shared" si="349"/>
        <v>3.5589999999999997E-2</v>
      </c>
      <c r="AA495" s="138">
        <f t="shared" si="350"/>
        <v>3.5589999999999997E-2</v>
      </c>
      <c r="AB495" s="138">
        <f t="shared" si="351"/>
        <v>3.5589999999999997E-2</v>
      </c>
      <c r="AC495" s="138">
        <f t="shared" si="352"/>
        <v>3.5589999999999997E-2</v>
      </c>
      <c r="AD495" s="138">
        <f t="shared" si="353"/>
        <v>3.5589999999999997E-2</v>
      </c>
      <c r="AE495" s="138">
        <f t="shared" si="354"/>
        <v>3.5589999999999997E-2</v>
      </c>
      <c r="AF495" s="138">
        <f t="shared" si="355"/>
        <v>3.5589999999999997E-2</v>
      </c>
      <c r="AG495" s="138">
        <f t="shared" si="356"/>
        <v>3.5589999999999997E-2</v>
      </c>
      <c r="AH495" s="138">
        <f t="shared" si="357"/>
        <v>3.5589999999999997E-2</v>
      </c>
      <c r="AI495" s="138">
        <f t="shared" si="358"/>
        <v>3.5589999999999997E-2</v>
      </c>
      <c r="AJ495" s="138">
        <f t="shared" si="359"/>
        <v>3.5589999999999997E-2</v>
      </c>
      <c r="AK495" s="138">
        <f t="shared" si="360"/>
        <v>3.5589999999999997E-2</v>
      </c>
      <c r="AL495" s="138">
        <f t="shared" si="361"/>
        <v>3.5590000000000004E-2</v>
      </c>
      <c r="AM495" s="138">
        <f t="shared" si="362"/>
        <v>3.6116666666666672E-2</v>
      </c>
      <c r="AO495" s="77" t="str">
        <f t="shared" si="319"/>
        <v>DS-2 (Small General Service)</v>
      </c>
      <c r="AP495" s="78" t="s">
        <v>664</v>
      </c>
      <c r="AQ495" s="77" t="str">
        <f t="shared" si="320"/>
        <v>Rider QF Summer Off-Peak Primary</v>
      </c>
      <c r="AR495" s="78" t="str">
        <f t="shared" si="321"/>
        <v>Prorated</v>
      </c>
      <c r="AS495" s="79">
        <f t="shared" si="322"/>
        <v>6</v>
      </c>
      <c r="AT495" s="78">
        <f t="shared" si="323"/>
        <v>0</v>
      </c>
      <c r="AU495" s="78">
        <f t="shared" si="324"/>
        <v>3.875E-2</v>
      </c>
      <c r="AV495" s="78">
        <f t="shared" si="325"/>
        <v>3.875E-2</v>
      </c>
      <c r="AW495" s="78">
        <f t="shared" si="326"/>
        <v>3.875E-2</v>
      </c>
      <c r="AX495" s="78">
        <f t="shared" si="327"/>
        <v>3.875E-2</v>
      </c>
      <c r="AY495" s="78">
        <f t="shared" si="328"/>
        <v>3.875E-2</v>
      </c>
      <c r="AZ495" s="78">
        <f t="shared" si="329"/>
        <v>3.5589999999999997E-2</v>
      </c>
      <c r="BA495" s="78">
        <f t="shared" si="330"/>
        <v>3.5589999999999997E-2</v>
      </c>
      <c r="BB495" s="78">
        <f t="shared" si="331"/>
        <v>3.5589999999999997E-2</v>
      </c>
      <c r="BC495" s="78">
        <f t="shared" si="332"/>
        <v>3.5589999999999997E-2</v>
      </c>
      <c r="BD495" s="78">
        <f t="shared" si="333"/>
        <v>3.5589999999999997E-2</v>
      </c>
      <c r="BE495" s="78">
        <f t="shared" si="334"/>
        <v>3.5589999999999997E-2</v>
      </c>
      <c r="BF495" s="78">
        <f t="shared" si="335"/>
        <v>3.5589999999999997E-2</v>
      </c>
      <c r="BG495" s="78">
        <f t="shared" si="336"/>
        <v>3.5589999999999997E-2</v>
      </c>
      <c r="BH495" s="78">
        <f t="shared" si="337"/>
        <v>3.5589999999999997E-2</v>
      </c>
      <c r="BI495" s="78">
        <f t="shared" si="338"/>
        <v>3.5589999999999997E-2</v>
      </c>
      <c r="BJ495" s="78">
        <f t="shared" si="339"/>
        <v>3.5589999999999997E-2</v>
      </c>
      <c r="BK495" s="78">
        <f t="shared" si="340"/>
        <v>3.5589999999999997E-2</v>
      </c>
      <c r="BL495" s="78">
        <f t="shared" si="341"/>
        <v>3.5589999999999997E-2</v>
      </c>
      <c r="BM495" s="78">
        <f t="shared" si="342"/>
        <v>3.5589999999999997E-2</v>
      </c>
      <c r="BN495" s="78">
        <f t="shared" si="343"/>
        <v>3.5589999999999997E-2</v>
      </c>
      <c r="BO495" s="78">
        <f t="shared" si="344"/>
        <v>3.5589999999999997E-2</v>
      </c>
      <c r="BP495" s="78">
        <f t="shared" si="345"/>
        <v>3.5589999999999997E-2</v>
      </c>
      <c r="BQ495" s="78">
        <f t="shared" si="346"/>
        <v>3.5589999999999997E-2</v>
      </c>
      <c r="BR495" s="78">
        <f t="shared" si="347"/>
        <v>3.5589999999999997E-2</v>
      </c>
      <c r="BS495" s="77"/>
      <c r="BT495" s="77"/>
    </row>
    <row r="496" spans="1:72" ht="14.1" customHeight="1" x14ac:dyDescent="0.2">
      <c r="A496" s="55" t="str">
        <f t="shared" si="318"/>
        <v>DS-1 (Residential)_Rider QF Summer Off-Peak Secondary</v>
      </c>
      <c r="B496" s="80" t="s">
        <v>90</v>
      </c>
      <c r="C496" s="71" t="s">
        <v>882</v>
      </c>
      <c r="D496" s="150" t="s">
        <v>870</v>
      </c>
      <c r="E496" s="81"/>
      <c r="F496" s="73" t="s">
        <v>640</v>
      </c>
      <c r="G496" s="73">
        <v>0</v>
      </c>
      <c r="H496" s="73">
        <v>6</v>
      </c>
      <c r="I496" s="74" t="s">
        <v>641</v>
      </c>
      <c r="J496" s="75" t="s">
        <v>634</v>
      </c>
      <c r="K496" s="74"/>
      <c r="L496" s="82">
        <v>3.9550000000000002E-2</v>
      </c>
      <c r="M496" s="138">
        <v>3.9550000000000002E-2</v>
      </c>
      <c r="N496" s="138">
        <v>3.9550000000000002E-2</v>
      </c>
      <c r="O496" s="138">
        <v>3.9550000000000002E-2</v>
      </c>
      <c r="P496" s="138">
        <v>3.9550000000000002E-2</v>
      </c>
      <c r="Q496" s="138">
        <v>3.9550000000000002E-2</v>
      </c>
      <c r="R496" s="138">
        <v>3.6389999999999999E-2</v>
      </c>
      <c r="S496" s="138">
        <v>3.6389999999999999E-2</v>
      </c>
      <c r="T496" s="138">
        <v>3.6389999999999999E-2</v>
      </c>
      <c r="U496" s="138">
        <v>3.6389999999999999E-2</v>
      </c>
      <c r="V496" s="138">
        <v>3.6389999999999999E-2</v>
      </c>
      <c r="W496" s="138">
        <v>3.6389999999999999E-2</v>
      </c>
      <c r="X496" s="138">
        <v>3.6389999999999999E-2</v>
      </c>
      <c r="Y496" s="138">
        <f t="shared" si="348"/>
        <v>3.6389999999999999E-2</v>
      </c>
      <c r="Z496" s="138">
        <f t="shared" si="349"/>
        <v>3.6389999999999999E-2</v>
      </c>
      <c r="AA496" s="138">
        <f t="shared" si="350"/>
        <v>3.6389999999999999E-2</v>
      </c>
      <c r="AB496" s="138">
        <f t="shared" si="351"/>
        <v>3.6389999999999999E-2</v>
      </c>
      <c r="AC496" s="138">
        <f t="shared" si="352"/>
        <v>3.6389999999999999E-2</v>
      </c>
      <c r="AD496" s="138">
        <f t="shared" si="353"/>
        <v>3.6389999999999999E-2</v>
      </c>
      <c r="AE496" s="138">
        <f t="shared" si="354"/>
        <v>3.6389999999999999E-2</v>
      </c>
      <c r="AF496" s="138">
        <f t="shared" si="355"/>
        <v>3.6389999999999999E-2</v>
      </c>
      <c r="AG496" s="138">
        <f t="shared" si="356"/>
        <v>3.6389999999999999E-2</v>
      </c>
      <c r="AH496" s="138">
        <f t="shared" si="357"/>
        <v>3.6389999999999999E-2</v>
      </c>
      <c r="AI496" s="138">
        <f t="shared" si="358"/>
        <v>3.6389999999999999E-2</v>
      </c>
      <c r="AJ496" s="138">
        <f t="shared" si="359"/>
        <v>3.6389999999999999E-2</v>
      </c>
      <c r="AK496" s="138">
        <f t="shared" si="360"/>
        <v>3.6389999999999999E-2</v>
      </c>
      <c r="AL496" s="138">
        <f t="shared" si="361"/>
        <v>3.6389999999999992E-2</v>
      </c>
      <c r="AM496" s="138">
        <f t="shared" si="362"/>
        <v>3.6916666666666674E-2</v>
      </c>
      <c r="AO496" s="77" t="str">
        <f t="shared" si="319"/>
        <v>DS-1 (Residential)</v>
      </c>
      <c r="AP496" s="78" t="s">
        <v>662</v>
      </c>
      <c r="AQ496" s="77" t="str">
        <f t="shared" si="320"/>
        <v>Rider QF Summer Off-Peak Secondary</v>
      </c>
      <c r="AR496" s="78" t="str">
        <f t="shared" si="321"/>
        <v>Prorated</v>
      </c>
      <c r="AS496" s="79">
        <f t="shared" si="322"/>
        <v>6</v>
      </c>
      <c r="AT496" s="78">
        <f t="shared" si="323"/>
        <v>0</v>
      </c>
      <c r="AU496" s="78">
        <f t="shared" si="324"/>
        <v>3.9550000000000002E-2</v>
      </c>
      <c r="AV496" s="78">
        <f t="shared" si="325"/>
        <v>3.9550000000000002E-2</v>
      </c>
      <c r="AW496" s="78">
        <f t="shared" si="326"/>
        <v>3.9550000000000002E-2</v>
      </c>
      <c r="AX496" s="78">
        <f t="shared" si="327"/>
        <v>3.9550000000000002E-2</v>
      </c>
      <c r="AY496" s="78">
        <f t="shared" si="328"/>
        <v>3.9550000000000002E-2</v>
      </c>
      <c r="AZ496" s="78">
        <f t="shared" si="329"/>
        <v>3.6389999999999999E-2</v>
      </c>
      <c r="BA496" s="78">
        <f t="shared" si="330"/>
        <v>3.6389999999999999E-2</v>
      </c>
      <c r="BB496" s="78">
        <f t="shared" si="331"/>
        <v>3.6389999999999999E-2</v>
      </c>
      <c r="BC496" s="78">
        <f t="shared" si="332"/>
        <v>3.6389999999999999E-2</v>
      </c>
      <c r="BD496" s="78">
        <f t="shared" si="333"/>
        <v>3.6389999999999999E-2</v>
      </c>
      <c r="BE496" s="78">
        <f t="shared" si="334"/>
        <v>3.6389999999999999E-2</v>
      </c>
      <c r="BF496" s="78">
        <f t="shared" si="335"/>
        <v>3.6389999999999999E-2</v>
      </c>
      <c r="BG496" s="78">
        <f t="shared" si="336"/>
        <v>3.6389999999999999E-2</v>
      </c>
      <c r="BH496" s="78">
        <f t="shared" si="337"/>
        <v>3.6389999999999999E-2</v>
      </c>
      <c r="BI496" s="78">
        <f t="shared" si="338"/>
        <v>3.6389999999999999E-2</v>
      </c>
      <c r="BJ496" s="78">
        <f t="shared" si="339"/>
        <v>3.6389999999999999E-2</v>
      </c>
      <c r="BK496" s="78">
        <f t="shared" si="340"/>
        <v>3.6389999999999999E-2</v>
      </c>
      <c r="BL496" s="78">
        <f t="shared" si="341"/>
        <v>3.6389999999999999E-2</v>
      </c>
      <c r="BM496" s="78">
        <f t="shared" si="342"/>
        <v>3.6389999999999999E-2</v>
      </c>
      <c r="BN496" s="78">
        <f t="shared" si="343"/>
        <v>3.6389999999999999E-2</v>
      </c>
      <c r="BO496" s="78">
        <f t="shared" si="344"/>
        <v>3.6389999999999999E-2</v>
      </c>
      <c r="BP496" s="78">
        <f t="shared" si="345"/>
        <v>3.6389999999999999E-2</v>
      </c>
      <c r="BQ496" s="78">
        <f t="shared" si="346"/>
        <v>3.6389999999999999E-2</v>
      </c>
      <c r="BR496" s="78">
        <f t="shared" si="347"/>
        <v>3.6389999999999999E-2</v>
      </c>
      <c r="BS496" s="77"/>
      <c r="BT496" s="77"/>
    </row>
    <row r="497" spans="1:72" ht="14.1" customHeight="1" x14ac:dyDescent="0.2">
      <c r="A497" s="55" t="str">
        <f t="shared" si="318"/>
        <v>DS-2 (Small General Service)_Rider QF Summer Off-Peak Secondary</v>
      </c>
      <c r="B497" s="80" t="s">
        <v>665</v>
      </c>
      <c r="C497" s="71" t="s">
        <v>882</v>
      </c>
      <c r="D497" s="150"/>
      <c r="E497" s="81"/>
      <c r="F497" s="73" t="s">
        <v>640</v>
      </c>
      <c r="G497" s="73">
        <v>0</v>
      </c>
      <c r="H497" s="73">
        <v>6</v>
      </c>
      <c r="I497" s="74" t="s">
        <v>641</v>
      </c>
      <c r="J497" s="75" t="s">
        <v>634</v>
      </c>
      <c r="K497" s="74"/>
      <c r="L497" s="82">
        <v>3.9550000000000002E-2</v>
      </c>
      <c r="M497" s="138">
        <v>3.9550000000000002E-2</v>
      </c>
      <c r="N497" s="138">
        <v>3.9550000000000002E-2</v>
      </c>
      <c r="O497" s="138">
        <v>3.9550000000000002E-2</v>
      </c>
      <c r="P497" s="138">
        <v>3.9550000000000002E-2</v>
      </c>
      <c r="Q497" s="138">
        <v>3.9550000000000002E-2</v>
      </c>
      <c r="R497" s="138">
        <v>3.6389999999999999E-2</v>
      </c>
      <c r="S497" s="138">
        <v>3.6389999999999999E-2</v>
      </c>
      <c r="T497" s="138">
        <v>3.6389999999999999E-2</v>
      </c>
      <c r="U497" s="138">
        <v>3.6389999999999999E-2</v>
      </c>
      <c r="V497" s="138">
        <v>3.6389999999999999E-2</v>
      </c>
      <c r="W497" s="138">
        <v>3.6389999999999999E-2</v>
      </c>
      <c r="X497" s="138">
        <v>3.6389999999999999E-2</v>
      </c>
      <c r="Y497" s="138">
        <f t="shared" si="348"/>
        <v>3.6389999999999999E-2</v>
      </c>
      <c r="Z497" s="138">
        <f t="shared" si="349"/>
        <v>3.6389999999999999E-2</v>
      </c>
      <c r="AA497" s="138">
        <f t="shared" si="350"/>
        <v>3.6389999999999999E-2</v>
      </c>
      <c r="AB497" s="138">
        <f t="shared" si="351"/>
        <v>3.6389999999999999E-2</v>
      </c>
      <c r="AC497" s="138">
        <f t="shared" si="352"/>
        <v>3.6389999999999999E-2</v>
      </c>
      <c r="AD497" s="138">
        <f t="shared" si="353"/>
        <v>3.6389999999999999E-2</v>
      </c>
      <c r="AE497" s="138">
        <f t="shared" si="354"/>
        <v>3.6389999999999999E-2</v>
      </c>
      <c r="AF497" s="138">
        <f t="shared" si="355"/>
        <v>3.6389999999999999E-2</v>
      </c>
      <c r="AG497" s="138">
        <f t="shared" si="356"/>
        <v>3.6389999999999999E-2</v>
      </c>
      <c r="AH497" s="138">
        <f t="shared" si="357"/>
        <v>3.6389999999999999E-2</v>
      </c>
      <c r="AI497" s="138">
        <f t="shared" si="358"/>
        <v>3.6389999999999999E-2</v>
      </c>
      <c r="AJ497" s="138">
        <f t="shared" si="359"/>
        <v>3.6389999999999999E-2</v>
      </c>
      <c r="AK497" s="138">
        <f t="shared" si="360"/>
        <v>3.6389999999999999E-2</v>
      </c>
      <c r="AL497" s="138">
        <f t="shared" si="361"/>
        <v>3.6389999999999992E-2</v>
      </c>
      <c r="AM497" s="138">
        <f t="shared" si="362"/>
        <v>3.6916666666666674E-2</v>
      </c>
      <c r="AO497" s="77" t="str">
        <f t="shared" si="319"/>
        <v>DS-2 (Small General Service)</v>
      </c>
      <c r="AP497" s="78" t="s">
        <v>664</v>
      </c>
      <c r="AQ497" s="77" t="str">
        <f t="shared" si="320"/>
        <v>Rider QF Summer Off-Peak Secondary</v>
      </c>
      <c r="AR497" s="78" t="str">
        <f t="shared" si="321"/>
        <v>Prorated</v>
      </c>
      <c r="AS497" s="79">
        <f t="shared" si="322"/>
        <v>6</v>
      </c>
      <c r="AT497" s="78">
        <f t="shared" si="323"/>
        <v>0</v>
      </c>
      <c r="AU497" s="78">
        <f t="shared" si="324"/>
        <v>3.9550000000000002E-2</v>
      </c>
      <c r="AV497" s="78">
        <f t="shared" si="325"/>
        <v>3.9550000000000002E-2</v>
      </c>
      <c r="AW497" s="78">
        <f t="shared" si="326"/>
        <v>3.9550000000000002E-2</v>
      </c>
      <c r="AX497" s="78">
        <f t="shared" si="327"/>
        <v>3.9550000000000002E-2</v>
      </c>
      <c r="AY497" s="78">
        <f t="shared" si="328"/>
        <v>3.9550000000000002E-2</v>
      </c>
      <c r="AZ497" s="78">
        <f t="shared" si="329"/>
        <v>3.6389999999999999E-2</v>
      </c>
      <c r="BA497" s="78">
        <f t="shared" si="330"/>
        <v>3.6389999999999999E-2</v>
      </c>
      <c r="BB497" s="78">
        <f t="shared" si="331"/>
        <v>3.6389999999999999E-2</v>
      </c>
      <c r="BC497" s="78">
        <f t="shared" si="332"/>
        <v>3.6389999999999999E-2</v>
      </c>
      <c r="BD497" s="78">
        <f t="shared" si="333"/>
        <v>3.6389999999999999E-2</v>
      </c>
      <c r="BE497" s="78">
        <f t="shared" si="334"/>
        <v>3.6389999999999999E-2</v>
      </c>
      <c r="BF497" s="78">
        <f t="shared" si="335"/>
        <v>3.6389999999999999E-2</v>
      </c>
      <c r="BG497" s="78">
        <f t="shared" si="336"/>
        <v>3.6389999999999999E-2</v>
      </c>
      <c r="BH497" s="78">
        <f t="shared" si="337"/>
        <v>3.6389999999999999E-2</v>
      </c>
      <c r="BI497" s="78">
        <f t="shared" si="338"/>
        <v>3.6389999999999999E-2</v>
      </c>
      <c r="BJ497" s="78">
        <f t="shared" si="339"/>
        <v>3.6389999999999999E-2</v>
      </c>
      <c r="BK497" s="78">
        <f t="shared" si="340"/>
        <v>3.6389999999999999E-2</v>
      </c>
      <c r="BL497" s="78">
        <f t="shared" si="341"/>
        <v>3.6389999999999999E-2</v>
      </c>
      <c r="BM497" s="78">
        <f t="shared" si="342"/>
        <v>3.6389999999999999E-2</v>
      </c>
      <c r="BN497" s="78">
        <f t="shared" si="343"/>
        <v>3.6389999999999999E-2</v>
      </c>
      <c r="BO497" s="78">
        <f t="shared" si="344"/>
        <v>3.6389999999999999E-2</v>
      </c>
      <c r="BP497" s="78">
        <f t="shared" si="345"/>
        <v>3.6389999999999999E-2</v>
      </c>
      <c r="BQ497" s="78">
        <f t="shared" si="346"/>
        <v>3.6389999999999999E-2</v>
      </c>
      <c r="BR497" s="78">
        <f t="shared" si="347"/>
        <v>3.6389999999999999E-2</v>
      </c>
      <c r="BS497" s="77"/>
      <c r="BT497" s="77"/>
    </row>
    <row r="498" spans="1:72" ht="14.1" customHeight="1" x14ac:dyDescent="0.2">
      <c r="A498" s="55" t="str">
        <f t="shared" si="318"/>
        <v>DS-1 (Residential)_Rider QF Summer On-Peak 100 kv</v>
      </c>
      <c r="B498" s="80" t="s">
        <v>90</v>
      </c>
      <c r="C498" s="71" t="s">
        <v>883</v>
      </c>
      <c r="D498" s="150" t="s">
        <v>870</v>
      </c>
      <c r="E498" s="81"/>
      <c r="F498" s="73" t="s">
        <v>640</v>
      </c>
      <c r="G498" s="73">
        <v>0</v>
      </c>
      <c r="H498" s="73">
        <v>6</v>
      </c>
      <c r="I498" s="74" t="s">
        <v>641</v>
      </c>
      <c r="J498" s="75" t="s">
        <v>634</v>
      </c>
      <c r="K498" s="74"/>
      <c r="L498" s="82">
        <v>6.216E-2</v>
      </c>
      <c r="M498" s="138">
        <v>6.216E-2</v>
      </c>
      <c r="N498" s="138">
        <v>6.216E-2</v>
      </c>
      <c r="O498" s="138">
        <v>6.216E-2</v>
      </c>
      <c r="P498" s="138">
        <v>6.216E-2</v>
      </c>
      <c r="Q498" s="138">
        <v>6.216E-2</v>
      </c>
      <c r="R498" s="138">
        <v>5.5050000000000002E-2</v>
      </c>
      <c r="S498" s="138">
        <v>5.5050000000000002E-2</v>
      </c>
      <c r="T498" s="138">
        <v>5.5050000000000002E-2</v>
      </c>
      <c r="U498" s="138">
        <v>5.5050000000000002E-2</v>
      </c>
      <c r="V498" s="138">
        <v>5.5050000000000002E-2</v>
      </c>
      <c r="W498" s="138">
        <v>5.5050000000000002E-2</v>
      </c>
      <c r="X498" s="138">
        <v>5.5050000000000002E-2</v>
      </c>
      <c r="Y498" s="138">
        <f t="shared" si="348"/>
        <v>5.5050000000000002E-2</v>
      </c>
      <c r="Z498" s="138">
        <f t="shared" si="349"/>
        <v>5.5050000000000002E-2</v>
      </c>
      <c r="AA498" s="138">
        <f t="shared" si="350"/>
        <v>5.5050000000000002E-2</v>
      </c>
      <c r="AB498" s="138">
        <f t="shared" si="351"/>
        <v>5.5050000000000002E-2</v>
      </c>
      <c r="AC498" s="138">
        <f t="shared" si="352"/>
        <v>5.5050000000000002E-2</v>
      </c>
      <c r="AD498" s="138">
        <f t="shared" si="353"/>
        <v>5.5050000000000002E-2</v>
      </c>
      <c r="AE498" s="138">
        <f t="shared" si="354"/>
        <v>5.5050000000000002E-2</v>
      </c>
      <c r="AF498" s="138">
        <f t="shared" si="355"/>
        <v>5.5050000000000002E-2</v>
      </c>
      <c r="AG498" s="138">
        <f t="shared" si="356"/>
        <v>5.5050000000000002E-2</v>
      </c>
      <c r="AH498" s="138">
        <f t="shared" si="357"/>
        <v>5.5050000000000002E-2</v>
      </c>
      <c r="AI498" s="138">
        <f t="shared" si="358"/>
        <v>5.5050000000000002E-2</v>
      </c>
      <c r="AJ498" s="138">
        <f t="shared" si="359"/>
        <v>5.5050000000000002E-2</v>
      </c>
      <c r="AK498" s="138">
        <f t="shared" si="360"/>
        <v>5.5050000000000002E-2</v>
      </c>
      <c r="AL498" s="138">
        <f t="shared" si="361"/>
        <v>5.5050000000000009E-2</v>
      </c>
      <c r="AM498" s="138">
        <f t="shared" si="362"/>
        <v>5.6235000000000028E-2</v>
      </c>
      <c r="AO498" s="77" t="str">
        <f t="shared" si="319"/>
        <v>DS-1 (Residential)</v>
      </c>
      <c r="AP498" s="78" t="s">
        <v>662</v>
      </c>
      <c r="AQ498" s="77" t="str">
        <f t="shared" si="320"/>
        <v>Rider QF Summer On-Peak 100 kv</v>
      </c>
      <c r="AR498" s="78" t="str">
        <f t="shared" si="321"/>
        <v>Prorated</v>
      </c>
      <c r="AS498" s="79">
        <f t="shared" si="322"/>
        <v>6</v>
      </c>
      <c r="AT498" s="78">
        <f t="shared" si="323"/>
        <v>0</v>
      </c>
      <c r="AU498" s="78">
        <f t="shared" si="324"/>
        <v>6.216E-2</v>
      </c>
      <c r="AV498" s="78">
        <f t="shared" si="325"/>
        <v>6.216E-2</v>
      </c>
      <c r="AW498" s="78">
        <f t="shared" si="326"/>
        <v>6.216E-2</v>
      </c>
      <c r="AX498" s="78">
        <f t="shared" si="327"/>
        <v>6.216E-2</v>
      </c>
      <c r="AY498" s="78">
        <f t="shared" si="328"/>
        <v>6.216E-2</v>
      </c>
      <c r="AZ498" s="78">
        <f t="shared" si="329"/>
        <v>5.5050000000000002E-2</v>
      </c>
      <c r="BA498" s="78">
        <f t="shared" si="330"/>
        <v>5.5050000000000002E-2</v>
      </c>
      <c r="BB498" s="78">
        <f t="shared" si="331"/>
        <v>5.5050000000000002E-2</v>
      </c>
      <c r="BC498" s="78">
        <f t="shared" si="332"/>
        <v>5.5050000000000002E-2</v>
      </c>
      <c r="BD498" s="78">
        <f t="shared" si="333"/>
        <v>5.5050000000000002E-2</v>
      </c>
      <c r="BE498" s="78">
        <f t="shared" si="334"/>
        <v>5.5050000000000002E-2</v>
      </c>
      <c r="BF498" s="78">
        <f t="shared" si="335"/>
        <v>5.5050000000000002E-2</v>
      </c>
      <c r="BG498" s="78">
        <f t="shared" si="336"/>
        <v>5.5050000000000002E-2</v>
      </c>
      <c r="BH498" s="78">
        <f t="shared" si="337"/>
        <v>5.5050000000000002E-2</v>
      </c>
      <c r="BI498" s="78">
        <f t="shared" si="338"/>
        <v>5.5050000000000002E-2</v>
      </c>
      <c r="BJ498" s="78">
        <f t="shared" si="339"/>
        <v>5.5050000000000002E-2</v>
      </c>
      <c r="BK498" s="78">
        <f t="shared" si="340"/>
        <v>5.5050000000000002E-2</v>
      </c>
      <c r="BL498" s="78">
        <f t="shared" si="341"/>
        <v>5.5050000000000002E-2</v>
      </c>
      <c r="BM498" s="78">
        <f t="shared" si="342"/>
        <v>5.5050000000000002E-2</v>
      </c>
      <c r="BN498" s="78">
        <f t="shared" si="343"/>
        <v>5.5050000000000002E-2</v>
      </c>
      <c r="BO498" s="78">
        <f t="shared" si="344"/>
        <v>5.5050000000000002E-2</v>
      </c>
      <c r="BP498" s="78">
        <f t="shared" si="345"/>
        <v>5.5050000000000002E-2</v>
      </c>
      <c r="BQ498" s="78">
        <f t="shared" si="346"/>
        <v>5.5050000000000002E-2</v>
      </c>
      <c r="BR498" s="78">
        <f t="shared" si="347"/>
        <v>5.5050000000000002E-2</v>
      </c>
      <c r="BS498" s="77"/>
      <c r="BT498" s="77"/>
    </row>
    <row r="499" spans="1:72" ht="14.1" customHeight="1" x14ac:dyDescent="0.2">
      <c r="A499" s="55" t="str">
        <f t="shared" si="318"/>
        <v>DS-2 (Small General Service)_Rider QF Summer On-Peak 100 kv</v>
      </c>
      <c r="B499" s="80" t="s">
        <v>665</v>
      </c>
      <c r="C499" s="71" t="s">
        <v>883</v>
      </c>
      <c r="D499" s="150"/>
      <c r="E499" s="81"/>
      <c r="F499" s="73" t="s">
        <v>640</v>
      </c>
      <c r="G499" s="73">
        <v>0</v>
      </c>
      <c r="H499" s="73">
        <v>6</v>
      </c>
      <c r="I499" s="74" t="s">
        <v>641</v>
      </c>
      <c r="J499" s="75" t="s">
        <v>634</v>
      </c>
      <c r="K499" s="74"/>
      <c r="L499" s="82">
        <v>6.216E-2</v>
      </c>
      <c r="M499" s="138">
        <v>6.216E-2</v>
      </c>
      <c r="N499" s="138">
        <v>6.216E-2</v>
      </c>
      <c r="O499" s="138">
        <v>6.216E-2</v>
      </c>
      <c r="P499" s="138">
        <v>6.216E-2</v>
      </c>
      <c r="Q499" s="138">
        <v>6.216E-2</v>
      </c>
      <c r="R499" s="138">
        <v>5.5050000000000002E-2</v>
      </c>
      <c r="S499" s="138">
        <v>5.5050000000000002E-2</v>
      </c>
      <c r="T499" s="138">
        <v>5.5050000000000002E-2</v>
      </c>
      <c r="U499" s="138">
        <v>5.5050000000000002E-2</v>
      </c>
      <c r="V499" s="138">
        <v>5.5050000000000002E-2</v>
      </c>
      <c r="W499" s="138">
        <v>5.5050000000000002E-2</v>
      </c>
      <c r="X499" s="138">
        <v>5.5050000000000002E-2</v>
      </c>
      <c r="Y499" s="138">
        <f t="shared" si="348"/>
        <v>5.5050000000000002E-2</v>
      </c>
      <c r="Z499" s="138">
        <f t="shared" si="349"/>
        <v>5.5050000000000002E-2</v>
      </c>
      <c r="AA499" s="138">
        <f t="shared" si="350"/>
        <v>5.5050000000000002E-2</v>
      </c>
      <c r="AB499" s="138">
        <f t="shared" si="351"/>
        <v>5.5050000000000002E-2</v>
      </c>
      <c r="AC499" s="138">
        <f t="shared" si="352"/>
        <v>5.5050000000000002E-2</v>
      </c>
      <c r="AD499" s="138">
        <f t="shared" si="353"/>
        <v>5.5050000000000002E-2</v>
      </c>
      <c r="AE499" s="138">
        <f t="shared" si="354"/>
        <v>5.5050000000000002E-2</v>
      </c>
      <c r="AF499" s="138">
        <f t="shared" si="355"/>
        <v>5.5050000000000002E-2</v>
      </c>
      <c r="AG499" s="138">
        <f t="shared" si="356"/>
        <v>5.5050000000000002E-2</v>
      </c>
      <c r="AH499" s="138">
        <f t="shared" si="357"/>
        <v>5.5050000000000002E-2</v>
      </c>
      <c r="AI499" s="138">
        <f t="shared" si="358"/>
        <v>5.5050000000000002E-2</v>
      </c>
      <c r="AJ499" s="138">
        <f t="shared" si="359"/>
        <v>5.5050000000000002E-2</v>
      </c>
      <c r="AK499" s="138">
        <f t="shared" si="360"/>
        <v>5.5050000000000002E-2</v>
      </c>
      <c r="AL499" s="138">
        <f t="shared" si="361"/>
        <v>5.5050000000000009E-2</v>
      </c>
      <c r="AM499" s="138">
        <f t="shared" si="362"/>
        <v>5.6235000000000028E-2</v>
      </c>
      <c r="AO499" s="77" t="str">
        <f t="shared" si="319"/>
        <v>DS-2 (Small General Service)</v>
      </c>
      <c r="AP499" s="78" t="s">
        <v>664</v>
      </c>
      <c r="AQ499" s="77" t="str">
        <f t="shared" si="320"/>
        <v>Rider QF Summer On-Peak 100 kv</v>
      </c>
      <c r="AR499" s="78" t="str">
        <f t="shared" si="321"/>
        <v>Prorated</v>
      </c>
      <c r="AS499" s="79">
        <f t="shared" si="322"/>
        <v>6</v>
      </c>
      <c r="AT499" s="78">
        <f t="shared" si="323"/>
        <v>0</v>
      </c>
      <c r="AU499" s="78">
        <f t="shared" si="324"/>
        <v>6.216E-2</v>
      </c>
      <c r="AV499" s="78">
        <f t="shared" si="325"/>
        <v>6.216E-2</v>
      </c>
      <c r="AW499" s="78">
        <f t="shared" si="326"/>
        <v>6.216E-2</v>
      </c>
      <c r="AX499" s="78">
        <f t="shared" si="327"/>
        <v>6.216E-2</v>
      </c>
      <c r="AY499" s="78">
        <f t="shared" si="328"/>
        <v>6.216E-2</v>
      </c>
      <c r="AZ499" s="78">
        <f t="shared" si="329"/>
        <v>5.5050000000000002E-2</v>
      </c>
      <c r="BA499" s="78">
        <f t="shared" si="330"/>
        <v>5.5050000000000002E-2</v>
      </c>
      <c r="BB499" s="78">
        <f t="shared" si="331"/>
        <v>5.5050000000000002E-2</v>
      </c>
      <c r="BC499" s="78">
        <f t="shared" si="332"/>
        <v>5.5050000000000002E-2</v>
      </c>
      <c r="BD499" s="78">
        <f t="shared" si="333"/>
        <v>5.5050000000000002E-2</v>
      </c>
      <c r="BE499" s="78">
        <f t="shared" si="334"/>
        <v>5.5050000000000002E-2</v>
      </c>
      <c r="BF499" s="78">
        <f t="shared" si="335"/>
        <v>5.5050000000000002E-2</v>
      </c>
      <c r="BG499" s="78">
        <f t="shared" si="336"/>
        <v>5.5050000000000002E-2</v>
      </c>
      <c r="BH499" s="78">
        <f t="shared" si="337"/>
        <v>5.5050000000000002E-2</v>
      </c>
      <c r="BI499" s="78">
        <f t="shared" si="338"/>
        <v>5.5050000000000002E-2</v>
      </c>
      <c r="BJ499" s="78">
        <f t="shared" si="339"/>
        <v>5.5050000000000002E-2</v>
      </c>
      <c r="BK499" s="78">
        <f t="shared" si="340"/>
        <v>5.5050000000000002E-2</v>
      </c>
      <c r="BL499" s="78">
        <f t="shared" si="341"/>
        <v>5.5050000000000002E-2</v>
      </c>
      <c r="BM499" s="78">
        <f t="shared" si="342"/>
        <v>5.5050000000000002E-2</v>
      </c>
      <c r="BN499" s="78">
        <f t="shared" si="343"/>
        <v>5.5050000000000002E-2</v>
      </c>
      <c r="BO499" s="78">
        <f t="shared" si="344"/>
        <v>5.5050000000000002E-2</v>
      </c>
      <c r="BP499" s="78">
        <f t="shared" si="345"/>
        <v>5.5050000000000002E-2</v>
      </c>
      <c r="BQ499" s="78">
        <f t="shared" si="346"/>
        <v>5.5050000000000002E-2</v>
      </c>
      <c r="BR499" s="78">
        <f t="shared" si="347"/>
        <v>5.5050000000000002E-2</v>
      </c>
      <c r="BS499" s="77"/>
      <c r="BT499" s="77"/>
    </row>
    <row r="500" spans="1:72" ht="14.1" customHeight="1" x14ac:dyDescent="0.2">
      <c r="A500" s="55" t="str">
        <f t="shared" si="318"/>
        <v>DS-1 (Residential)_Rider QF Summer On-Peak High voltage</v>
      </c>
      <c r="B500" s="80" t="s">
        <v>90</v>
      </c>
      <c r="C500" s="71" t="s">
        <v>884</v>
      </c>
      <c r="D500" s="150" t="s">
        <v>870</v>
      </c>
      <c r="E500" s="81"/>
      <c r="F500" s="73" t="s">
        <v>640</v>
      </c>
      <c r="G500" s="73">
        <v>0</v>
      </c>
      <c r="H500" s="73">
        <v>6</v>
      </c>
      <c r="I500" s="74" t="s">
        <v>641</v>
      </c>
      <c r="J500" s="75" t="s">
        <v>634</v>
      </c>
      <c r="K500" s="74"/>
      <c r="L500" s="82">
        <v>6.3060000000000005E-2</v>
      </c>
      <c r="M500" s="138">
        <v>6.3060000000000005E-2</v>
      </c>
      <c r="N500" s="138">
        <v>6.3060000000000005E-2</v>
      </c>
      <c r="O500" s="138">
        <v>6.3060000000000005E-2</v>
      </c>
      <c r="P500" s="138">
        <v>6.3060000000000005E-2</v>
      </c>
      <c r="Q500" s="138">
        <v>6.3060000000000005E-2</v>
      </c>
      <c r="R500" s="138">
        <v>5.5849999999999997E-2</v>
      </c>
      <c r="S500" s="138">
        <v>5.5849999999999997E-2</v>
      </c>
      <c r="T500" s="138">
        <v>5.5849999999999997E-2</v>
      </c>
      <c r="U500" s="138">
        <v>5.5849999999999997E-2</v>
      </c>
      <c r="V500" s="138">
        <v>5.5849999999999997E-2</v>
      </c>
      <c r="W500" s="138">
        <v>5.5849999999999997E-2</v>
      </c>
      <c r="X500" s="138">
        <v>5.5849999999999997E-2</v>
      </c>
      <c r="Y500" s="138">
        <f t="shared" si="348"/>
        <v>5.5849999999999997E-2</v>
      </c>
      <c r="Z500" s="138">
        <f t="shared" si="349"/>
        <v>5.5849999999999997E-2</v>
      </c>
      <c r="AA500" s="138">
        <f t="shared" si="350"/>
        <v>5.5849999999999997E-2</v>
      </c>
      <c r="AB500" s="138">
        <f t="shared" si="351"/>
        <v>5.5849999999999997E-2</v>
      </c>
      <c r="AC500" s="138">
        <f t="shared" si="352"/>
        <v>5.5849999999999997E-2</v>
      </c>
      <c r="AD500" s="138">
        <f t="shared" si="353"/>
        <v>5.5849999999999997E-2</v>
      </c>
      <c r="AE500" s="138">
        <f t="shared" si="354"/>
        <v>5.5849999999999997E-2</v>
      </c>
      <c r="AF500" s="138">
        <f t="shared" si="355"/>
        <v>5.5849999999999997E-2</v>
      </c>
      <c r="AG500" s="138">
        <f t="shared" si="356"/>
        <v>5.5849999999999997E-2</v>
      </c>
      <c r="AH500" s="138">
        <f t="shared" si="357"/>
        <v>5.5849999999999997E-2</v>
      </c>
      <c r="AI500" s="138">
        <f t="shared" si="358"/>
        <v>5.5849999999999997E-2</v>
      </c>
      <c r="AJ500" s="138">
        <f t="shared" si="359"/>
        <v>5.5849999999999997E-2</v>
      </c>
      <c r="AK500" s="138">
        <f t="shared" si="360"/>
        <v>5.5849999999999997E-2</v>
      </c>
      <c r="AL500" s="138">
        <f t="shared" si="361"/>
        <v>5.584999999999999E-2</v>
      </c>
      <c r="AM500" s="138">
        <f t="shared" si="362"/>
        <v>5.7051666666666639E-2</v>
      </c>
      <c r="AO500" s="77" t="str">
        <f t="shared" si="319"/>
        <v>DS-1 (Residential)</v>
      </c>
      <c r="AP500" s="78" t="s">
        <v>662</v>
      </c>
      <c r="AQ500" s="77" t="str">
        <f t="shared" si="320"/>
        <v>Rider QF Summer On-Peak High voltage</v>
      </c>
      <c r="AR500" s="78" t="str">
        <f t="shared" si="321"/>
        <v>Prorated</v>
      </c>
      <c r="AS500" s="79">
        <f t="shared" si="322"/>
        <v>6</v>
      </c>
      <c r="AT500" s="78">
        <f t="shared" si="323"/>
        <v>0</v>
      </c>
      <c r="AU500" s="78">
        <f t="shared" si="324"/>
        <v>6.3060000000000005E-2</v>
      </c>
      <c r="AV500" s="78">
        <f t="shared" si="325"/>
        <v>6.3060000000000005E-2</v>
      </c>
      <c r="AW500" s="78">
        <f t="shared" si="326"/>
        <v>6.3060000000000005E-2</v>
      </c>
      <c r="AX500" s="78">
        <f t="shared" si="327"/>
        <v>6.3060000000000005E-2</v>
      </c>
      <c r="AY500" s="78">
        <f t="shared" si="328"/>
        <v>6.3060000000000005E-2</v>
      </c>
      <c r="AZ500" s="78">
        <f t="shared" si="329"/>
        <v>5.5849999999999997E-2</v>
      </c>
      <c r="BA500" s="78">
        <f t="shared" si="330"/>
        <v>5.5849999999999997E-2</v>
      </c>
      <c r="BB500" s="78">
        <f t="shared" si="331"/>
        <v>5.5849999999999997E-2</v>
      </c>
      <c r="BC500" s="78">
        <f t="shared" si="332"/>
        <v>5.5849999999999997E-2</v>
      </c>
      <c r="BD500" s="78">
        <f t="shared" si="333"/>
        <v>5.5849999999999997E-2</v>
      </c>
      <c r="BE500" s="78">
        <f t="shared" si="334"/>
        <v>5.5849999999999997E-2</v>
      </c>
      <c r="BF500" s="78">
        <f t="shared" si="335"/>
        <v>5.5849999999999997E-2</v>
      </c>
      <c r="BG500" s="78">
        <f t="shared" si="336"/>
        <v>5.5849999999999997E-2</v>
      </c>
      <c r="BH500" s="78">
        <f t="shared" si="337"/>
        <v>5.5849999999999997E-2</v>
      </c>
      <c r="BI500" s="78">
        <f t="shared" si="338"/>
        <v>5.5849999999999997E-2</v>
      </c>
      <c r="BJ500" s="78">
        <f t="shared" si="339"/>
        <v>5.5849999999999997E-2</v>
      </c>
      <c r="BK500" s="78">
        <f t="shared" si="340"/>
        <v>5.5849999999999997E-2</v>
      </c>
      <c r="BL500" s="78">
        <f t="shared" si="341"/>
        <v>5.5849999999999997E-2</v>
      </c>
      <c r="BM500" s="78">
        <f t="shared" si="342"/>
        <v>5.5849999999999997E-2</v>
      </c>
      <c r="BN500" s="78">
        <f t="shared" si="343"/>
        <v>5.5849999999999997E-2</v>
      </c>
      <c r="BO500" s="78">
        <f t="shared" si="344"/>
        <v>5.5849999999999997E-2</v>
      </c>
      <c r="BP500" s="78">
        <f t="shared" si="345"/>
        <v>5.5849999999999997E-2</v>
      </c>
      <c r="BQ500" s="78">
        <f t="shared" si="346"/>
        <v>5.5849999999999997E-2</v>
      </c>
      <c r="BR500" s="78">
        <f t="shared" si="347"/>
        <v>5.5849999999999997E-2</v>
      </c>
      <c r="BS500" s="77"/>
      <c r="BT500" s="77"/>
    </row>
    <row r="501" spans="1:72" ht="14.1" customHeight="1" x14ac:dyDescent="0.2">
      <c r="A501" s="55" t="str">
        <f t="shared" si="318"/>
        <v>DS-2 (Small General Service)_Rider QF Summer On-Peak High voltage</v>
      </c>
      <c r="B501" s="80" t="s">
        <v>665</v>
      </c>
      <c r="C501" s="71" t="s">
        <v>884</v>
      </c>
      <c r="D501" s="150"/>
      <c r="E501" s="81"/>
      <c r="F501" s="73" t="s">
        <v>640</v>
      </c>
      <c r="G501" s="73">
        <v>0</v>
      </c>
      <c r="H501" s="73">
        <v>6</v>
      </c>
      <c r="I501" s="74" t="s">
        <v>641</v>
      </c>
      <c r="J501" s="75" t="s">
        <v>634</v>
      </c>
      <c r="K501" s="74"/>
      <c r="L501" s="82">
        <v>6.3060000000000005E-2</v>
      </c>
      <c r="M501" s="138">
        <v>6.3060000000000005E-2</v>
      </c>
      <c r="N501" s="138">
        <v>6.3060000000000005E-2</v>
      </c>
      <c r="O501" s="138">
        <v>6.3060000000000005E-2</v>
      </c>
      <c r="P501" s="138">
        <v>6.3060000000000005E-2</v>
      </c>
      <c r="Q501" s="138">
        <v>6.3060000000000005E-2</v>
      </c>
      <c r="R501" s="138">
        <v>5.5849999999999997E-2</v>
      </c>
      <c r="S501" s="138">
        <v>5.5849999999999997E-2</v>
      </c>
      <c r="T501" s="138">
        <v>5.5849999999999997E-2</v>
      </c>
      <c r="U501" s="138">
        <v>5.5849999999999997E-2</v>
      </c>
      <c r="V501" s="138">
        <v>5.5849999999999997E-2</v>
      </c>
      <c r="W501" s="138">
        <v>5.5849999999999997E-2</v>
      </c>
      <c r="X501" s="138">
        <v>5.5849999999999997E-2</v>
      </c>
      <c r="Y501" s="138">
        <f t="shared" si="348"/>
        <v>5.5849999999999997E-2</v>
      </c>
      <c r="Z501" s="138">
        <f t="shared" si="349"/>
        <v>5.5849999999999997E-2</v>
      </c>
      <c r="AA501" s="138">
        <f t="shared" si="350"/>
        <v>5.5849999999999997E-2</v>
      </c>
      <c r="AB501" s="138">
        <f t="shared" si="351"/>
        <v>5.5849999999999997E-2</v>
      </c>
      <c r="AC501" s="138">
        <f t="shared" si="352"/>
        <v>5.5849999999999997E-2</v>
      </c>
      <c r="AD501" s="138">
        <f t="shared" si="353"/>
        <v>5.5849999999999997E-2</v>
      </c>
      <c r="AE501" s="138">
        <f t="shared" si="354"/>
        <v>5.5849999999999997E-2</v>
      </c>
      <c r="AF501" s="138">
        <f t="shared" si="355"/>
        <v>5.5849999999999997E-2</v>
      </c>
      <c r="AG501" s="138">
        <f t="shared" si="356"/>
        <v>5.5849999999999997E-2</v>
      </c>
      <c r="AH501" s="138">
        <f t="shared" si="357"/>
        <v>5.5849999999999997E-2</v>
      </c>
      <c r="AI501" s="138">
        <f t="shared" si="358"/>
        <v>5.5849999999999997E-2</v>
      </c>
      <c r="AJ501" s="138">
        <f t="shared" si="359"/>
        <v>5.5849999999999997E-2</v>
      </c>
      <c r="AK501" s="138">
        <f t="shared" si="360"/>
        <v>5.5849999999999997E-2</v>
      </c>
      <c r="AL501" s="138">
        <f t="shared" si="361"/>
        <v>5.584999999999999E-2</v>
      </c>
      <c r="AM501" s="138">
        <f t="shared" si="362"/>
        <v>5.7051666666666639E-2</v>
      </c>
      <c r="AO501" s="77" t="str">
        <f t="shared" si="319"/>
        <v>DS-2 (Small General Service)</v>
      </c>
      <c r="AP501" s="78" t="s">
        <v>664</v>
      </c>
      <c r="AQ501" s="77" t="str">
        <f t="shared" si="320"/>
        <v>Rider QF Summer On-Peak High voltage</v>
      </c>
      <c r="AR501" s="78" t="str">
        <f t="shared" si="321"/>
        <v>Prorated</v>
      </c>
      <c r="AS501" s="79">
        <f t="shared" si="322"/>
        <v>6</v>
      </c>
      <c r="AT501" s="78">
        <f t="shared" si="323"/>
        <v>0</v>
      </c>
      <c r="AU501" s="78">
        <f t="shared" si="324"/>
        <v>6.3060000000000005E-2</v>
      </c>
      <c r="AV501" s="78">
        <f t="shared" si="325"/>
        <v>6.3060000000000005E-2</v>
      </c>
      <c r="AW501" s="78">
        <f t="shared" si="326"/>
        <v>6.3060000000000005E-2</v>
      </c>
      <c r="AX501" s="78">
        <f t="shared" si="327"/>
        <v>6.3060000000000005E-2</v>
      </c>
      <c r="AY501" s="78">
        <f t="shared" si="328"/>
        <v>6.3060000000000005E-2</v>
      </c>
      <c r="AZ501" s="78">
        <f t="shared" si="329"/>
        <v>5.5849999999999997E-2</v>
      </c>
      <c r="BA501" s="78">
        <f t="shared" si="330"/>
        <v>5.5849999999999997E-2</v>
      </c>
      <c r="BB501" s="78">
        <f t="shared" si="331"/>
        <v>5.5849999999999997E-2</v>
      </c>
      <c r="BC501" s="78">
        <f t="shared" si="332"/>
        <v>5.5849999999999997E-2</v>
      </c>
      <c r="BD501" s="78">
        <f t="shared" si="333"/>
        <v>5.5849999999999997E-2</v>
      </c>
      <c r="BE501" s="78">
        <f t="shared" si="334"/>
        <v>5.5849999999999997E-2</v>
      </c>
      <c r="BF501" s="78">
        <f t="shared" si="335"/>
        <v>5.5849999999999997E-2</v>
      </c>
      <c r="BG501" s="78">
        <f t="shared" si="336"/>
        <v>5.5849999999999997E-2</v>
      </c>
      <c r="BH501" s="78">
        <f t="shared" si="337"/>
        <v>5.5849999999999997E-2</v>
      </c>
      <c r="BI501" s="78">
        <f t="shared" si="338"/>
        <v>5.5849999999999997E-2</v>
      </c>
      <c r="BJ501" s="78">
        <f t="shared" si="339"/>
        <v>5.5849999999999997E-2</v>
      </c>
      <c r="BK501" s="78">
        <f t="shared" si="340"/>
        <v>5.5849999999999997E-2</v>
      </c>
      <c r="BL501" s="78">
        <f t="shared" si="341"/>
        <v>5.5849999999999997E-2</v>
      </c>
      <c r="BM501" s="78">
        <f t="shared" si="342"/>
        <v>5.5849999999999997E-2</v>
      </c>
      <c r="BN501" s="78">
        <f t="shared" si="343"/>
        <v>5.5849999999999997E-2</v>
      </c>
      <c r="BO501" s="78">
        <f t="shared" si="344"/>
        <v>5.5849999999999997E-2</v>
      </c>
      <c r="BP501" s="78">
        <f t="shared" si="345"/>
        <v>5.5849999999999997E-2</v>
      </c>
      <c r="BQ501" s="78">
        <f t="shared" si="346"/>
        <v>5.5849999999999997E-2</v>
      </c>
      <c r="BR501" s="78">
        <f t="shared" si="347"/>
        <v>5.5849999999999997E-2</v>
      </c>
      <c r="BS501" s="77"/>
      <c r="BT501" s="77"/>
    </row>
    <row r="502" spans="1:72" ht="14.1" customHeight="1" x14ac:dyDescent="0.2">
      <c r="A502" s="55" t="str">
        <f t="shared" si="318"/>
        <v>DS-1 (Residential)_Rider QF Summer On-Peak Primary</v>
      </c>
      <c r="B502" s="80" t="s">
        <v>90</v>
      </c>
      <c r="C502" s="71" t="s">
        <v>885</v>
      </c>
      <c r="D502" s="150" t="s">
        <v>870</v>
      </c>
      <c r="E502" s="81"/>
      <c r="F502" s="73" t="s">
        <v>640</v>
      </c>
      <c r="G502" s="73">
        <v>0</v>
      </c>
      <c r="H502" s="73">
        <v>6</v>
      </c>
      <c r="I502" s="74" t="s">
        <v>641</v>
      </c>
      <c r="J502" s="75" t="s">
        <v>634</v>
      </c>
      <c r="K502" s="74"/>
      <c r="L502" s="82">
        <v>6.3960000000000003E-2</v>
      </c>
      <c r="M502" s="138">
        <v>6.3960000000000003E-2</v>
      </c>
      <c r="N502" s="138">
        <v>6.3960000000000003E-2</v>
      </c>
      <c r="O502" s="138">
        <v>6.3960000000000003E-2</v>
      </c>
      <c r="P502" s="138">
        <v>6.3960000000000003E-2</v>
      </c>
      <c r="Q502" s="138">
        <v>6.3960000000000003E-2</v>
      </c>
      <c r="R502" s="138">
        <v>5.6649999999999999E-2</v>
      </c>
      <c r="S502" s="138">
        <v>5.6649999999999999E-2</v>
      </c>
      <c r="T502" s="138">
        <v>5.6649999999999999E-2</v>
      </c>
      <c r="U502" s="138">
        <v>5.6649999999999999E-2</v>
      </c>
      <c r="V502" s="138">
        <v>5.6649999999999999E-2</v>
      </c>
      <c r="W502" s="138">
        <v>5.6649999999999999E-2</v>
      </c>
      <c r="X502" s="138">
        <v>5.6649999999999999E-2</v>
      </c>
      <c r="Y502" s="138">
        <f t="shared" si="348"/>
        <v>5.6649999999999999E-2</v>
      </c>
      <c r="Z502" s="138">
        <f t="shared" si="349"/>
        <v>5.6649999999999999E-2</v>
      </c>
      <c r="AA502" s="138">
        <f t="shared" si="350"/>
        <v>5.6649999999999999E-2</v>
      </c>
      <c r="AB502" s="138">
        <f t="shared" si="351"/>
        <v>5.6649999999999999E-2</v>
      </c>
      <c r="AC502" s="138">
        <f t="shared" si="352"/>
        <v>5.6649999999999999E-2</v>
      </c>
      <c r="AD502" s="138">
        <f t="shared" si="353"/>
        <v>5.6649999999999999E-2</v>
      </c>
      <c r="AE502" s="138">
        <f t="shared" si="354"/>
        <v>5.6649999999999999E-2</v>
      </c>
      <c r="AF502" s="138">
        <f t="shared" si="355"/>
        <v>5.6649999999999999E-2</v>
      </c>
      <c r="AG502" s="138">
        <f t="shared" si="356"/>
        <v>5.6649999999999999E-2</v>
      </c>
      <c r="AH502" s="138">
        <f t="shared" si="357"/>
        <v>5.6649999999999999E-2</v>
      </c>
      <c r="AI502" s="138">
        <f t="shared" si="358"/>
        <v>5.6649999999999999E-2</v>
      </c>
      <c r="AJ502" s="138">
        <f t="shared" si="359"/>
        <v>5.6649999999999999E-2</v>
      </c>
      <c r="AK502" s="138">
        <f t="shared" si="360"/>
        <v>5.6649999999999999E-2</v>
      </c>
      <c r="AL502" s="138">
        <f t="shared" si="361"/>
        <v>5.6649999999999985E-2</v>
      </c>
      <c r="AM502" s="138">
        <f t="shared" si="362"/>
        <v>5.7868333333333348E-2</v>
      </c>
      <c r="AO502" s="77" t="str">
        <f t="shared" si="319"/>
        <v>DS-1 (Residential)</v>
      </c>
      <c r="AP502" s="78" t="s">
        <v>662</v>
      </c>
      <c r="AQ502" s="77" t="str">
        <f t="shared" si="320"/>
        <v>Rider QF Summer On-Peak Primary</v>
      </c>
      <c r="AR502" s="78" t="str">
        <f t="shared" si="321"/>
        <v>Prorated</v>
      </c>
      <c r="AS502" s="79">
        <f t="shared" si="322"/>
        <v>6</v>
      </c>
      <c r="AT502" s="78">
        <f t="shared" si="323"/>
        <v>0</v>
      </c>
      <c r="AU502" s="78">
        <f t="shared" si="324"/>
        <v>6.3960000000000003E-2</v>
      </c>
      <c r="AV502" s="78">
        <f t="shared" si="325"/>
        <v>6.3960000000000003E-2</v>
      </c>
      <c r="AW502" s="78">
        <f t="shared" si="326"/>
        <v>6.3960000000000003E-2</v>
      </c>
      <c r="AX502" s="78">
        <f t="shared" si="327"/>
        <v>6.3960000000000003E-2</v>
      </c>
      <c r="AY502" s="78">
        <f t="shared" si="328"/>
        <v>6.3960000000000003E-2</v>
      </c>
      <c r="AZ502" s="78">
        <f t="shared" si="329"/>
        <v>5.6649999999999999E-2</v>
      </c>
      <c r="BA502" s="78">
        <f t="shared" si="330"/>
        <v>5.6649999999999999E-2</v>
      </c>
      <c r="BB502" s="78">
        <f t="shared" si="331"/>
        <v>5.6649999999999999E-2</v>
      </c>
      <c r="BC502" s="78">
        <f t="shared" si="332"/>
        <v>5.6649999999999999E-2</v>
      </c>
      <c r="BD502" s="78">
        <f t="shared" si="333"/>
        <v>5.6649999999999999E-2</v>
      </c>
      <c r="BE502" s="78">
        <f t="shared" si="334"/>
        <v>5.6649999999999999E-2</v>
      </c>
      <c r="BF502" s="78">
        <f t="shared" si="335"/>
        <v>5.6649999999999999E-2</v>
      </c>
      <c r="BG502" s="78">
        <f t="shared" si="336"/>
        <v>5.6649999999999999E-2</v>
      </c>
      <c r="BH502" s="78">
        <f t="shared" si="337"/>
        <v>5.6649999999999999E-2</v>
      </c>
      <c r="BI502" s="78">
        <f t="shared" si="338"/>
        <v>5.6649999999999999E-2</v>
      </c>
      <c r="BJ502" s="78">
        <f t="shared" si="339"/>
        <v>5.6649999999999999E-2</v>
      </c>
      <c r="BK502" s="78">
        <f t="shared" si="340"/>
        <v>5.6649999999999999E-2</v>
      </c>
      <c r="BL502" s="78">
        <f t="shared" si="341"/>
        <v>5.6649999999999999E-2</v>
      </c>
      <c r="BM502" s="78">
        <f t="shared" si="342"/>
        <v>5.6649999999999999E-2</v>
      </c>
      <c r="BN502" s="78">
        <f t="shared" si="343"/>
        <v>5.6649999999999999E-2</v>
      </c>
      <c r="BO502" s="78">
        <f t="shared" si="344"/>
        <v>5.6649999999999999E-2</v>
      </c>
      <c r="BP502" s="78">
        <f t="shared" si="345"/>
        <v>5.6649999999999999E-2</v>
      </c>
      <c r="BQ502" s="78">
        <f t="shared" si="346"/>
        <v>5.6649999999999999E-2</v>
      </c>
      <c r="BR502" s="78">
        <f t="shared" si="347"/>
        <v>5.6649999999999999E-2</v>
      </c>
      <c r="BS502" s="77"/>
      <c r="BT502" s="77"/>
    </row>
    <row r="503" spans="1:72" ht="14.1" customHeight="1" x14ac:dyDescent="0.2">
      <c r="A503" s="55" t="str">
        <f t="shared" si="318"/>
        <v>DS-2 (Small General Service)_Rider QF Summer On-Peak Primary</v>
      </c>
      <c r="B503" s="80" t="s">
        <v>665</v>
      </c>
      <c r="C503" s="71" t="s">
        <v>885</v>
      </c>
      <c r="D503" s="150"/>
      <c r="E503" s="81"/>
      <c r="F503" s="73" t="s">
        <v>640</v>
      </c>
      <c r="G503" s="73">
        <v>0</v>
      </c>
      <c r="H503" s="73">
        <v>6</v>
      </c>
      <c r="I503" s="74" t="s">
        <v>641</v>
      </c>
      <c r="J503" s="75" t="s">
        <v>634</v>
      </c>
      <c r="K503" s="74"/>
      <c r="L503" s="82">
        <v>6.3960000000000003E-2</v>
      </c>
      <c r="M503" s="138">
        <v>6.3960000000000003E-2</v>
      </c>
      <c r="N503" s="138">
        <v>6.3960000000000003E-2</v>
      </c>
      <c r="O503" s="138">
        <v>6.3960000000000003E-2</v>
      </c>
      <c r="P503" s="138">
        <v>6.3960000000000003E-2</v>
      </c>
      <c r="Q503" s="138">
        <v>6.3960000000000003E-2</v>
      </c>
      <c r="R503" s="138">
        <v>5.6649999999999999E-2</v>
      </c>
      <c r="S503" s="138">
        <v>5.6649999999999999E-2</v>
      </c>
      <c r="T503" s="138">
        <v>5.6649999999999999E-2</v>
      </c>
      <c r="U503" s="138">
        <v>5.6649999999999999E-2</v>
      </c>
      <c r="V503" s="138">
        <v>5.6649999999999999E-2</v>
      </c>
      <c r="W503" s="138">
        <v>5.6649999999999999E-2</v>
      </c>
      <c r="X503" s="138">
        <v>5.6649999999999999E-2</v>
      </c>
      <c r="Y503" s="138">
        <f t="shared" si="348"/>
        <v>5.6649999999999999E-2</v>
      </c>
      <c r="Z503" s="138">
        <f t="shared" si="349"/>
        <v>5.6649999999999999E-2</v>
      </c>
      <c r="AA503" s="138">
        <f t="shared" si="350"/>
        <v>5.6649999999999999E-2</v>
      </c>
      <c r="AB503" s="138">
        <f t="shared" si="351"/>
        <v>5.6649999999999999E-2</v>
      </c>
      <c r="AC503" s="138">
        <f t="shared" si="352"/>
        <v>5.6649999999999999E-2</v>
      </c>
      <c r="AD503" s="138">
        <f t="shared" si="353"/>
        <v>5.6649999999999999E-2</v>
      </c>
      <c r="AE503" s="138">
        <f t="shared" si="354"/>
        <v>5.6649999999999999E-2</v>
      </c>
      <c r="AF503" s="138">
        <f t="shared" si="355"/>
        <v>5.6649999999999999E-2</v>
      </c>
      <c r="AG503" s="138">
        <f t="shared" si="356"/>
        <v>5.6649999999999999E-2</v>
      </c>
      <c r="AH503" s="138">
        <f t="shared" si="357"/>
        <v>5.6649999999999999E-2</v>
      </c>
      <c r="AI503" s="138">
        <f t="shared" si="358"/>
        <v>5.6649999999999999E-2</v>
      </c>
      <c r="AJ503" s="138">
        <f t="shared" si="359"/>
        <v>5.6649999999999999E-2</v>
      </c>
      <c r="AK503" s="138">
        <f t="shared" si="360"/>
        <v>5.6649999999999999E-2</v>
      </c>
      <c r="AL503" s="138">
        <f t="shared" si="361"/>
        <v>5.6649999999999985E-2</v>
      </c>
      <c r="AM503" s="138">
        <f t="shared" si="362"/>
        <v>5.7868333333333348E-2</v>
      </c>
      <c r="AO503" s="77" t="str">
        <f t="shared" si="319"/>
        <v>DS-2 (Small General Service)</v>
      </c>
      <c r="AP503" s="78" t="s">
        <v>664</v>
      </c>
      <c r="AQ503" s="77" t="str">
        <f t="shared" si="320"/>
        <v>Rider QF Summer On-Peak Primary</v>
      </c>
      <c r="AR503" s="78" t="str">
        <f t="shared" si="321"/>
        <v>Prorated</v>
      </c>
      <c r="AS503" s="79">
        <f t="shared" si="322"/>
        <v>6</v>
      </c>
      <c r="AT503" s="78">
        <f t="shared" si="323"/>
        <v>0</v>
      </c>
      <c r="AU503" s="78">
        <f t="shared" si="324"/>
        <v>6.3960000000000003E-2</v>
      </c>
      <c r="AV503" s="78">
        <f t="shared" si="325"/>
        <v>6.3960000000000003E-2</v>
      </c>
      <c r="AW503" s="78">
        <f t="shared" si="326"/>
        <v>6.3960000000000003E-2</v>
      </c>
      <c r="AX503" s="78">
        <f t="shared" si="327"/>
        <v>6.3960000000000003E-2</v>
      </c>
      <c r="AY503" s="78">
        <f t="shared" si="328"/>
        <v>6.3960000000000003E-2</v>
      </c>
      <c r="AZ503" s="78">
        <f t="shared" si="329"/>
        <v>5.6649999999999999E-2</v>
      </c>
      <c r="BA503" s="78">
        <f t="shared" si="330"/>
        <v>5.6649999999999999E-2</v>
      </c>
      <c r="BB503" s="78">
        <f t="shared" si="331"/>
        <v>5.6649999999999999E-2</v>
      </c>
      <c r="BC503" s="78">
        <f t="shared" si="332"/>
        <v>5.6649999999999999E-2</v>
      </c>
      <c r="BD503" s="78">
        <f t="shared" si="333"/>
        <v>5.6649999999999999E-2</v>
      </c>
      <c r="BE503" s="78">
        <f t="shared" si="334"/>
        <v>5.6649999999999999E-2</v>
      </c>
      <c r="BF503" s="78">
        <f t="shared" si="335"/>
        <v>5.6649999999999999E-2</v>
      </c>
      <c r="BG503" s="78">
        <f t="shared" si="336"/>
        <v>5.6649999999999999E-2</v>
      </c>
      <c r="BH503" s="78">
        <f t="shared" si="337"/>
        <v>5.6649999999999999E-2</v>
      </c>
      <c r="BI503" s="78">
        <f t="shared" si="338"/>
        <v>5.6649999999999999E-2</v>
      </c>
      <c r="BJ503" s="78">
        <f t="shared" si="339"/>
        <v>5.6649999999999999E-2</v>
      </c>
      <c r="BK503" s="78">
        <f t="shared" si="340"/>
        <v>5.6649999999999999E-2</v>
      </c>
      <c r="BL503" s="78">
        <f t="shared" si="341"/>
        <v>5.6649999999999999E-2</v>
      </c>
      <c r="BM503" s="78">
        <f t="shared" si="342"/>
        <v>5.6649999999999999E-2</v>
      </c>
      <c r="BN503" s="78">
        <f t="shared" si="343"/>
        <v>5.6649999999999999E-2</v>
      </c>
      <c r="BO503" s="78">
        <f t="shared" si="344"/>
        <v>5.6649999999999999E-2</v>
      </c>
      <c r="BP503" s="78">
        <f t="shared" si="345"/>
        <v>5.6649999999999999E-2</v>
      </c>
      <c r="BQ503" s="78">
        <f t="shared" si="346"/>
        <v>5.6649999999999999E-2</v>
      </c>
      <c r="BR503" s="78">
        <f t="shared" si="347"/>
        <v>5.6649999999999999E-2</v>
      </c>
      <c r="BS503" s="77"/>
      <c r="BT503" s="77"/>
    </row>
    <row r="504" spans="1:72" ht="14.1" customHeight="1" x14ac:dyDescent="0.2">
      <c r="A504" s="55" t="str">
        <f t="shared" si="318"/>
        <v>DS-1 (Residential)_Rider QF Summer On-Peak Secondary</v>
      </c>
      <c r="B504" s="80" t="s">
        <v>90</v>
      </c>
      <c r="C504" s="71" t="s">
        <v>886</v>
      </c>
      <c r="D504" s="150" t="s">
        <v>870</v>
      </c>
      <c r="E504" s="81"/>
      <c r="F504" s="73" t="s">
        <v>640</v>
      </c>
      <c r="G504" s="73">
        <v>0</v>
      </c>
      <c r="H504" s="73">
        <v>6</v>
      </c>
      <c r="I504" s="74" t="s">
        <v>641</v>
      </c>
      <c r="J504" s="75" t="s">
        <v>634</v>
      </c>
      <c r="K504" s="74"/>
      <c r="L504" s="82">
        <v>6.5350000000000005E-2</v>
      </c>
      <c r="M504" s="138">
        <v>6.5350000000000005E-2</v>
      </c>
      <c r="N504" s="138">
        <v>6.5350000000000005E-2</v>
      </c>
      <c r="O504" s="138">
        <v>6.5350000000000005E-2</v>
      </c>
      <c r="P504" s="138">
        <v>6.5350000000000005E-2</v>
      </c>
      <c r="Q504" s="138">
        <v>6.5350000000000005E-2</v>
      </c>
      <c r="R504" s="138">
        <v>5.7849999999999999E-2</v>
      </c>
      <c r="S504" s="138">
        <v>5.7849999999999999E-2</v>
      </c>
      <c r="T504" s="138">
        <v>5.7849999999999999E-2</v>
      </c>
      <c r="U504" s="138">
        <v>5.7849999999999999E-2</v>
      </c>
      <c r="V504" s="138">
        <v>5.7849999999999999E-2</v>
      </c>
      <c r="W504" s="138">
        <v>5.7849999999999999E-2</v>
      </c>
      <c r="X504" s="138">
        <v>5.7849999999999999E-2</v>
      </c>
      <c r="Y504" s="138">
        <f t="shared" si="348"/>
        <v>5.7849999999999999E-2</v>
      </c>
      <c r="Z504" s="138">
        <f t="shared" si="349"/>
        <v>5.7849999999999999E-2</v>
      </c>
      <c r="AA504" s="138">
        <f t="shared" si="350"/>
        <v>5.7849999999999999E-2</v>
      </c>
      <c r="AB504" s="138">
        <f t="shared" si="351"/>
        <v>5.7849999999999999E-2</v>
      </c>
      <c r="AC504" s="138">
        <f t="shared" si="352"/>
        <v>5.7849999999999999E-2</v>
      </c>
      <c r="AD504" s="138">
        <f t="shared" si="353"/>
        <v>5.7849999999999999E-2</v>
      </c>
      <c r="AE504" s="138">
        <f t="shared" si="354"/>
        <v>5.7849999999999999E-2</v>
      </c>
      <c r="AF504" s="138">
        <f t="shared" si="355"/>
        <v>5.7849999999999999E-2</v>
      </c>
      <c r="AG504" s="138">
        <f t="shared" si="356"/>
        <v>5.7849999999999999E-2</v>
      </c>
      <c r="AH504" s="138">
        <f t="shared" si="357"/>
        <v>5.7849999999999999E-2</v>
      </c>
      <c r="AI504" s="138">
        <f t="shared" si="358"/>
        <v>5.7849999999999999E-2</v>
      </c>
      <c r="AJ504" s="138">
        <f t="shared" si="359"/>
        <v>5.7849999999999999E-2</v>
      </c>
      <c r="AK504" s="138">
        <f t="shared" si="360"/>
        <v>5.7849999999999999E-2</v>
      </c>
      <c r="AL504" s="138">
        <f t="shared" si="361"/>
        <v>5.7849999999999992E-2</v>
      </c>
      <c r="AM504" s="138">
        <f t="shared" si="362"/>
        <v>5.9099999999999979E-2</v>
      </c>
      <c r="AO504" s="77" t="str">
        <f t="shared" si="319"/>
        <v>DS-1 (Residential)</v>
      </c>
      <c r="AP504" s="78" t="s">
        <v>662</v>
      </c>
      <c r="AQ504" s="77" t="str">
        <f t="shared" si="320"/>
        <v>Rider QF Summer On-Peak Secondary</v>
      </c>
      <c r="AR504" s="78" t="str">
        <f t="shared" si="321"/>
        <v>Prorated</v>
      </c>
      <c r="AS504" s="79">
        <f t="shared" si="322"/>
        <v>6</v>
      </c>
      <c r="AT504" s="78">
        <f t="shared" si="323"/>
        <v>0</v>
      </c>
      <c r="AU504" s="78">
        <f t="shared" si="324"/>
        <v>6.5350000000000005E-2</v>
      </c>
      <c r="AV504" s="78">
        <f t="shared" si="325"/>
        <v>6.5350000000000005E-2</v>
      </c>
      <c r="AW504" s="78">
        <f t="shared" si="326"/>
        <v>6.5350000000000005E-2</v>
      </c>
      <c r="AX504" s="78">
        <f t="shared" si="327"/>
        <v>6.5350000000000005E-2</v>
      </c>
      <c r="AY504" s="78">
        <f t="shared" si="328"/>
        <v>6.5350000000000005E-2</v>
      </c>
      <c r="AZ504" s="78">
        <f t="shared" si="329"/>
        <v>5.7849999999999999E-2</v>
      </c>
      <c r="BA504" s="78">
        <f t="shared" si="330"/>
        <v>5.7849999999999999E-2</v>
      </c>
      <c r="BB504" s="78">
        <f t="shared" si="331"/>
        <v>5.7849999999999999E-2</v>
      </c>
      <c r="BC504" s="78">
        <f t="shared" si="332"/>
        <v>5.7849999999999999E-2</v>
      </c>
      <c r="BD504" s="78">
        <f t="shared" si="333"/>
        <v>5.7849999999999999E-2</v>
      </c>
      <c r="BE504" s="78">
        <f t="shared" si="334"/>
        <v>5.7849999999999999E-2</v>
      </c>
      <c r="BF504" s="78">
        <f t="shared" si="335"/>
        <v>5.7849999999999999E-2</v>
      </c>
      <c r="BG504" s="78">
        <f t="shared" si="336"/>
        <v>5.7849999999999999E-2</v>
      </c>
      <c r="BH504" s="78">
        <f t="shared" si="337"/>
        <v>5.7849999999999999E-2</v>
      </c>
      <c r="BI504" s="78">
        <f t="shared" si="338"/>
        <v>5.7849999999999999E-2</v>
      </c>
      <c r="BJ504" s="78">
        <f t="shared" si="339"/>
        <v>5.7849999999999999E-2</v>
      </c>
      <c r="BK504" s="78">
        <f t="shared" si="340"/>
        <v>5.7849999999999999E-2</v>
      </c>
      <c r="BL504" s="78">
        <f t="shared" si="341"/>
        <v>5.7849999999999999E-2</v>
      </c>
      <c r="BM504" s="78">
        <f t="shared" si="342"/>
        <v>5.7849999999999999E-2</v>
      </c>
      <c r="BN504" s="78">
        <f t="shared" si="343"/>
        <v>5.7849999999999999E-2</v>
      </c>
      <c r="BO504" s="78">
        <f t="shared" si="344"/>
        <v>5.7849999999999999E-2</v>
      </c>
      <c r="BP504" s="78">
        <f t="shared" si="345"/>
        <v>5.7849999999999999E-2</v>
      </c>
      <c r="BQ504" s="78">
        <f t="shared" si="346"/>
        <v>5.7849999999999999E-2</v>
      </c>
      <c r="BR504" s="78">
        <f t="shared" si="347"/>
        <v>5.7849999999999999E-2</v>
      </c>
      <c r="BS504" s="77"/>
      <c r="BT504" s="77"/>
    </row>
    <row r="505" spans="1:72" ht="14.1" customHeight="1" x14ac:dyDescent="0.2">
      <c r="A505" s="55" t="str">
        <f t="shared" si="318"/>
        <v>DS-2 (Small General Service)_Rider QF Summer On-Peak Secondary</v>
      </c>
      <c r="B505" s="80" t="s">
        <v>665</v>
      </c>
      <c r="C505" s="71" t="s">
        <v>886</v>
      </c>
      <c r="D505" s="150"/>
      <c r="E505" s="81"/>
      <c r="F505" s="73" t="s">
        <v>640</v>
      </c>
      <c r="G505" s="73">
        <v>0</v>
      </c>
      <c r="H505" s="73">
        <v>6</v>
      </c>
      <c r="I505" s="74" t="s">
        <v>641</v>
      </c>
      <c r="J505" s="75" t="s">
        <v>634</v>
      </c>
      <c r="K505" s="74"/>
      <c r="L505" s="82">
        <v>6.5350000000000005E-2</v>
      </c>
      <c r="M505" s="138">
        <v>6.5350000000000005E-2</v>
      </c>
      <c r="N505" s="138">
        <v>6.5350000000000005E-2</v>
      </c>
      <c r="O505" s="138">
        <v>6.5350000000000005E-2</v>
      </c>
      <c r="P505" s="138">
        <v>6.5350000000000005E-2</v>
      </c>
      <c r="Q505" s="138">
        <v>6.5350000000000005E-2</v>
      </c>
      <c r="R505" s="138">
        <v>5.7849999999999999E-2</v>
      </c>
      <c r="S505" s="138">
        <v>5.7849999999999999E-2</v>
      </c>
      <c r="T505" s="138">
        <v>5.7849999999999999E-2</v>
      </c>
      <c r="U505" s="138">
        <v>5.7849999999999999E-2</v>
      </c>
      <c r="V505" s="138">
        <v>5.7849999999999999E-2</v>
      </c>
      <c r="W505" s="138">
        <v>5.7849999999999999E-2</v>
      </c>
      <c r="X505" s="138">
        <v>5.7849999999999999E-2</v>
      </c>
      <c r="Y505" s="138">
        <f t="shared" si="348"/>
        <v>5.7849999999999999E-2</v>
      </c>
      <c r="Z505" s="138">
        <f t="shared" si="349"/>
        <v>5.7849999999999999E-2</v>
      </c>
      <c r="AA505" s="138">
        <f t="shared" si="350"/>
        <v>5.7849999999999999E-2</v>
      </c>
      <c r="AB505" s="138">
        <f t="shared" si="351"/>
        <v>5.7849999999999999E-2</v>
      </c>
      <c r="AC505" s="138">
        <f t="shared" si="352"/>
        <v>5.7849999999999999E-2</v>
      </c>
      <c r="AD505" s="138">
        <f t="shared" si="353"/>
        <v>5.7849999999999999E-2</v>
      </c>
      <c r="AE505" s="138">
        <f t="shared" si="354"/>
        <v>5.7849999999999999E-2</v>
      </c>
      <c r="AF505" s="138">
        <f t="shared" si="355"/>
        <v>5.7849999999999999E-2</v>
      </c>
      <c r="AG505" s="138">
        <f t="shared" si="356"/>
        <v>5.7849999999999999E-2</v>
      </c>
      <c r="AH505" s="138">
        <f t="shared" si="357"/>
        <v>5.7849999999999999E-2</v>
      </c>
      <c r="AI505" s="138">
        <f t="shared" si="358"/>
        <v>5.7849999999999999E-2</v>
      </c>
      <c r="AJ505" s="138">
        <f t="shared" si="359"/>
        <v>5.7849999999999999E-2</v>
      </c>
      <c r="AK505" s="138">
        <f t="shared" si="360"/>
        <v>5.7849999999999999E-2</v>
      </c>
      <c r="AL505" s="138">
        <f t="shared" si="361"/>
        <v>5.7849999999999992E-2</v>
      </c>
      <c r="AM505" s="138">
        <f t="shared" si="362"/>
        <v>5.9099999999999979E-2</v>
      </c>
      <c r="AO505" s="77" t="str">
        <f t="shared" si="319"/>
        <v>DS-2 (Small General Service)</v>
      </c>
      <c r="AP505" s="78" t="s">
        <v>664</v>
      </c>
      <c r="AQ505" s="77" t="str">
        <f t="shared" si="320"/>
        <v>Rider QF Summer On-Peak Secondary</v>
      </c>
      <c r="AR505" s="78" t="str">
        <f t="shared" si="321"/>
        <v>Prorated</v>
      </c>
      <c r="AS505" s="79">
        <f t="shared" si="322"/>
        <v>6</v>
      </c>
      <c r="AT505" s="78">
        <f t="shared" si="323"/>
        <v>0</v>
      </c>
      <c r="AU505" s="78">
        <f t="shared" si="324"/>
        <v>6.5350000000000005E-2</v>
      </c>
      <c r="AV505" s="78">
        <f t="shared" si="325"/>
        <v>6.5350000000000005E-2</v>
      </c>
      <c r="AW505" s="78">
        <f t="shared" si="326"/>
        <v>6.5350000000000005E-2</v>
      </c>
      <c r="AX505" s="78">
        <f t="shared" si="327"/>
        <v>6.5350000000000005E-2</v>
      </c>
      <c r="AY505" s="78">
        <f t="shared" si="328"/>
        <v>6.5350000000000005E-2</v>
      </c>
      <c r="AZ505" s="78">
        <f t="shared" si="329"/>
        <v>5.7849999999999999E-2</v>
      </c>
      <c r="BA505" s="78">
        <f t="shared" si="330"/>
        <v>5.7849999999999999E-2</v>
      </c>
      <c r="BB505" s="78">
        <f t="shared" si="331"/>
        <v>5.7849999999999999E-2</v>
      </c>
      <c r="BC505" s="78">
        <f t="shared" si="332"/>
        <v>5.7849999999999999E-2</v>
      </c>
      <c r="BD505" s="78">
        <f t="shared" si="333"/>
        <v>5.7849999999999999E-2</v>
      </c>
      <c r="BE505" s="78">
        <f t="shared" si="334"/>
        <v>5.7849999999999999E-2</v>
      </c>
      <c r="BF505" s="78">
        <f t="shared" si="335"/>
        <v>5.7849999999999999E-2</v>
      </c>
      <c r="BG505" s="78">
        <f t="shared" si="336"/>
        <v>5.7849999999999999E-2</v>
      </c>
      <c r="BH505" s="78">
        <f t="shared" si="337"/>
        <v>5.7849999999999999E-2</v>
      </c>
      <c r="BI505" s="78">
        <f t="shared" si="338"/>
        <v>5.7849999999999999E-2</v>
      </c>
      <c r="BJ505" s="78">
        <f t="shared" si="339"/>
        <v>5.7849999999999999E-2</v>
      </c>
      <c r="BK505" s="78">
        <f t="shared" si="340"/>
        <v>5.7849999999999999E-2</v>
      </c>
      <c r="BL505" s="78">
        <f t="shared" si="341"/>
        <v>5.7849999999999999E-2</v>
      </c>
      <c r="BM505" s="78">
        <f t="shared" si="342"/>
        <v>5.7849999999999999E-2</v>
      </c>
      <c r="BN505" s="78">
        <f t="shared" si="343"/>
        <v>5.7849999999999999E-2</v>
      </c>
      <c r="BO505" s="78">
        <f t="shared" si="344"/>
        <v>5.7849999999999999E-2</v>
      </c>
      <c r="BP505" s="78">
        <f t="shared" si="345"/>
        <v>5.7849999999999999E-2</v>
      </c>
      <c r="BQ505" s="78">
        <f t="shared" si="346"/>
        <v>5.7849999999999999E-2</v>
      </c>
      <c r="BR505" s="78">
        <f t="shared" si="347"/>
        <v>5.7849999999999999E-2</v>
      </c>
      <c r="BS505" s="77"/>
      <c r="BT505" s="77"/>
    </row>
    <row r="506" spans="1:72" ht="14.1" customHeight="1" x14ac:dyDescent="0.2">
      <c r="A506" s="55" t="str">
        <f t="shared" si="318"/>
        <v>GDS-1 (Residential)_Rider QIP (Qualifying Infrastructure Plant)</v>
      </c>
      <c r="B506" s="80" t="s">
        <v>95</v>
      </c>
      <c r="C506" s="83" t="s">
        <v>887</v>
      </c>
      <c r="D506" s="150" t="s">
        <v>609</v>
      </c>
      <c r="E506" s="81"/>
      <c r="F506" s="73" t="s">
        <v>649</v>
      </c>
      <c r="G506" s="73">
        <v>0</v>
      </c>
      <c r="H506" s="73">
        <v>6</v>
      </c>
      <c r="I506" s="74" t="s">
        <v>641</v>
      </c>
      <c r="J506" s="75" t="s">
        <v>634</v>
      </c>
      <c r="K506" s="74"/>
      <c r="L506" s="82">
        <v>8.5299999999999994</v>
      </c>
      <c r="M506" s="138">
        <v>0</v>
      </c>
      <c r="N506" s="138">
        <v>0</v>
      </c>
      <c r="O506" s="138">
        <v>0</v>
      </c>
      <c r="P506" s="138">
        <v>0.77</v>
      </c>
      <c r="Q506" s="138">
        <v>1.1399999999999999</v>
      </c>
      <c r="R506" s="138">
        <v>1.4</v>
      </c>
      <c r="S506" s="138">
        <v>1.55</v>
      </c>
      <c r="T506" s="138">
        <v>1.57</v>
      </c>
      <c r="U506" s="138">
        <v>1.54</v>
      </c>
      <c r="V506" s="138">
        <v>1.35</v>
      </c>
      <c r="W506" s="138">
        <v>1.35</v>
      </c>
      <c r="X506" s="138">
        <v>1.35</v>
      </c>
      <c r="Y506" s="138">
        <f t="shared" si="348"/>
        <v>1.35</v>
      </c>
      <c r="Z506" s="138">
        <f t="shared" si="349"/>
        <v>1.35</v>
      </c>
      <c r="AA506" s="138">
        <f t="shared" si="350"/>
        <v>1.35</v>
      </c>
      <c r="AB506" s="138">
        <f t="shared" si="351"/>
        <v>1.35</v>
      </c>
      <c r="AC506" s="138">
        <f t="shared" si="352"/>
        <v>1.35</v>
      </c>
      <c r="AD506" s="138">
        <f t="shared" si="353"/>
        <v>1.35</v>
      </c>
      <c r="AE506" s="138">
        <f t="shared" si="354"/>
        <v>1.35</v>
      </c>
      <c r="AF506" s="138">
        <f t="shared" si="355"/>
        <v>1.35</v>
      </c>
      <c r="AG506" s="138">
        <f t="shared" si="356"/>
        <v>1.35</v>
      </c>
      <c r="AH506" s="138">
        <f t="shared" si="357"/>
        <v>1.35</v>
      </c>
      <c r="AI506" s="138">
        <f t="shared" si="358"/>
        <v>1.35</v>
      </c>
      <c r="AJ506" s="138">
        <f t="shared" si="359"/>
        <v>1.35</v>
      </c>
      <c r="AK506" s="138">
        <f t="shared" si="360"/>
        <v>1.35</v>
      </c>
      <c r="AL506" s="138">
        <f t="shared" si="361"/>
        <v>1.3499999999999999</v>
      </c>
      <c r="AM506" s="138">
        <f t="shared" si="362"/>
        <v>1.2320833333333339</v>
      </c>
      <c r="AO506" s="77" t="str">
        <f t="shared" si="319"/>
        <v>GDS-1 (Residential)</v>
      </c>
      <c r="AP506" s="78" t="s">
        <v>668</v>
      </c>
      <c r="AQ506" s="77" t="str">
        <f t="shared" si="320"/>
        <v>Rider QIP (Qualifying Infrastructure Plant)</v>
      </c>
      <c r="AR506" s="78" t="str">
        <f t="shared" si="321"/>
        <v>Billing Cycle</v>
      </c>
      <c r="AS506" s="79">
        <f t="shared" si="322"/>
        <v>6</v>
      </c>
      <c r="AT506" s="78">
        <f t="shared" si="323"/>
        <v>9</v>
      </c>
      <c r="AU506" s="78">
        <f t="shared" si="324"/>
        <v>0</v>
      </c>
      <c r="AV506" s="78">
        <f t="shared" si="325"/>
        <v>0</v>
      </c>
      <c r="AW506" s="78">
        <f t="shared" si="326"/>
        <v>0</v>
      </c>
      <c r="AX506" s="78">
        <f t="shared" si="327"/>
        <v>0.77</v>
      </c>
      <c r="AY506" s="78">
        <f t="shared" si="328"/>
        <v>1.1399999999999999</v>
      </c>
      <c r="AZ506" s="78">
        <f t="shared" si="329"/>
        <v>1.4</v>
      </c>
      <c r="BA506" s="78">
        <f t="shared" si="330"/>
        <v>1.55</v>
      </c>
      <c r="BB506" s="78">
        <f t="shared" si="331"/>
        <v>1.57</v>
      </c>
      <c r="BC506" s="78">
        <f t="shared" si="332"/>
        <v>1.54</v>
      </c>
      <c r="BD506" s="78">
        <f t="shared" si="333"/>
        <v>1.35</v>
      </c>
      <c r="BE506" s="78">
        <f t="shared" si="334"/>
        <v>1.35</v>
      </c>
      <c r="BF506" s="78">
        <f t="shared" si="335"/>
        <v>1.35</v>
      </c>
      <c r="BG506" s="78">
        <f t="shared" si="336"/>
        <v>1.35</v>
      </c>
      <c r="BH506" s="78">
        <f t="shared" si="337"/>
        <v>1.35</v>
      </c>
      <c r="BI506" s="78">
        <f t="shared" si="338"/>
        <v>1.35</v>
      </c>
      <c r="BJ506" s="78">
        <f t="shared" si="339"/>
        <v>1.35</v>
      </c>
      <c r="BK506" s="78">
        <f t="shared" si="340"/>
        <v>1.35</v>
      </c>
      <c r="BL506" s="78">
        <f t="shared" si="341"/>
        <v>1.35</v>
      </c>
      <c r="BM506" s="78">
        <f t="shared" si="342"/>
        <v>1.35</v>
      </c>
      <c r="BN506" s="78">
        <f t="shared" si="343"/>
        <v>1.35</v>
      </c>
      <c r="BO506" s="78">
        <f t="shared" si="344"/>
        <v>1.35</v>
      </c>
      <c r="BP506" s="78">
        <f t="shared" si="345"/>
        <v>1.35</v>
      </c>
      <c r="BQ506" s="78">
        <f t="shared" si="346"/>
        <v>1.35</v>
      </c>
      <c r="BR506" s="78">
        <f t="shared" si="347"/>
        <v>1.35</v>
      </c>
      <c r="BS506" s="77"/>
      <c r="BT506" s="77"/>
    </row>
    <row r="507" spans="1:72" ht="14.1" customHeight="1" x14ac:dyDescent="0.2">
      <c r="A507" s="55" t="str">
        <f t="shared" si="318"/>
        <v>GDS-2 (Small General Delivery)_Rider QIP (Qualifying Infrastructure Plant)</v>
      </c>
      <c r="B507" s="80" t="s">
        <v>669</v>
      </c>
      <c r="C507" s="83" t="s">
        <v>887</v>
      </c>
      <c r="D507" s="150"/>
      <c r="E507" s="81"/>
      <c r="F507" s="73" t="s">
        <v>649</v>
      </c>
      <c r="G507" s="73">
        <v>0</v>
      </c>
      <c r="H507" s="73">
        <v>6</v>
      </c>
      <c r="I507" s="74" t="s">
        <v>641</v>
      </c>
      <c r="J507" s="75" t="s">
        <v>634</v>
      </c>
      <c r="K507" s="74"/>
      <c r="L507" s="82">
        <v>8.5299999999999994</v>
      </c>
      <c r="M507" s="138">
        <v>0</v>
      </c>
      <c r="N507" s="138">
        <v>0</v>
      </c>
      <c r="O507" s="138">
        <v>0</v>
      </c>
      <c r="P507" s="138">
        <v>0.77</v>
      </c>
      <c r="Q507" s="138">
        <v>1.1399999999999999</v>
      </c>
      <c r="R507" s="138">
        <v>1.4</v>
      </c>
      <c r="S507" s="138">
        <v>1.55</v>
      </c>
      <c r="T507" s="138">
        <v>1.57</v>
      </c>
      <c r="U507" s="138">
        <v>1.54</v>
      </c>
      <c r="V507" s="138">
        <v>1.35</v>
      </c>
      <c r="W507" s="138">
        <v>1.35</v>
      </c>
      <c r="X507" s="138">
        <v>1.35</v>
      </c>
      <c r="Y507" s="138">
        <f t="shared" si="348"/>
        <v>1.35</v>
      </c>
      <c r="Z507" s="138">
        <f t="shared" si="349"/>
        <v>1.35</v>
      </c>
      <c r="AA507" s="138">
        <f t="shared" si="350"/>
        <v>1.35</v>
      </c>
      <c r="AB507" s="138">
        <f t="shared" si="351"/>
        <v>1.35</v>
      </c>
      <c r="AC507" s="138">
        <f t="shared" si="352"/>
        <v>1.35</v>
      </c>
      <c r="AD507" s="138">
        <f t="shared" si="353"/>
        <v>1.35</v>
      </c>
      <c r="AE507" s="138">
        <f t="shared" si="354"/>
        <v>1.35</v>
      </c>
      <c r="AF507" s="138">
        <f t="shared" si="355"/>
        <v>1.35</v>
      </c>
      <c r="AG507" s="138">
        <f t="shared" si="356"/>
        <v>1.35</v>
      </c>
      <c r="AH507" s="138">
        <f t="shared" si="357"/>
        <v>1.35</v>
      </c>
      <c r="AI507" s="138">
        <f t="shared" si="358"/>
        <v>1.35</v>
      </c>
      <c r="AJ507" s="138">
        <f t="shared" si="359"/>
        <v>1.35</v>
      </c>
      <c r="AK507" s="138">
        <f t="shared" si="360"/>
        <v>1.35</v>
      </c>
      <c r="AL507" s="138">
        <f t="shared" si="361"/>
        <v>1.3499999999999999</v>
      </c>
      <c r="AM507" s="138">
        <f t="shared" si="362"/>
        <v>1.2320833333333339</v>
      </c>
      <c r="AO507" s="77" t="str">
        <f t="shared" si="319"/>
        <v>GDS-2 (Small General Delivery)</v>
      </c>
      <c r="AP507" s="78" t="s">
        <v>670</v>
      </c>
      <c r="AQ507" s="77" t="str">
        <f t="shared" si="320"/>
        <v>Rider QIP (Qualifying Infrastructure Plant)</v>
      </c>
      <c r="AR507" s="78" t="str">
        <f t="shared" si="321"/>
        <v>Billing Cycle</v>
      </c>
      <c r="AS507" s="79">
        <f t="shared" si="322"/>
        <v>6</v>
      </c>
      <c r="AT507" s="78">
        <f t="shared" si="323"/>
        <v>9</v>
      </c>
      <c r="AU507" s="78">
        <f t="shared" si="324"/>
        <v>0</v>
      </c>
      <c r="AV507" s="78">
        <f t="shared" si="325"/>
        <v>0</v>
      </c>
      <c r="AW507" s="78">
        <f t="shared" si="326"/>
        <v>0</v>
      </c>
      <c r="AX507" s="78">
        <f t="shared" si="327"/>
        <v>0.77</v>
      </c>
      <c r="AY507" s="78">
        <f t="shared" si="328"/>
        <v>1.1399999999999999</v>
      </c>
      <c r="AZ507" s="78">
        <f t="shared" si="329"/>
        <v>1.4</v>
      </c>
      <c r="BA507" s="78">
        <f t="shared" si="330"/>
        <v>1.55</v>
      </c>
      <c r="BB507" s="78">
        <f t="shared" si="331"/>
        <v>1.57</v>
      </c>
      <c r="BC507" s="78">
        <f t="shared" si="332"/>
        <v>1.54</v>
      </c>
      <c r="BD507" s="78">
        <f t="shared" si="333"/>
        <v>1.35</v>
      </c>
      <c r="BE507" s="78">
        <f t="shared" si="334"/>
        <v>1.35</v>
      </c>
      <c r="BF507" s="78">
        <f t="shared" si="335"/>
        <v>1.35</v>
      </c>
      <c r="BG507" s="78">
        <f t="shared" si="336"/>
        <v>1.35</v>
      </c>
      <c r="BH507" s="78">
        <f t="shared" si="337"/>
        <v>1.35</v>
      </c>
      <c r="BI507" s="78">
        <f t="shared" si="338"/>
        <v>1.35</v>
      </c>
      <c r="BJ507" s="78">
        <f t="shared" si="339"/>
        <v>1.35</v>
      </c>
      <c r="BK507" s="78">
        <f t="shared" si="340"/>
        <v>1.35</v>
      </c>
      <c r="BL507" s="78">
        <f t="shared" si="341"/>
        <v>1.35</v>
      </c>
      <c r="BM507" s="78">
        <f t="shared" si="342"/>
        <v>1.35</v>
      </c>
      <c r="BN507" s="78">
        <f t="shared" si="343"/>
        <v>1.35</v>
      </c>
      <c r="BO507" s="78">
        <f t="shared" si="344"/>
        <v>1.35</v>
      </c>
      <c r="BP507" s="78">
        <f t="shared" si="345"/>
        <v>1.35</v>
      </c>
      <c r="BQ507" s="78">
        <f t="shared" si="346"/>
        <v>1.35</v>
      </c>
      <c r="BR507" s="78">
        <f t="shared" si="347"/>
        <v>1.35</v>
      </c>
      <c r="BS507" s="77"/>
      <c r="BT507" s="77"/>
    </row>
    <row r="508" spans="1:72" ht="14.1" customHeight="1" x14ac:dyDescent="0.2">
      <c r="A508" s="55" t="str">
        <f t="shared" si="318"/>
        <v>GDS-3 (Intermediate General Delivery)_Rider QIP (Qualifying Infrastructure Plant)</v>
      </c>
      <c r="B508" s="80" t="s">
        <v>671</v>
      </c>
      <c r="C508" s="83" t="s">
        <v>887</v>
      </c>
      <c r="D508" s="150"/>
      <c r="E508" s="81"/>
      <c r="F508" s="73" t="s">
        <v>649</v>
      </c>
      <c r="G508" s="73">
        <v>0</v>
      </c>
      <c r="H508" s="73">
        <v>6</v>
      </c>
      <c r="I508" s="74" t="s">
        <v>641</v>
      </c>
      <c r="J508" s="75" t="s">
        <v>634</v>
      </c>
      <c r="K508" s="74"/>
      <c r="L508" s="82">
        <v>8.5299999999999994</v>
      </c>
      <c r="M508" s="138">
        <v>0</v>
      </c>
      <c r="N508" s="138">
        <v>0</v>
      </c>
      <c r="O508" s="138">
        <v>0</v>
      </c>
      <c r="P508" s="138">
        <v>0.77</v>
      </c>
      <c r="Q508" s="138">
        <v>1.1399999999999999</v>
      </c>
      <c r="R508" s="138">
        <v>1.4</v>
      </c>
      <c r="S508" s="138">
        <v>1.55</v>
      </c>
      <c r="T508" s="138">
        <v>1.57</v>
      </c>
      <c r="U508" s="138">
        <v>1.54</v>
      </c>
      <c r="V508" s="138">
        <v>1.35</v>
      </c>
      <c r="W508" s="138">
        <v>1.35</v>
      </c>
      <c r="X508" s="138">
        <v>1.35</v>
      </c>
      <c r="Y508" s="138">
        <f t="shared" si="348"/>
        <v>1.35</v>
      </c>
      <c r="Z508" s="138">
        <f t="shared" si="349"/>
        <v>1.35</v>
      </c>
      <c r="AA508" s="138">
        <f t="shared" si="350"/>
        <v>1.35</v>
      </c>
      <c r="AB508" s="138">
        <f t="shared" si="351"/>
        <v>1.35</v>
      </c>
      <c r="AC508" s="138">
        <f t="shared" si="352"/>
        <v>1.35</v>
      </c>
      <c r="AD508" s="138">
        <f t="shared" si="353"/>
        <v>1.35</v>
      </c>
      <c r="AE508" s="138">
        <f t="shared" si="354"/>
        <v>1.35</v>
      </c>
      <c r="AF508" s="138">
        <f t="shared" si="355"/>
        <v>1.35</v>
      </c>
      <c r="AG508" s="138">
        <f t="shared" si="356"/>
        <v>1.35</v>
      </c>
      <c r="AH508" s="138">
        <f t="shared" si="357"/>
        <v>1.35</v>
      </c>
      <c r="AI508" s="138">
        <f t="shared" si="358"/>
        <v>1.35</v>
      </c>
      <c r="AJ508" s="138">
        <f t="shared" si="359"/>
        <v>1.35</v>
      </c>
      <c r="AK508" s="138">
        <f t="shared" si="360"/>
        <v>1.35</v>
      </c>
      <c r="AL508" s="138">
        <f t="shared" si="361"/>
        <v>1.3499999999999999</v>
      </c>
      <c r="AM508" s="138">
        <f t="shared" si="362"/>
        <v>1.2320833333333339</v>
      </c>
      <c r="AO508" s="77" t="str">
        <f t="shared" si="319"/>
        <v>GDS-3 (Intermediate General Delivery)</v>
      </c>
      <c r="AP508" s="78" t="s">
        <v>672</v>
      </c>
      <c r="AQ508" s="77" t="str">
        <f t="shared" si="320"/>
        <v>Rider QIP (Qualifying Infrastructure Plant)</v>
      </c>
      <c r="AR508" s="78" t="str">
        <f t="shared" si="321"/>
        <v>Billing Cycle</v>
      </c>
      <c r="AS508" s="79">
        <f t="shared" si="322"/>
        <v>6</v>
      </c>
      <c r="AT508" s="78">
        <f t="shared" si="323"/>
        <v>9</v>
      </c>
      <c r="AU508" s="78">
        <f t="shared" si="324"/>
        <v>0</v>
      </c>
      <c r="AV508" s="78">
        <f t="shared" si="325"/>
        <v>0</v>
      </c>
      <c r="AW508" s="78">
        <f t="shared" si="326"/>
        <v>0</v>
      </c>
      <c r="AX508" s="78">
        <f t="shared" si="327"/>
        <v>0.77</v>
      </c>
      <c r="AY508" s="78">
        <f t="shared" si="328"/>
        <v>1.1399999999999999</v>
      </c>
      <c r="AZ508" s="78">
        <f t="shared" si="329"/>
        <v>1.4</v>
      </c>
      <c r="BA508" s="78">
        <f t="shared" si="330"/>
        <v>1.55</v>
      </c>
      <c r="BB508" s="78">
        <f t="shared" si="331"/>
        <v>1.57</v>
      </c>
      <c r="BC508" s="78">
        <f t="shared" si="332"/>
        <v>1.54</v>
      </c>
      <c r="BD508" s="78">
        <f t="shared" si="333"/>
        <v>1.35</v>
      </c>
      <c r="BE508" s="78">
        <f t="shared" si="334"/>
        <v>1.35</v>
      </c>
      <c r="BF508" s="78">
        <f t="shared" si="335"/>
        <v>1.35</v>
      </c>
      <c r="BG508" s="78">
        <f t="shared" si="336"/>
        <v>1.35</v>
      </c>
      <c r="BH508" s="78">
        <f t="shared" si="337"/>
        <v>1.35</v>
      </c>
      <c r="BI508" s="78">
        <f t="shared" si="338"/>
        <v>1.35</v>
      </c>
      <c r="BJ508" s="78">
        <f t="shared" si="339"/>
        <v>1.35</v>
      </c>
      <c r="BK508" s="78">
        <f t="shared" si="340"/>
        <v>1.35</v>
      </c>
      <c r="BL508" s="78">
        <f t="shared" si="341"/>
        <v>1.35</v>
      </c>
      <c r="BM508" s="78">
        <f t="shared" si="342"/>
        <v>1.35</v>
      </c>
      <c r="BN508" s="78">
        <f t="shared" si="343"/>
        <v>1.35</v>
      </c>
      <c r="BO508" s="78">
        <f t="shared" si="344"/>
        <v>1.35</v>
      </c>
      <c r="BP508" s="78">
        <f t="shared" si="345"/>
        <v>1.35</v>
      </c>
      <c r="BQ508" s="78">
        <f t="shared" si="346"/>
        <v>1.35</v>
      </c>
      <c r="BR508" s="78">
        <f t="shared" si="347"/>
        <v>1.35</v>
      </c>
      <c r="BS508" s="77"/>
      <c r="BT508" s="77"/>
    </row>
    <row r="509" spans="1:72" ht="14.1" customHeight="1" x14ac:dyDescent="0.2">
      <c r="A509" s="55" t="str">
        <f t="shared" si="318"/>
        <v>GDS-4 (Large General Delivery)_Rider QIP (Qualifying Infrastructure Plant)</v>
      </c>
      <c r="B509" s="80" t="s">
        <v>673</v>
      </c>
      <c r="C509" s="83" t="s">
        <v>887</v>
      </c>
      <c r="D509" s="150"/>
      <c r="E509" s="81"/>
      <c r="F509" s="73" t="s">
        <v>649</v>
      </c>
      <c r="G509" s="73">
        <v>0</v>
      </c>
      <c r="H509" s="73">
        <v>6</v>
      </c>
      <c r="I509" s="74" t="s">
        <v>641</v>
      </c>
      <c r="J509" s="75" t="s">
        <v>634</v>
      </c>
      <c r="K509" s="74"/>
      <c r="L509" s="82">
        <v>8.5299999999999994</v>
      </c>
      <c r="M509" s="138">
        <v>0</v>
      </c>
      <c r="N509" s="138">
        <v>0</v>
      </c>
      <c r="O509" s="138">
        <v>0</v>
      </c>
      <c r="P509" s="138">
        <v>0.77</v>
      </c>
      <c r="Q509" s="138">
        <v>1.1399999999999999</v>
      </c>
      <c r="R509" s="138">
        <v>1.4</v>
      </c>
      <c r="S509" s="138">
        <v>1.55</v>
      </c>
      <c r="T509" s="138">
        <v>1.57</v>
      </c>
      <c r="U509" s="138">
        <v>1.54</v>
      </c>
      <c r="V509" s="138">
        <v>1.35</v>
      </c>
      <c r="W509" s="138">
        <v>1.35</v>
      </c>
      <c r="X509" s="138">
        <v>1.35</v>
      </c>
      <c r="Y509" s="138">
        <f t="shared" si="348"/>
        <v>1.35</v>
      </c>
      <c r="Z509" s="138">
        <f t="shared" si="349"/>
        <v>1.35</v>
      </c>
      <c r="AA509" s="138">
        <f t="shared" si="350"/>
        <v>1.35</v>
      </c>
      <c r="AB509" s="138">
        <f t="shared" si="351"/>
        <v>1.35</v>
      </c>
      <c r="AC509" s="138">
        <f t="shared" si="352"/>
        <v>1.35</v>
      </c>
      <c r="AD509" s="138">
        <f t="shared" si="353"/>
        <v>1.35</v>
      </c>
      <c r="AE509" s="138">
        <f t="shared" si="354"/>
        <v>1.35</v>
      </c>
      <c r="AF509" s="138">
        <f t="shared" si="355"/>
        <v>1.35</v>
      </c>
      <c r="AG509" s="138">
        <f t="shared" si="356"/>
        <v>1.35</v>
      </c>
      <c r="AH509" s="138">
        <f t="shared" si="357"/>
        <v>1.35</v>
      </c>
      <c r="AI509" s="138">
        <f t="shared" si="358"/>
        <v>1.35</v>
      </c>
      <c r="AJ509" s="138">
        <f t="shared" si="359"/>
        <v>1.35</v>
      </c>
      <c r="AK509" s="138">
        <f t="shared" si="360"/>
        <v>1.35</v>
      </c>
      <c r="AL509" s="138">
        <f t="shared" si="361"/>
        <v>1.3499999999999999</v>
      </c>
      <c r="AM509" s="138">
        <f t="shared" si="362"/>
        <v>1.2320833333333339</v>
      </c>
      <c r="AO509" s="77" t="str">
        <f t="shared" si="319"/>
        <v>GDS-4 (Large General Delivery)</v>
      </c>
      <c r="AP509" s="78" t="s">
        <v>674</v>
      </c>
      <c r="AQ509" s="77" t="str">
        <f t="shared" si="320"/>
        <v>Rider QIP (Qualifying Infrastructure Plant)</v>
      </c>
      <c r="AR509" s="78" t="str">
        <f t="shared" si="321"/>
        <v>Billing Cycle</v>
      </c>
      <c r="AS509" s="79">
        <f t="shared" si="322"/>
        <v>6</v>
      </c>
      <c r="AT509" s="78">
        <f t="shared" si="323"/>
        <v>9</v>
      </c>
      <c r="AU509" s="78">
        <f t="shared" si="324"/>
        <v>0</v>
      </c>
      <c r="AV509" s="78">
        <f t="shared" si="325"/>
        <v>0</v>
      </c>
      <c r="AW509" s="78">
        <f t="shared" si="326"/>
        <v>0</v>
      </c>
      <c r="AX509" s="78">
        <f t="shared" si="327"/>
        <v>0.77</v>
      </c>
      <c r="AY509" s="78">
        <f t="shared" si="328"/>
        <v>1.1399999999999999</v>
      </c>
      <c r="AZ509" s="78">
        <f t="shared" si="329"/>
        <v>1.4</v>
      </c>
      <c r="BA509" s="78">
        <f t="shared" si="330"/>
        <v>1.55</v>
      </c>
      <c r="BB509" s="78">
        <f t="shared" si="331"/>
        <v>1.57</v>
      </c>
      <c r="BC509" s="78">
        <f t="shared" si="332"/>
        <v>1.54</v>
      </c>
      <c r="BD509" s="78">
        <f t="shared" si="333"/>
        <v>1.35</v>
      </c>
      <c r="BE509" s="78">
        <f t="shared" si="334"/>
        <v>1.35</v>
      </c>
      <c r="BF509" s="78">
        <f t="shared" si="335"/>
        <v>1.35</v>
      </c>
      <c r="BG509" s="78">
        <f t="shared" si="336"/>
        <v>1.35</v>
      </c>
      <c r="BH509" s="78">
        <f t="shared" si="337"/>
        <v>1.35</v>
      </c>
      <c r="BI509" s="78">
        <f t="shared" si="338"/>
        <v>1.35</v>
      </c>
      <c r="BJ509" s="78">
        <f t="shared" si="339"/>
        <v>1.35</v>
      </c>
      <c r="BK509" s="78">
        <f t="shared" si="340"/>
        <v>1.35</v>
      </c>
      <c r="BL509" s="78">
        <f t="shared" si="341"/>
        <v>1.35</v>
      </c>
      <c r="BM509" s="78">
        <f t="shared" si="342"/>
        <v>1.35</v>
      </c>
      <c r="BN509" s="78">
        <f t="shared" si="343"/>
        <v>1.35</v>
      </c>
      <c r="BO509" s="78">
        <f t="shared" si="344"/>
        <v>1.35</v>
      </c>
      <c r="BP509" s="78">
        <f t="shared" si="345"/>
        <v>1.35</v>
      </c>
      <c r="BQ509" s="78">
        <f t="shared" si="346"/>
        <v>1.35</v>
      </c>
      <c r="BR509" s="78">
        <f t="shared" si="347"/>
        <v>1.35</v>
      </c>
      <c r="BS509" s="77"/>
      <c r="BT509" s="77"/>
    </row>
    <row r="510" spans="1:72" ht="14.1" customHeight="1" x14ac:dyDescent="0.2">
      <c r="A510" s="55" t="str">
        <f t="shared" si="318"/>
        <v>GDS-5 (Seasonal)_Rider QIP (Qualifying Infrastructure Plant)</v>
      </c>
      <c r="B510" s="80" t="s">
        <v>675</v>
      </c>
      <c r="C510" s="83" t="s">
        <v>887</v>
      </c>
      <c r="D510" s="150"/>
      <c r="E510" s="81"/>
      <c r="F510" s="73" t="s">
        <v>649</v>
      </c>
      <c r="G510" s="73">
        <v>0</v>
      </c>
      <c r="H510" s="73">
        <v>6</v>
      </c>
      <c r="I510" s="74" t="s">
        <v>641</v>
      </c>
      <c r="J510" s="75" t="s">
        <v>634</v>
      </c>
      <c r="K510" s="74"/>
      <c r="L510" s="82">
        <v>8.5299999999999994</v>
      </c>
      <c r="M510" s="138">
        <v>0</v>
      </c>
      <c r="N510" s="138">
        <v>0</v>
      </c>
      <c r="O510" s="138">
        <v>0</v>
      </c>
      <c r="P510" s="138">
        <v>0.77</v>
      </c>
      <c r="Q510" s="138">
        <v>1.1399999999999999</v>
      </c>
      <c r="R510" s="138">
        <v>1.4</v>
      </c>
      <c r="S510" s="138">
        <v>1.55</v>
      </c>
      <c r="T510" s="138">
        <v>1.57</v>
      </c>
      <c r="U510" s="138">
        <v>1.54</v>
      </c>
      <c r="V510" s="138">
        <v>1.35</v>
      </c>
      <c r="W510" s="138">
        <v>1.35</v>
      </c>
      <c r="X510" s="138">
        <v>1.35</v>
      </c>
      <c r="Y510" s="138">
        <f t="shared" si="348"/>
        <v>1.35</v>
      </c>
      <c r="Z510" s="138">
        <f t="shared" si="349"/>
        <v>1.35</v>
      </c>
      <c r="AA510" s="138">
        <f t="shared" si="350"/>
        <v>1.35</v>
      </c>
      <c r="AB510" s="138">
        <f t="shared" si="351"/>
        <v>1.35</v>
      </c>
      <c r="AC510" s="138">
        <f t="shared" si="352"/>
        <v>1.35</v>
      </c>
      <c r="AD510" s="138">
        <f t="shared" si="353"/>
        <v>1.35</v>
      </c>
      <c r="AE510" s="138">
        <f t="shared" si="354"/>
        <v>1.35</v>
      </c>
      <c r="AF510" s="138">
        <f t="shared" si="355"/>
        <v>1.35</v>
      </c>
      <c r="AG510" s="138">
        <f t="shared" si="356"/>
        <v>1.35</v>
      </c>
      <c r="AH510" s="138">
        <f t="shared" si="357"/>
        <v>1.35</v>
      </c>
      <c r="AI510" s="138">
        <f t="shared" si="358"/>
        <v>1.35</v>
      </c>
      <c r="AJ510" s="138">
        <f t="shared" si="359"/>
        <v>1.35</v>
      </c>
      <c r="AK510" s="138">
        <f t="shared" si="360"/>
        <v>1.35</v>
      </c>
      <c r="AL510" s="138">
        <f t="shared" si="361"/>
        <v>1.3499999999999999</v>
      </c>
      <c r="AM510" s="138">
        <f t="shared" si="362"/>
        <v>1.2320833333333339</v>
      </c>
      <c r="AO510" s="77" t="str">
        <f t="shared" si="319"/>
        <v>GDS-5 (Seasonal)</v>
      </c>
      <c r="AP510" s="78" t="s">
        <v>676</v>
      </c>
      <c r="AQ510" s="77" t="str">
        <f t="shared" si="320"/>
        <v>Rider QIP (Qualifying Infrastructure Plant)</v>
      </c>
      <c r="AR510" s="78" t="str">
        <f t="shared" si="321"/>
        <v>Billing Cycle</v>
      </c>
      <c r="AS510" s="79">
        <f t="shared" si="322"/>
        <v>6</v>
      </c>
      <c r="AT510" s="78">
        <f t="shared" si="323"/>
        <v>9</v>
      </c>
      <c r="AU510" s="78">
        <f t="shared" si="324"/>
        <v>0</v>
      </c>
      <c r="AV510" s="78">
        <f t="shared" si="325"/>
        <v>0</v>
      </c>
      <c r="AW510" s="78">
        <f t="shared" si="326"/>
        <v>0</v>
      </c>
      <c r="AX510" s="78">
        <f t="shared" si="327"/>
        <v>0.77</v>
      </c>
      <c r="AY510" s="78">
        <f t="shared" si="328"/>
        <v>1.1399999999999999</v>
      </c>
      <c r="AZ510" s="78">
        <f t="shared" si="329"/>
        <v>1.4</v>
      </c>
      <c r="BA510" s="78">
        <f t="shared" si="330"/>
        <v>1.55</v>
      </c>
      <c r="BB510" s="78">
        <f t="shared" si="331"/>
        <v>1.57</v>
      </c>
      <c r="BC510" s="78">
        <f t="shared" si="332"/>
        <v>1.54</v>
      </c>
      <c r="BD510" s="78">
        <f t="shared" si="333"/>
        <v>1.35</v>
      </c>
      <c r="BE510" s="78">
        <f t="shared" si="334"/>
        <v>1.35</v>
      </c>
      <c r="BF510" s="78">
        <f t="shared" si="335"/>
        <v>1.35</v>
      </c>
      <c r="BG510" s="78">
        <f t="shared" si="336"/>
        <v>1.35</v>
      </c>
      <c r="BH510" s="78">
        <f t="shared" si="337"/>
        <v>1.35</v>
      </c>
      <c r="BI510" s="78">
        <f t="shared" si="338"/>
        <v>1.35</v>
      </c>
      <c r="BJ510" s="78">
        <f t="shared" si="339"/>
        <v>1.35</v>
      </c>
      <c r="BK510" s="78">
        <f t="shared" si="340"/>
        <v>1.35</v>
      </c>
      <c r="BL510" s="78">
        <f t="shared" si="341"/>
        <v>1.35</v>
      </c>
      <c r="BM510" s="78">
        <f t="shared" si="342"/>
        <v>1.35</v>
      </c>
      <c r="BN510" s="78">
        <f t="shared" si="343"/>
        <v>1.35</v>
      </c>
      <c r="BO510" s="78">
        <f t="shared" si="344"/>
        <v>1.35</v>
      </c>
      <c r="BP510" s="78">
        <f t="shared" si="345"/>
        <v>1.35</v>
      </c>
      <c r="BQ510" s="78">
        <f t="shared" si="346"/>
        <v>1.35</v>
      </c>
      <c r="BR510" s="78">
        <f t="shared" si="347"/>
        <v>1.35</v>
      </c>
      <c r="BS510" s="77"/>
      <c r="BT510" s="77"/>
    </row>
    <row r="511" spans="1:72" ht="14.1" customHeight="1" x14ac:dyDescent="0.2">
      <c r="A511" s="55" t="str">
        <f t="shared" si="318"/>
        <v>DS-1 (Residential)_Rider REA -Renewable Energy Assis-All Other</v>
      </c>
      <c r="B511" s="80" t="s">
        <v>90</v>
      </c>
      <c r="C511" s="71" t="s">
        <v>888</v>
      </c>
      <c r="D511" s="150"/>
      <c r="E511" s="81"/>
      <c r="F511" s="73" t="s">
        <v>649</v>
      </c>
      <c r="G511" s="73">
        <v>0</v>
      </c>
      <c r="H511" s="73">
        <v>6</v>
      </c>
      <c r="I511" s="74" t="s">
        <v>641</v>
      </c>
      <c r="J511" s="75" t="s">
        <v>634</v>
      </c>
      <c r="K511" s="74"/>
      <c r="L511" s="82">
        <v>4.5799999999999999E-3</v>
      </c>
      <c r="M511" s="138">
        <v>4.5799999999999999E-3</v>
      </c>
      <c r="N511" s="138">
        <v>4.5799999999999999E-3</v>
      </c>
      <c r="O511" s="138">
        <v>4.5799999999999999E-3</v>
      </c>
      <c r="P511" s="138">
        <v>4.5799999999999999E-3</v>
      </c>
      <c r="Q511" s="138">
        <v>4.5799999999999999E-3</v>
      </c>
      <c r="R511" s="138">
        <v>4.5799999999999999E-3</v>
      </c>
      <c r="S511" s="138">
        <v>4.5799999999999999E-3</v>
      </c>
      <c r="T511" s="138">
        <v>4.5799999999999999E-3</v>
      </c>
      <c r="U511" s="138">
        <v>4.5799999999999999E-3</v>
      </c>
      <c r="V511" s="138">
        <v>4.5799999999999999E-3</v>
      </c>
      <c r="W511" s="138">
        <v>4.5799999999999999E-3</v>
      </c>
      <c r="X511" s="138">
        <v>4.5799999999999999E-3</v>
      </c>
      <c r="Y511" s="138">
        <f t="shared" si="348"/>
        <v>4.5799999999999999E-3</v>
      </c>
      <c r="Z511" s="138">
        <f t="shared" si="349"/>
        <v>4.5799999999999999E-3</v>
      </c>
      <c r="AA511" s="138">
        <f t="shared" si="350"/>
        <v>4.5799999999999999E-3</v>
      </c>
      <c r="AB511" s="138">
        <f t="shared" si="351"/>
        <v>4.5799999999999999E-3</v>
      </c>
      <c r="AC511" s="138">
        <f t="shared" si="352"/>
        <v>4.5799999999999999E-3</v>
      </c>
      <c r="AD511" s="138">
        <f t="shared" si="353"/>
        <v>4.5799999999999999E-3</v>
      </c>
      <c r="AE511" s="138">
        <f t="shared" si="354"/>
        <v>4.5799999999999999E-3</v>
      </c>
      <c r="AF511" s="138">
        <f t="shared" si="355"/>
        <v>4.5799999999999999E-3</v>
      </c>
      <c r="AG511" s="138">
        <f t="shared" si="356"/>
        <v>4.5799999999999999E-3</v>
      </c>
      <c r="AH511" s="138">
        <f t="shared" si="357"/>
        <v>4.5799999999999999E-3</v>
      </c>
      <c r="AI511" s="138">
        <f t="shared" si="358"/>
        <v>4.5799999999999999E-3</v>
      </c>
      <c r="AJ511" s="138">
        <f t="shared" si="359"/>
        <v>4.5799999999999999E-3</v>
      </c>
      <c r="AK511" s="138">
        <f t="shared" si="360"/>
        <v>4.5799999999999999E-3</v>
      </c>
      <c r="AL511" s="138">
        <f t="shared" si="361"/>
        <v>4.5799999999999999E-3</v>
      </c>
      <c r="AM511" s="138">
        <f t="shared" si="362"/>
        <v>4.5799999999999999E-3</v>
      </c>
      <c r="AO511" s="77" t="str">
        <f t="shared" si="319"/>
        <v>DS-1 (Residential)</v>
      </c>
      <c r="AP511" s="78" t="s">
        <v>662</v>
      </c>
      <c r="AQ511" s="77" t="str">
        <f t="shared" si="320"/>
        <v>Rider REA -Renewable Energy Assis-All Other</v>
      </c>
      <c r="AR511" s="78" t="str">
        <f t="shared" si="321"/>
        <v>Billing Cycle</v>
      </c>
      <c r="AS511" s="79">
        <f t="shared" si="322"/>
        <v>6</v>
      </c>
      <c r="AT511" s="78">
        <f t="shared" si="323"/>
        <v>0</v>
      </c>
      <c r="AU511" s="78">
        <f t="shared" si="324"/>
        <v>4.5799999999999999E-3</v>
      </c>
      <c r="AV511" s="78">
        <f t="shared" si="325"/>
        <v>4.5799999999999999E-3</v>
      </c>
      <c r="AW511" s="78">
        <f t="shared" si="326"/>
        <v>4.5799999999999999E-3</v>
      </c>
      <c r="AX511" s="78">
        <f t="shared" si="327"/>
        <v>4.5799999999999999E-3</v>
      </c>
      <c r="AY511" s="78">
        <f t="shared" si="328"/>
        <v>4.5799999999999999E-3</v>
      </c>
      <c r="AZ511" s="78">
        <f t="shared" si="329"/>
        <v>4.5799999999999999E-3</v>
      </c>
      <c r="BA511" s="78">
        <f t="shared" si="330"/>
        <v>4.5799999999999999E-3</v>
      </c>
      <c r="BB511" s="78">
        <f t="shared" si="331"/>
        <v>4.5799999999999999E-3</v>
      </c>
      <c r="BC511" s="78">
        <f t="shared" si="332"/>
        <v>4.5799999999999999E-3</v>
      </c>
      <c r="BD511" s="78">
        <f t="shared" si="333"/>
        <v>4.5799999999999999E-3</v>
      </c>
      <c r="BE511" s="78">
        <f t="shared" si="334"/>
        <v>4.5799999999999999E-3</v>
      </c>
      <c r="BF511" s="78">
        <f t="shared" si="335"/>
        <v>4.5799999999999999E-3</v>
      </c>
      <c r="BG511" s="78">
        <f t="shared" si="336"/>
        <v>4.5799999999999999E-3</v>
      </c>
      <c r="BH511" s="78">
        <f t="shared" si="337"/>
        <v>4.5799999999999999E-3</v>
      </c>
      <c r="BI511" s="78">
        <f t="shared" si="338"/>
        <v>4.5799999999999999E-3</v>
      </c>
      <c r="BJ511" s="78">
        <f t="shared" si="339"/>
        <v>4.5799999999999999E-3</v>
      </c>
      <c r="BK511" s="78">
        <f t="shared" si="340"/>
        <v>4.5799999999999999E-3</v>
      </c>
      <c r="BL511" s="78">
        <f t="shared" si="341"/>
        <v>4.5799999999999999E-3</v>
      </c>
      <c r="BM511" s="78">
        <f t="shared" si="342"/>
        <v>4.5799999999999999E-3</v>
      </c>
      <c r="BN511" s="78">
        <f t="shared" si="343"/>
        <v>4.5799999999999999E-3</v>
      </c>
      <c r="BO511" s="78">
        <f t="shared" si="344"/>
        <v>4.5799999999999999E-3</v>
      </c>
      <c r="BP511" s="78">
        <f t="shared" si="345"/>
        <v>4.5799999999999999E-3</v>
      </c>
      <c r="BQ511" s="78">
        <f t="shared" si="346"/>
        <v>4.5799999999999999E-3</v>
      </c>
      <c r="BR511" s="78">
        <f t="shared" si="347"/>
        <v>4.5799999999999999E-3</v>
      </c>
      <c r="BS511" s="77"/>
      <c r="BT511" s="77"/>
    </row>
    <row r="512" spans="1:72" ht="14.1" customHeight="1" x14ac:dyDescent="0.2">
      <c r="A512" s="55" t="str">
        <f t="shared" si="318"/>
        <v>DS-2 (Small General Service)_Rider REA -Renewable Energy Assis-All Other</v>
      </c>
      <c r="B512" s="80" t="s">
        <v>665</v>
      </c>
      <c r="C512" s="71" t="s">
        <v>888</v>
      </c>
      <c r="D512" s="150"/>
      <c r="E512" s="81"/>
      <c r="F512" s="73" t="s">
        <v>649</v>
      </c>
      <c r="G512" s="73">
        <v>0</v>
      </c>
      <c r="H512" s="73">
        <v>6</v>
      </c>
      <c r="I512" s="74" t="s">
        <v>641</v>
      </c>
      <c r="J512" s="75" t="s">
        <v>634</v>
      </c>
      <c r="K512" s="74"/>
      <c r="L512" s="82">
        <v>4.5799999999999999E-3</v>
      </c>
      <c r="M512" s="138">
        <v>4.5799999999999999E-3</v>
      </c>
      <c r="N512" s="138">
        <v>4.5799999999999999E-3</v>
      </c>
      <c r="O512" s="138">
        <v>4.5799999999999999E-3</v>
      </c>
      <c r="P512" s="138">
        <v>4.5799999999999999E-3</v>
      </c>
      <c r="Q512" s="138">
        <v>4.5799999999999999E-3</v>
      </c>
      <c r="R512" s="138">
        <v>4.5799999999999999E-3</v>
      </c>
      <c r="S512" s="138">
        <v>4.5799999999999999E-3</v>
      </c>
      <c r="T512" s="138">
        <v>4.5799999999999999E-3</v>
      </c>
      <c r="U512" s="138">
        <v>4.5799999999999999E-3</v>
      </c>
      <c r="V512" s="138">
        <v>4.5799999999999999E-3</v>
      </c>
      <c r="W512" s="138">
        <v>4.5799999999999999E-3</v>
      </c>
      <c r="X512" s="138">
        <v>4.5799999999999999E-3</v>
      </c>
      <c r="Y512" s="138">
        <f t="shared" si="348"/>
        <v>4.5799999999999999E-3</v>
      </c>
      <c r="Z512" s="138">
        <f t="shared" si="349"/>
        <v>4.5799999999999999E-3</v>
      </c>
      <c r="AA512" s="138">
        <f t="shared" si="350"/>
        <v>4.5799999999999999E-3</v>
      </c>
      <c r="AB512" s="138">
        <f t="shared" si="351"/>
        <v>4.5799999999999999E-3</v>
      </c>
      <c r="AC512" s="138">
        <f t="shared" si="352"/>
        <v>4.5799999999999999E-3</v>
      </c>
      <c r="AD512" s="138">
        <f t="shared" si="353"/>
        <v>4.5799999999999999E-3</v>
      </c>
      <c r="AE512" s="138">
        <f t="shared" si="354"/>
        <v>4.5799999999999999E-3</v>
      </c>
      <c r="AF512" s="138">
        <f t="shared" si="355"/>
        <v>4.5799999999999999E-3</v>
      </c>
      <c r="AG512" s="138">
        <f t="shared" si="356"/>
        <v>4.5799999999999999E-3</v>
      </c>
      <c r="AH512" s="138">
        <f t="shared" si="357"/>
        <v>4.5799999999999999E-3</v>
      </c>
      <c r="AI512" s="138">
        <f t="shared" si="358"/>
        <v>4.5799999999999999E-3</v>
      </c>
      <c r="AJ512" s="138">
        <f t="shared" si="359"/>
        <v>4.5799999999999999E-3</v>
      </c>
      <c r="AK512" s="138">
        <f t="shared" si="360"/>
        <v>4.5799999999999999E-3</v>
      </c>
      <c r="AL512" s="138">
        <f t="shared" si="361"/>
        <v>4.5799999999999999E-3</v>
      </c>
      <c r="AM512" s="138">
        <f t="shared" si="362"/>
        <v>4.5799999999999999E-3</v>
      </c>
      <c r="AO512" s="77" t="str">
        <f t="shared" si="319"/>
        <v>DS-2 (Small General Service)</v>
      </c>
      <c r="AP512" s="78" t="s">
        <v>664</v>
      </c>
      <c r="AQ512" s="77" t="str">
        <f t="shared" si="320"/>
        <v>Rider REA -Renewable Energy Assis-All Other</v>
      </c>
      <c r="AR512" s="78" t="str">
        <f t="shared" si="321"/>
        <v>Billing Cycle</v>
      </c>
      <c r="AS512" s="79">
        <f t="shared" si="322"/>
        <v>6</v>
      </c>
      <c r="AT512" s="78">
        <f t="shared" si="323"/>
        <v>0</v>
      </c>
      <c r="AU512" s="78">
        <f t="shared" si="324"/>
        <v>4.5799999999999999E-3</v>
      </c>
      <c r="AV512" s="78">
        <f t="shared" si="325"/>
        <v>4.5799999999999999E-3</v>
      </c>
      <c r="AW512" s="78">
        <f t="shared" si="326"/>
        <v>4.5799999999999999E-3</v>
      </c>
      <c r="AX512" s="78">
        <f t="shared" si="327"/>
        <v>4.5799999999999999E-3</v>
      </c>
      <c r="AY512" s="78">
        <f t="shared" si="328"/>
        <v>4.5799999999999999E-3</v>
      </c>
      <c r="AZ512" s="78">
        <f t="shared" si="329"/>
        <v>4.5799999999999999E-3</v>
      </c>
      <c r="BA512" s="78">
        <f t="shared" si="330"/>
        <v>4.5799999999999999E-3</v>
      </c>
      <c r="BB512" s="78">
        <f t="shared" si="331"/>
        <v>4.5799999999999999E-3</v>
      </c>
      <c r="BC512" s="78">
        <f t="shared" si="332"/>
        <v>4.5799999999999999E-3</v>
      </c>
      <c r="BD512" s="78">
        <f t="shared" si="333"/>
        <v>4.5799999999999999E-3</v>
      </c>
      <c r="BE512" s="78">
        <f t="shared" si="334"/>
        <v>4.5799999999999999E-3</v>
      </c>
      <c r="BF512" s="78">
        <f t="shared" si="335"/>
        <v>4.5799999999999999E-3</v>
      </c>
      <c r="BG512" s="78">
        <f t="shared" si="336"/>
        <v>4.5799999999999999E-3</v>
      </c>
      <c r="BH512" s="78">
        <f t="shared" si="337"/>
        <v>4.5799999999999999E-3</v>
      </c>
      <c r="BI512" s="78">
        <f t="shared" si="338"/>
        <v>4.5799999999999999E-3</v>
      </c>
      <c r="BJ512" s="78">
        <f t="shared" si="339"/>
        <v>4.5799999999999999E-3</v>
      </c>
      <c r="BK512" s="78">
        <f t="shared" si="340"/>
        <v>4.5799999999999999E-3</v>
      </c>
      <c r="BL512" s="78">
        <f t="shared" si="341"/>
        <v>4.5799999999999999E-3</v>
      </c>
      <c r="BM512" s="78">
        <f t="shared" si="342"/>
        <v>4.5799999999999999E-3</v>
      </c>
      <c r="BN512" s="78">
        <f t="shared" si="343"/>
        <v>4.5799999999999999E-3</v>
      </c>
      <c r="BO512" s="78">
        <f t="shared" si="344"/>
        <v>4.5799999999999999E-3</v>
      </c>
      <c r="BP512" s="78">
        <f t="shared" si="345"/>
        <v>4.5799999999999999E-3</v>
      </c>
      <c r="BQ512" s="78">
        <f t="shared" si="346"/>
        <v>4.5799999999999999E-3</v>
      </c>
      <c r="BR512" s="78">
        <f t="shared" si="347"/>
        <v>4.5799999999999999E-3</v>
      </c>
      <c r="BS512" s="77"/>
      <c r="BT512" s="77"/>
    </row>
    <row r="513" spans="1:72" ht="14.1" customHeight="1" x14ac:dyDescent="0.2">
      <c r="A513" s="55" t="str">
        <f t="shared" si="318"/>
        <v>DS-3 (General Delivery Service)_Rider REA -Renewable Energy Assis-All Other</v>
      </c>
      <c r="B513" s="80" t="s">
        <v>666</v>
      </c>
      <c r="C513" s="71" t="s">
        <v>888</v>
      </c>
      <c r="D513" s="150"/>
      <c r="E513" s="81"/>
      <c r="F513" s="73" t="s">
        <v>649</v>
      </c>
      <c r="G513" s="73">
        <v>0</v>
      </c>
      <c r="H513" s="73">
        <v>6</v>
      </c>
      <c r="I513" s="74" t="s">
        <v>641</v>
      </c>
      <c r="J513" s="75" t="s">
        <v>634</v>
      </c>
      <c r="K513" s="74"/>
      <c r="L513" s="82">
        <v>4.5799999999999999E-3</v>
      </c>
      <c r="M513" s="138">
        <v>4.5799999999999999E-3</v>
      </c>
      <c r="N513" s="138">
        <v>4.5799999999999999E-3</v>
      </c>
      <c r="O513" s="138">
        <v>4.5799999999999999E-3</v>
      </c>
      <c r="P513" s="138">
        <v>4.5799999999999999E-3</v>
      </c>
      <c r="Q513" s="138">
        <v>4.5799999999999999E-3</v>
      </c>
      <c r="R513" s="138">
        <v>4.5799999999999999E-3</v>
      </c>
      <c r="S513" s="138">
        <v>4.5799999999999999E-3</v>
      </c>
      <c r="T513" s="138">
        <v>4.5799999999999999E-3</v>
      </c>
      <c r="U513" s="138">
        <v>4.5799999999999999E-3</v>
      </c>
      <c r="V513" s="138">
        <v>4.5799999999999999E-3</v>
      </c>
      <c r="W513" s="138">
        <v>4.5799999999999999E-3</v>
      </c>
      <c r="X513" s="138">
        <v>4.5799999999999999E-3</v>
      </c>
      <c r="Y513" s="138">
        <f t="shared" si="348"/>
        <v>4.5799999999999999E-3</v>
      </c>
      <c r="Z513" s="138">
        <f t="shared" si="349"/>
        <v>4.5799999999999999E-3</v>
      </c>
      <c r="AA513" s="138">
        <f t="shared" si="350"/>
        <v>4.5799999999999999E-3</v>
      </c>
      <c r="AB513" s="138">
        <f t="shared" si="351"/>
        <v>4.5799999999999999E-3</v>
      </c>
      <c r="AC513" s="138">
        <f t="shared" si="352"/>
        <v>4.5799999999999999E-3</v>
      </c>
      <c r="AD513" s="138">
        <f t="shared" si="353"/>
        <v>4.5799999999999999E-3</v>
      </c>
      <c r="AE513" s="138">
        <f t="shared" si="354"/>
        <v>4.5799999999999999E-3</v>
      </c>
      <c r="AF513" s="138">
        <f t="shared" si="355"/>
        <v>4.5799999999999999E-3</v>
      </c>
      <c r="AG513" s="138">
        <f t="shared" si="356"/>
        <v>4.5799999999999999E-3</v>
      </c>
      <c r="AH513" s="138">
        <f t="shared" si="357"/>
        <v>4.5799999999999999E-3</v>
      </c>
      <c r="AI513" s="138">
        <f t="shared" si="358"/>
        <v>4.5799999999999999E-3</v>
      </c>
      <c r="AJ513" s="138">
        <f t="shared" si="359"/>
        <v>4.5799999999999999E-3</v>
      </c>
      <c r="AK513" s="138">
        <f t="shared" si="360"/>
        <v>4.5799999999999999E-3</v>
      </c>
      <c r="AL513" s="138">
        <f t="shared" si="361"/>
        <v>4.5799999999999999E-3</v>
      </c>
      <c r="AM513" s="138">
        <f t="shared" si="362"/>
        <v>4.5799999999999999E-3</v>
      </c>
      <c r="AO513" s="77" t="str">
        <f t="shared" si="319"/>
        <v>DS-3 (General Delivery Service)</v>
      </c>
      <c r="AP513" s="78" t="s">
        <v>667</v>
      </c>
      <c r="AQ513" s="77" t="str">
        <f t="shared" si="320"/>
        <v>Rider REA -Renewable Energy Assis-All Other</v>
      </c>
      <c r="AR513" s="78" t="str">
        <f t="shared" si="321"/>
        <v>Billing Cycle</v>
      </c>
      <c r="AS513" s="79">
        <f t="shared" si="322"/>
        <v>6</v>
      </c>
      <c r="AT513" s="78">
        <f t="shared" si="323"/>
        <v>0</v>
      </c>
      <c r="AU513" s="78">
        <f t="shared" si="324"/>
        <v>4.5799999999999999E-3</v>
      </c>
      <c r="AV513" s="78">
        <f t="shared" si="325"/>
        <v>4.5799999999999999E-3</v>
      </c>
      <c r="AW513" s="78">
        <f t="shared" si="326"/>
        <v>4.5799999999999999E-3</v>
      </c>
      <c r="AX513" s="78">
        <f t="shared" si="327"/>
        <v>4.5799999999999999E-3</v>
      </c>
      <c r="AY513" s="78">
        <f t="shared" si="328"/>
        <v>4.5799999999999999E-3</v>
      </c>
      <c r="AZ513" s="78">
        <f t="shared" si="329"/>
        <v>4.5799999999999999E-3</v>
      </c>
      <c r="BA513" s="78">
        <f t="shared" si="330"/>
        <v>4.5799999999999999E-3</v>
      </c>
      <c r="BB513" s="78">
        <f t="shared" si="331"/>
        <v>4.5799999999999999E-3</v>
      </c>
      <c r="BC513" s="78">
        <f t="shared" si="332"/>
        <v>4.5799999999999999E-3</v>
      </c>
      <c r="BD513" s="78">
        <f t="shared" si="333"/>
        <v>4.5799999999999999E-3</v>
      </c>
      <c r="BE513" s="78">
        <f t="shared" si="334"/>
        <v>4.5799999999999999E-3</v>
      </c>
      <c r="BF513" s="78">
        <f t="shared" si="335"/>
        <v>4.5799999999999999E-3</v>
      </c>
      <c r="BG513" s="78">
        <f t="shared" si="336"/>
        <v>4.5799999999999999E-3</v>
      </c>
      <c r="BH513" s="78">
        <f t="shared" si="337"/>
        <v>4.5799999999999999E-3</v>
      </c>
      <c r="BI513" s="78">
        <f t="shared" si="338"/>
        <v>4.5799999999999999E-3</v>
      </c>
      <c r="BJ513" s="78">
        <f t="shared" si="339"/>
        <v>4.5799999999999999E-3</v>
      </c>
      <c r="BK513" s="78">
        <f t="shared" si="340"/>
        <v>4.5799999999999999E-3</v>
      </c>
      <c r="BL513" s="78">
        <f t="shared" si="341"/>
        <v>4.5799999999999999E-3</v>
      </c>
      <c r="BM513" s="78">
        <f t="shared" si="342"/>
        <v>4.5799999999999999E-3</v>
      </c>
      <c r="BN513" s="78">
        <f t="shared" si="343"/>
        <v>4.5799999999999999E-3</v>
      </c>
      <c r="BO513" s="78">
        <f t="shared" si="344"/>
        <v>4.5799999999999999E-3</v>
      </c>
      <c r="BP513" s="78">
        <f t="shared" si="345"/>
        <v>4.5799999999999999E-3</v>
      </c>
      <c r="BQ513" s="78">
        <f t="shared" si="346"/>
        <v>4.5799999999999999E-3</v>
      </c>
      <c r="BR513" s="78">
        <f t="shared" si="347"/>
        <v>4.5799999999999999E-3</v>
      </c>
      <c r="BS513" s="77">
        <v>3250</v>
      </c>
      <c r="BT513" s="77" t="s">
        <v>654</v>
      </c>
    </row>
    <row r="514" spans="1:72" ht="14.1" customHeight="1" x14ac:dyDescent="0.2">
      <c r="A514" s="55" t="str">
        <f t="shared" si="318"/>
        <v>DS-4 (Large General Service)_Rider REA -Renewable Energy Assis-All Other</v>
      </c>
      <c r="B514" s="80" t="s">
        <v>639</v>
      </c>
      <c r="C514" s="71" t="s">
        <v>888</v>
      </c>
      <c r="D514" s="150"/>
      <c r="E514" s="81"/>
      <c r="F514" s="73" t="s">
        <v>649</v>
      </c>
      <c r="G514" s="73">
        <v>0</v>
      </c>
      <c r="H514" s="73">
        <v>6</v>
      </c>
      <c r="I514" s="74" t="s">
        <v>641</v>
      </c>
      <c r="J514" s="75" t="s">
        <v>634</v>
      </c>
      <c r="K514" s="74"/>
      <c r="L514" s="82">
        <v>4.5799999999999999E-3</v>
      </c>
      <c r="M514" s="138">
        <v>4.5799999999999999E-3</v>
      </c>
      <c r="N514" s="138">
        <v>4.5799999999999999E-3</v>
      </c>
      <c r="O514" s="138">
        <v>4.5799999999999999E-3</v>
      </c>
      <c r="P514" s="138">
        <v>4.5799999999999999E-3</v>
      </c>
      <c r="Q514" s="138">
        <v>4.5799999999999999E-3</v>
      </c>
      <c r="R514" s="138">
        <v>4.5799999999999999E-3</v>
      </c>
      <c r="S514" s="138">
        <v>4.5799999999999999E-3</v>
      </c>
      <c r="T514" s="138">
        <v>4.5799999999999999E-3</v>
      </c>
      <c r="U514" s="138">
        <v>4.5799999999999999E-3</v>
      </c>
      <c r="V514" s="138">
        <v>4.5799999999999999E-3</v>
      </c>
      <c r="W514" s="138">
        <v>4.5799999999999999E-3</v>
      </c>
      <c r="X514" s="138">
        <v>4.5799999999999999E-3</v>
      </c>
      <c r="Y514" s="138">
        <f t="shared" si="348"/>
        <v>4.5799999999999999E-3</v>
      </c>
      <c r="Z514" s="138">
        <f t="shared" si="349"/>
        <v>4.5799999999999999E-3</v>
      </c>
      <c r="AA514" s="138">
        <f t="shared" si="350"/>
        <v>4.5799999999999999E-3</v>
      </c>
      <c r="AB514" s="138">
        <f t="shared" si="351"/>
        <v>4.5799999999999999E-3</v>
      </c>
      <c r="AC514" s="138">
        <f t="shared" si="352"/>
        <v>4.5799999999999999E-3</v>
      </c>
      <c r="AD514" s="138">
        <f t="shared" si="353"/>
        <v>4.5799999999999999E-3</v>
      </c>
      <c r="AE514" s="138">
        <f t="shared" si="354"/>
        <v>4.5799999999999999E-3</v>
      </c>
      <c r="AF514" s="138">
        <f t="shared" si="355"/>
        <v>4.5799999999999999E-3</v>
      </c>
      <c r="AG514" s="138">
        <f t="shared" si="356"/>
        <v>4.5799999999999999E-3</v>
      </c>
      <c r="AH514" s="138">
        <f t="shared" si="357"/>
        <v>4.5799999999999999E-3</v>
      </c>
      <c r="AI514" s="138">
        <f t="shared" si="358"/>
        <v>4.5799999999999999E-3</v>
      </c>
      <c r="AJ514" s="138">
        <f t="shared" si="359"/>
        <v>4.5799999999999999E-3</v>
      </c>
      <c r="AK514" s="138">
        <f t="shared" si="360"/>
        <v>4.5799999999999999E-3</v>
      </c>
      <c r="AL514" s="138">
        <f t="shared" si="361"/>
        <v>4.5799999999999999E-3</v>
      </c>
      <c r="AM514" s="138">
        <f t="shared" si="362"/>
        <v>4.5799999999999999E-3</v>
      </c>
      <c r="AO514" s="77" t="str">
        <f t="shared" si="319"/>
        <v>DS-4 (Large General Service)</v>
      </c>
      <c r="AP514" s="78" t="s">
        <v>642</v>
      </c>
      <c r="AQ514" s="77" t="str">
        <f t="shared" si="320"/>
        <v>Rider REA -Renewable Energy Assis-All Other</v>
      </c>
      <c r="AR514" s="78" t="str">
        <f t="shared" si="321"/>
        <v>Billing Cycle</v>
      </c>
      <c r="AS514" s="79">
        <f t="shared" si="322"/>
        <v>6</v>
      </c>
      <c r="AT514" s="78">
        <f t="shared" si="323"/>
        <v>0</v>
      </c>
      <c r="AU514" s="78">
        <f t="shared" si="324"/>
        <v>4.5799999999999999E-3</v>
      </c>
      <c r="AV514" s="78">
        <f t="shared" si="325"/>
        <v>4.5799999999999999E-3</v>
      </c>
      <c r="AW514" s="78">
        <f t="shared" si="326"/>
        <v>4.5799999999999999E-3</v>
      </c>
      <c r="AX514" s="78">
        <f t="shared" si="327"/>
        <v>4.5799999999999999E-3</v>
      </c>
      <c r="AY514" s="78">
        <f t="shared" si="328"/>
        <v>4.5799999999999999E-3</v>
      </c>
      <c r="AZ514" s="78">
        <f t="shared" si="329"/>
        <v>4.5799999999999999E-3</v>
      </c>
      <c r="BA514" s="78">
        <f t="shared" si="330"/>
        <v>4.5799999999999999E-3</v>
      </c>
      <c r="BB514" s="78">
        <f t="shared" si="331"/>
        <v>4.5799999999999999E-3</v>
      </c>
      <c r="BC514" s="78">
        <f t="shared" si="332"/>
        <v>4.5799999999999999E-3</v>
      </c>
      <c r="BD514" s="78">
        <f t="shared" si="333"/>
        <v>4.5799999999999999E-3</v>
      </c>
      <c r="BE514" s="78">
        <f t="shared" si="334"/>
        <v>4.5799999999999999E-3</v>
      </c>
      <c r="BF514" s="78">
        <f t="shared" si="335"/>
        <v>4.5799999999999999E-3</v>
      </c>
      <c r="BG514" s="78">
        <f t="shared" si="336"/>
        <v>4.5799999999999999E-3</v>
      </c>
      <c r="BH514" s="78">
        <f t="shared" si="337"/>
        <v>4.5799999999999999E-3</v>
      </c>
      <c r="BI514" s="78">
        <f t="shared" si="338"/>
        <v>4.5799999999999999E-3</v>
      </c>
      <c r="BJ514" s="78">
        <f t="shared" si="339"/>
        <v>4.5799999999999999E-3</v>
      </c>
      <c r="BK514" s="78">
        <f t="shared" si="340"/>
        <v>4.5799999999999999E-3</v>
      </c>
      <c r="BL514" s="78">
        <f t="shared" si="341"/>
        <v>4.5799999999999999E-3</v>
      </c>
      <c r="BM514" s="78">
        <f t="shared" si="342"/>
        <v>4.5799999999999999E-3</v>
      </c>
      <c r="BN514" s="78">
        <f t="shared" si="343"/>
        <v>4.5799999999999999E-3</v>
      </c>
      <c r="BO514" s="78">
        <f t="shared" si="344"/>
        <v>4.5799999999999999E-3</v>
      </c>
      <c r="BP514" s="78">
        <f t="shared" si="345"/>
        <v>4.5799999999999999E-3</v>
      </c>
      <c r="BQ514" s="78">
        <f t="shared" si="346"/>
        <v>4.5799999999999999E-3</v>
      </c>
      <c r="BR514" s="78">
        <f t="shared" si="347"/>
        <v>4.5799999999999999E-3</v>
      </c>
      <c r="BS514" s="77">
        <v>3250</v>
      </c>
      <c r="BT514" s="77" t="s">
        <v>684</v>
      </c>
    </row>
    <row r="515" spans="1:72" ht="14.1" customHeight="1" x14ac:dyDescent="0.2">
      <c r="A515" s="55" t="str">
        <f t="shared" si="318"/>
        <v>DS-5 (Lighting Service)_Rider REA -Renewable Energy Assis-All Other</v>
      </c>
      <c r="B515" s="85" t="s">
        <v>647</v>
      </c>
      <c r="C515" s="71" t="s">
        <v>888</v>
      </c>
      <c r="D515" s="150"/>
      <c r="E515" s="81"/>
      <c r="F515" s="73" t="s">
        <v>649</v>
      </c>
      <c r="G515" s="73">
        <v>0</v>
      </c>
      <c r="H515" s="73">
        <v>6</v>
      </c>
      <c r="I515" s="74" t="s">
        <v>641</v>
      </c>
      <c r="J515" s="75" t="s">
        <v>634</v>
      </c>
      <c r="K515" s="74"/>
      <c r="L515" s="82">
        <v>4.5799999999999999E-3</v>
      </c>
      <c r="M515" s="138">
        <v>4.5799999999999999E-3</v>
      </c>
      <c r="N515" s="138">
        <v>4.5799999999999999E-3</v>
      </c>
      <c r="O515" s="138">
        <v>4.5799999999999999E-3</v>
      </c>
      <c r="P515" s="138">
        <v>4.5799999999999999E-3</v>
      </c>
      <c r="Q515" s="138">
        <v>4.5799999999999999E-3</v>
      </c>
      <c r="R515" s="138">
        <v>4.5799999999999999E-3</v>
      </c>
      <c r="S515" s="138">
        <v>4.5799999999999999E-3</v>
      </c>
      <c r="T515" s="138">
        <v>4.5799999999999999E-3</v>
      </c>
      <c r="U515" s="138">
        <v>4.5799999999999999E-3</v>
      </c>
      <c r="V515" s="138">
        <v>4.5799999999999999E-3</v>
      </c>
      <c r="W515" s="138">
        <v>4.5799999999999999E-3</v>
      </c>
      <c r="X515" s="138">
        <v>4.5799999999999999E-3</v>
      </c>
      <c r="Y515" s="138">
        <f t="shared" si="348"/>
        <v>4.5799999999999999E-3</v>
      </c>
      <c r="Z515" s="138">
        <f t="shared" si="349"/>
        <v>4.5799999999999999E-3</v>
      </c>
      <c r="AA515" s="138">
        <f t="shared" si="350"/>
        <v>4.5799999999999999E-3</v>
      </c>
      <c r="AB515" s="138">
        <f t="shared" si="351"/>
        <v>4.5799999999999999E-3</v>
      </c>
      <c r="AC515" s="138">
        <f t="shared" si="352"/>
        <v>4.5799999999999999E-3</v>
      </c>
      <c r="AD515" s="138">
        <f t="shared" si="353"/>
        <v>4.5799999999999999E-3</v>
      </c>
      <c r="AE515" s="138">
        <f t="shared" si="354"/>
        <v>4.5799999999999999E-3</v>
      </c>
      <c r="AF515" s="138">
        <f t="shared" si="355"/>
        <v>4.5799999999999999E-3</v>
      </c>
      <c r="AG515" s="138">
        <f t="shared" si="356"/>
        <v>4.5799999999999999E-3</v>
      </c>
      <c r="AH515" s="138">
        <f t="shared" si="357"/>
        <v>4.5799999999999999E-3</v>
      </c>
      <c r="AI515" s="138">
        <f t="shared" si="358"/>
        <v>4.5799999999999999E-3</v>
      </c>
      <c r="AJ515" s="138">
        <f t="shared" si="359"/>
        <v>4.5799999999999999E-3</v>
      </c>
      <c r="AK515" s="138">
        <f t="shared" si="360"/>
        <v>4.5799999999999999E-3</v>
      </c>
      <c r="AL515" s="138">
        <f t="shared" si="361"/>
        <v>4.5799999999999999E-3</v>
      </c>
      <c r="AM515" s="138">
        <f t="shared" si="362"/>
        <v>4.5799999999999999E-3</v>
      </c>
      <c r="AO515" s="77" t="str">
        <f t="shared" si="319"/>
        <v>DS-5 (Lighting Service)</v>
      </c>
      <c r="AP515" s="78" t="s">
        <v>650</v>
      </c>
      <c r="AQ515" s="77" t="str">
        <f t="shared" si="320"/>
        <v>Rider REA -Renewable Energy Assis-All Other</v>
      </c>
      <c r="AR515" s="78" t="str">
        <f t="shared" si="321"/>
        <v>Billing Cycle</v>
      </c>
      <c r="AS515" s="79">
        <f t="shared" si="322"/>
        <v>6</v>
      </c>
      <c r="AT515" s="78">
        <f t="shared" si="323"/>
        <v>0</v>
      </c>
      <c r="AU515" s="78">
        <f t="shared" si="324"/>
        <v>4.5799999999999999E-3</v>
      </c>
      <c r="AV515" s="78">
        <f t="shared" si="325"/>
        <v>4.5799999999999999E-3</v>
      </c>
      <c r="AW515" s="78">
        <f t="shared" si="326"/>
        <v>4.5799999999999999E-3</v>
      </c>
      <c r="AX515" s="78">
        <f t="shared" si="327"/>
        <v>4.5799999999999999E-3</v>
      </c>
      <c r="AY515" s="78">
        <f t="shared" si="328"/>
        <v>4.5799999999999999E-3</v>
      </c>
      <c r="AZ515" s="78">
        <f t="shared" si="329"/>
        <v>4.5799999999999999E-3</v>
      </c>
      <c r="BA515" s="78">
        <f t="shared" si="330"/>
        <v>4.5799999999999999E-3</v>
      </c>
      <c r="BB515" s="78">
        <f t="shared" si="331"/>
        <v>4.5799999999999999E-3</v>
      </c>
      <c r="BC515" s="78">
        <f t="shared" si="332"/>
        <v>4.5799999999999999E-3</v>
      </c>
      <c r="BD515" s="78">
        <f t="shared" si="333"/>
        <v>4.5799999999999999E-3</v>
      </c>
      <c r="BE515" s="78">
        <f t="shared" si="334"/>
        <v>4.5799999999999999E-3</v>
      </c>
      <c r="BF515" s="78">
        <f t="shared" si="335"/>
        <v>4.5799999999999999E-3</v>
      </c>
      <c r="BG515" s="78">
        <f t="shared" si="336"/>
        <v>4.5799999999999999E-3</v>
      </c>
      <c r="BH515" s="78">
        <f t="shared" si="337"/>
        <v>4.5799999999999999E-3</v>
      </c>
      <c r="BI515" s="78">
        <f t="shared" si="338"/>
        <v>4.5799999999999999E-3</v>
      </c>
      <c r="BJ515" s="78">
        <f t="shared" si="339"/>
        <v>4.5799999999999999E-3</v>
      </c>
      <c r="BK515" s="78">
        <f t="shared" si="340"/>
        <v>4.5799999999999999E-3</v>
      </c>
      <c r="BL515" s="78">
        <f t="shared" si="341"/>
        <v>4.5799999999999999E-3</v>
      </c>
      <c r="BM515" s="78">
        <f t="shared" si="342"/>
        <v>4.5799999999999999E-3</v>
      </c>
      <c r="BN515" s="78">
        <f t="shared" si="343"/>
        <v>4.5799999999999999E-3</v>
      </c>
      <c r="BO515" s="78">
        <f t="shared" si="344"/>
        <v>4.5799999999999999E-3</v>
      </c>
      <c r="BP515" s="78">
        <f t="shared" si="345"/>
        <v>4.5799999999999999E-3</v>
      </c>
      <c r="BQ515" s="78">
        <f t="shared" si="346"/>
        <v>4.5799999999999999E-3</v>
      </c>
      <c r="BR515" s="78">
        <f t="shared" si="347"/>
        <v>4.5799999999999999E-3</v>
      </c>
      <c r="BS515" s="77"/>
      <c r="BT515" s="77"/>
    </row>
    <row r="516" spans="1:72" ht="14.1" customHeight="1" x14ac:dyDescent="0.2">
      <c r="A516" s="55" t="str">
        <f t="shared" si="318"/>
        <v>DS-6 (DS-3) Temp. Sensitive DS_Rider REA -Renewable Energy Assis-All Other</v>
      </c>
      <c r="B516" s="80" t="s">
        <v>643</v>
      </c>
      <c r="C516" s="71" t="s">
        <v>888</v>
      </c>
      <c r="D516" s="150"/>
      <c r="E516" s="81"/>
      <c r="F516" s="73" t="s">
        <v>649</v>
      </c>
      <c r="G516" s="73">
        <v>0</v>
      </c>
      <c r="H516" s="73">
        <v>6</v>
      </c>
      <c r="I516" s="74" t="s">
        <v>641</v>
      </c>
      <c r="J516" s="75" t="s">
        <v>634</v>
      </c>
      <c r="K516" s="74"/>
      <c r="L516" s="82">
        <v>4.5799999999999999E-3</v>
      </c>
      <c r="M516" s="138">
        <v>4.5799999999999999E-3</v>
      </c>
      <c r="N516" s="138">
        <v>4.5799999999999999E-3</v>
      </c>
      <c r="O516" s="138">
        <v>4.5799999999999999E-3</v>
      </c>
      <c r="P516" s="138">
        <v>4.5799999999999999E-3</v>
      </c>
      <c r="Q516" s="138">
        <v>4.5799999999999999E-3</v>
      </c>
      <c r="R516" s="138">
        <v>4.5799999999999999E-3</v>
      </c>
      <c r="S516" s="138">
        <v>4.5799999999999999E-3</v>
      </c>
      <c r="T516" s="138">
        <v>4.5799999999999999E-3</v>
      </c>
      <c r="U516" s="138">
        <v>4.5799999999999999E-3</v>
      </c>
      <c r="V516" s="138">
        <v>4.5799999999999999E-3</v>
      </c>
      <c r="W516" s="138">
        <v>4.5799999999999999E-3</v>
      </c>
      <c r="X516" s="138">
        <v>4.5799999999999999E-3</v>
      </c>
      <c r="Y516" s="138">
        <f t="shared" si="348"/>
        <v>4.5799999999999999E-3</v>
      </c>
      <c r="Z516" s="138">
        <f t="shared" si="349"/>
        <v>4.5799999999999999E-3</v>
      </c>
      <c r="AA516" s="138">
        <f t="shared" si="350"/>
        <v>4.5799999999999999E-3</v>
      </c>
      <c r="AB516" s="138">
        <f t="shared" si="351"/>
        <v>4.5799999999999999E-3</v>
      </c>
      <c r="AC516" s="138">
        <f t="shared" si="352"/>
        <v>4.5799999999999999E-3</v>
      </c>
      <c r="AD516" s="138">
        <f t="shared" si="353"/>
        <v>4.5799999999999999E-3</v>
      </c>
      <c r="AE516" s="138">
        <f t="shared" si="354"/>
        <v>4.5799999999999999E-3</v>
      </c>
      <c r="AF516" s="138">
        <f t="shared" si="355"/>
        <v>4.5799999999999999E-3</v>
      </c>
      <c r="AG516" s="138">
        <f t="shared" si="356"/>
        <v>4.5799999999999999E-3</v>
      </c>
      <c r="AH516" s="138">
        <f t="shared" si="357"/>
        <v>4.5799999999999999E-3</v>
      </c>
      <c r="AI516" s="138">
        <f t="shared" si="358"/>
        <v>4.5799999999999999E-3</v>
      </c>
      <c r="AJ516" s="138">
        <f t="shared" si="359"/>
        <v>4.5799999999999999E-3</v>
      </c>
      <c r="AK516" s="138">
        <f t="shared" si="360"/>
        <v>4.5799999999999999E-3</v>
      </c>
      <c r="AL516" s="138">
        <f t="shared" si="361"/>
        <v>4.5799999999999999E-3</v>
      </c>
      <c r="AM516" s="138">
        <f t="shared" si="362"/>
        <v>4.5799999999999999E-3</v>
      </c>
      <c r="AO516" s="77" t="str">
        <f t="shared" si="319"/>
        <v>DS-6 (DS-3) Temp. Sensitive DS</v>
      </c>
      <c r="AP516" s="78" t="s">
        <v>644</v>
      </c>
      <c r="AQ516" s="77" t="str">
        <f t="shared" si="320"/>
        <v>Rider REA -Renewable Energy Assis-All Other</v>
      </c>
      <c r="AR516" s="78" t="str">
        <f t="shared" si="321"/>
        <v>Billing Cycle</v>
      </c>
      <c r="AS516" s="79">
        <f t="shared" si="322"/>
        <v>6</v>
      </c>
      <c r="AT516" s="78">
        <f t="shared" si="323"/>
        <v>0</v>
      </c>
      <c r="AU516" s="78">
        <f t="shared" si="324"/>
        <v>4.5799999999999999E-3</v>
      </c>
      <c r="AV516" s="78">
        <f t="shared" si="325"/>
        <v>4.5799999999999999E-3</v>
      </c>
      <c r="AW516" s="78">
        <f t="shared" si="326"/>
        <v>4.5799999999999999E-3</v>
      </c>
      <c r="AX516" s="78">
        <f t="shared" si="327"/>
        <v>4.5799999999999999E-3</v>
      </c>
      <c r="AY516" s="78">
        <f t="shared" si="328"/>
        <v>4.5799999999999999E-3</v>
      </c>
      <c r="AZ516" s="78">
        <f t="shared" si="329"/>
        <v>4.5799999999999999E-3</v>
      </c>
      <c r="BA516" s="78">
        <f t="shared" si="330"/>
        <v>4.5799999999999999E-3</v>
      </c>
      <c r="BB516" s="78">
        <f t="shared" si="331"/>
        <v>4.5799999999999999E-3</v>
      </c>
      <c r="BC516" s="78">
        <f t="shared" si="332"/>
        <v>4.5799999999999999E-3</v>
      </c>
      <c r="BD516" s="78">
        <f t="shared" si="333"/>
        <v>4.5799999999999999E-3</v>
      </c>
      <c r="BE516" s="78">
        <f t="shared" si="334"/>
        <v>4.5799999999999999E-3</v>
      </c>
      <c r="BF516" s="78">
        <f t="shared" si="335"/>
        <v>4.5799999999999999E-3</v>
      </c>
      <c r="BG516" s="78">
        <f t="shared" si="336"/>
        <v>4.5799999999999999E-3</v>
      </c>
      <c r="BH516" s="78">
        <f t="shared" si="337"/>
        <v>4.5799999999999999E-3</v>
      </c>
      <c r="BI516" s="78">
        <f t="shared" si="338"/>
        <v>4.5799999999999999E-3</v>
      </c>
      <c r="BJ516" s="78">
        <f t="shared" si="339"/>
        <v>4.5799999999999999E-3</v>
      </c>
      <c r="BK516" s="78">
        <f t="shared" si="340"/>
        <v>4.5799999999999999E-3</v>
      </c>
      <c r="BL516" s="78">
        <f t="shared" si="341"/>
        <v>4.5799999999999999E-3</v>
      </c>
      <c r="BM516" s="78">
        <f t="shared" si="342"/>
        <v>4.5799999999999999E-3</v>
      </c>
      <c r="BN516" s="78">
        <f t="shared" si="343"/>
        <v>4.5799999999999999E-3</v>
      </c>
      <c r="BO516" s="78">
        <f t="shared" si="344"/>
        <v>4.5799999999999999E-3</v>
      </c>
      <c r="BP516" s="78">
        <f t="shared" si="345"/>
        <v>4.5799999999999999E-3</v>
      </c>
      <c r="BQ516" s="78">
        <f t="shared" si="346"/>
        <v>4.5799999999999999E-3</v>
      </c>
      <c r="BR516" s="78">
        <f t="shared" si="347"/>
        <v>4.5799999999999999E-3</v>
      </c>
      <c r="BS516" s="77"/>
      <c r="BT516" s="77"/>
    </row>
    <row r="517" spans="1:72" ht="14.1" customHeight="1" x14ac:dyDescent="0.2">
      <c r="A517" s="55" t="str">
        <f t="shared" si="318"/>
        <v>DS-6 (DS-4) Temp. Sensitive DS_Rider REA -Renewable Energy Assis-All Other</v>
      </c>
      <c r="B517" s="80" t="s">
        <v>645</v>
      </c>
      <c r="C517" s="71" t="s">
        <v>888</v>
      </c>
      <c r="D517" s="150"/>
      <c r="E517" s="81"/>
      <c r="F517" s="73" t="s">
        <v>649</v>
      </c>
      <c r="G517" s="73">
        <v>0</v>
      </c>
      <c r="H517" s="73">
        <v>6</v>
      </c>
      <c r="I517" s="74" t="s">
        <v>641</v>
      </c>
      <c r="J517" s="75" t="s">
        <v>634</v>
      </c>
      <c r="K517" s="74"/>
      <c r="L517" s="82">
        <v>4.5799999999999999E-3</v>
      </c>
      <c r="M517" s="138">
        <v>4.5799999999999999E-3</v>
      </c>
      <c r="N517" s="138">
        <v>4.5799999999999999E-3</v>
      </c>
      <c r="O517" s="138">
        <v>4.5799999999999999E-3</v>
      </c>
      <c r="P517" s="138">
        <v>4.5799999999999999E-3</v>
      </c>
      <c r="Q517" s="138">
        <v>4.5799999999999999E-3</v>
      </c>
      <c r="R517" s="138">
        <v>4.5799999999999999E-3</v>
      </c>
      <c r="S517" s="138">
        <v>4.5799999999999999E-3</v>
      </c>
      <c r="T517" s="138">
        <v>4.5799999999999999E-3</v>
      </c>
      <c r="U517" s="138">
        <v>4.5799999999999999E-3</v>
      </c>
      <c r="V517" s="138">
        <v>4.5799999999999999E-3</v>
      </c>
      <c r="W517" s="138">
        <v>4.5799999999999999E-3</v>
      </c>
      <c r="X517" s="138">
        <v>4.5799999999999999E-3</v>
      </c>
      <c r="Y517" s="138">
        <f t="shared" si="348"/>
        <v>4.5799999999999999E-3</v>
      </c>
      <c r="Z517" s="138">
        <f t="shared" si="349"/>
        <v>4.5799999999999999E-3</v>
      </c>
      <c r="AA517" s="138">
        <f t="shared" si="350"/>
        <v>4.5799999999999999E-3</v>
      </c>
      <c r="AB517" s="138">
        <f t="shared" si="351"/>
        <v>4.5799999999999999E-3</v>
      </c>
      <c r="AC517" s="138">
        <f t="shared" si="352"/>
        <v>4.5799999999999999E-3</v>
      </c>
      <c r="AD517" s="138">
        <f t="shared" si="353"/>
        <v>4.5799999999999999E-3</v>
      </c>
      <c r="AE517" s="138">
        <f t="shared" si="354"/>
        <v>4.5799999999999999E-3</v>
      </c>
      <c r="AF517" s="138">
        <f t="shared" si="355"/>
        <v>4.5799999999999999E-3</v>
      </c>
      <c r="AG517" s="138">
        <f t="shared" si="356"/>
        <v>4.5799999999999999E-3</v>
      </c>
      <c r="AH517" s="138">
        <f t="shared" si="357"/>
        <v>4.5799999999999999E-3</v>
      </c>
      <c r="AI517" s="138">
        <f t="shared" si="358"/>
        <v>4.5799999999999999E-3</v>
      </c>
      <c r="AJ517" s="138">
        <f t="shared" si="359"/>
        <v>4.5799999999999999E-3</v>
      </c>
      <c r="AK517" s="138">
        <f t="shared" si="360"/>
        <v>4.5799999999999999E-3</v>
      </c>
      <c r="AL517" s="138">
        <f t="shared" si="361"/>
        <v>4.5799999999999999E-3</v>
      </c>
      <c r="AM517" s="138">
        <f t="shared" si="362"/>
        <v>4.5799999999999999E-3</v>
      </c>
      <c r="AO517" s="77" t="str">
        <f t="shared" si="319"/>
        <v>DS-6 (DS-4) Temp. Sensitive DS</v>
      </c>
      <c r="AP517" s="78" t="s">
        <v>646</v>
      </c>
      <c r="AQ517" s="77" t="str">
        <f t="shared" si="320"/>
        <v>Rider REA -Renewable Energy Assis-All Other</v>
      </c>
      <c r="AR517" s="78" t="str">
        <f t="shared" si="321"/>
        <v>Billing Cycle</v>
      </c>
      <c r="AS517" s="79">
        <f t="shared" si="322"/>
        <v>6</v>
      </c>
      <c r="AT517" s="78">
        <f t="shared" si="323"/>
        <v>0</v>
      </c>
      <c r="AU517" s="78">
        <f t="shared" si="324"/>
        <v>4.5799999999999999E-3</v>
      </c>
      <c r="AV517" s="78">
        <f t="shared" si="325"/>
        <v>4.5799999999999999E-3</v>
      </c>
      <c r="AW517" s="78">
        <f t="shared" si="326"/>
        <v>4.5799999999999999E-3</v>
      </c>
      <c r="AX517" s="78">
        <f t="shared" si="327"/>
        <v>4.5799999999999999E-3</v>
      </c>
      <c r="AY517" s="78">
        <f t="shared" si="328"/>
        <v>4.5799999999999999E-3</v>
      </c>
      <c r="AZ517" s="78">
        <f t="shared" si="329"/>
        <v>4.5799999999999999E-3</v>
      </c>
      <c r="BA517" s="78">
        <f t="shared" si="330"/>
        <v>4.5799999999999999E-3</v>
      </c>
      <c r="BB517" s="78">
        <f t="shared" si="331"/>
        <v>4.5799999999999999E-3</v>
      </c>
      <c r="BC517" s="78">
        <f t="shared" si="332"/>
        <v>4.5799999999999999E-3</v>
      </c>
      <c r="BD517" s="78">
        <f t="shared" si="333"/>
        <v>4.5799999999999999E-3</v>
      </c>
      <c r="BE517" s="78">
        <f t="shared" si="334"/>
        <v>4.5799999999999999E-3</v>
      </c>
      <c r="BF517" s="78">
        <f t="shared" si="335"/>
        <v>4.5799999999999999E-3</v>
      </c>
      <c r="BG517" s="78">
        <f t="shared" si="336"/>
        <v>4.5799999999999999E-3</v>
      </c>
      <c r="BH517" s="78">
        <f t="shared" si="337"/>
        <v>4.5799999999999999E-3</v>
      </c>
      <c r="BI517" s="78">
        <f t="shared" si="338"/>
        <v>4.5799999999999999E-3</v>
      </c>
      <c r="BJ517" s="78">
        <f t="shared" si="339"/>
        <v>4.5799999999999999E-3</v>
      </c>
      <c r="BK517" s="78">
        <f t="shared" si="340"/>
        <v>4.5799999999999999E-3</v>
      </c>
      <c r="BL517" s="78">
        <f t="shared" si="341"/>
        <v>4.5799999999999999E-3</v>
      </c>
      <c r="BM517" s="78">
        <f t="shared" si="342"/>
        <v>4.5799999999999999E-3</v>
      </c>
      <c r="BN517" s="78">
        <f t="shared" si="343"/>
        <v>4.5799999999999999E-3</v>
      </c>
      <c r="BO517" s="78">
        <f t="shared" si="344"/>
        <v>4.5799999999999999E-3</v>
      </c>
      <c r="BP517" s="78">
        <f t="shared" si="345"/>
        <v>4.5799999999999999E-3</v>
      </c>
      <c r="BQ517" s="78">
        <f t="shared" si="346"/>
        <v>4.5799999999999999E-3</v>
      </c>
      <c r="BR517" s="78">
        <f t="shared" si="347"/>
        <v>4.5799999999999999E-3</v>
      </c>
      <c r="BS517" s="77"/>
      <c r="BT517" s="77"/>
    </row>
    <row r="518" spans="1:72" ht="14.1" customHeight="1" x14ac:dyDescent="0.2">
      <c r="A518" s="55" t="str">
        <f t="shared" ref="A518:A581" si="363">B518&amp;"_"&amp;C518</f>
        <v>DS-1 (Residential)_Rider REA -Renewable Energy Assis-BGS</v>
      </c>
      <c r="B518" s="85" t="s">
        <v>90</v>
      </c>
      <c r="C518" s="71" t="s">
        <v>587</v>
      </c>
      <c r="D518" s="150" t="s">
        <v>587</v>
      </c>
      <c r="E518" s="81"/>
      <c r="F518" s="73" t="s">
        <v>649</v>
      </c>
      <c r="G518" s="73">
        <v>0</v>
      </c>
      <c r="H518" s="73">
        <v>6</v>
      </c>
      <c r="I518" s="74" t="s">
        <v>641</v>
      </c>
      <c r="J518" s="75" t="s">
        <v>634</v>
      </c>
      <c r="K518" s="74"/>
      <c r="L518" s="82">
        <v>4.5799999999999999E-3</v>
      </c>
      <c r="M518" s="138">
        <v>4.5799999999999999E-3</v>
      </c>
      <c r="N518" s="138">
        <v>4.5799999999999999E-3</v>
      </c>
      <c r="O518" s="138">
        <v>4.5799999999999999E-3</v>
      </c>
      <c r="P518" s="138">
        <v>4.5799999999999999E-3</v>
      </c>
      <c r="Q518" s="138">
        <v>4.5799999999999999E-3</v>
      </c>
      <c r="R518" s="138">
        <v>4.5799999999999999E-3</v>
      </c>
      <c r="S518" s="138">
        <v>4.5799999999999999E-3</v>
      </c>
      <c r="T518" s="138">
        <v>4.5799999999999999E-3</v>
      </c>
      <c r="U518" s="138">
        <v>4.5799999999999999E-3</v>
      </c>
      <c r="V518" s="138">
        <v>4.5799999999999999E-3</v>
      </c>
      <c r="W518" s="138">
        <v>4.5799999999999999E-3</v>
      </c>
      <c r="X518" s="138">
        <v>4.5799999999999999E-3</v>
      </c>
      <c r="Y518" s="138">
        <f t="shared" si="348"/>
        <v>4.5799999999999999E-3</v>
      </c>
      <c r="Z518" s="138">
        <f t="shared" si="349"/>
        <v>4.5799999999999999E-3</v>
      </c>
      <c r="AA518" s="138">
        <f t="shared" si="350"/>
        <v>4.5799999999999999E-3</v>
      </c>
      <c r="AB518" s="138">
        <f t="shared" si="351"/>
        <v>4.5799999999999999E-3</v>
      </c>
      <c r="AC518" s="138">
        <f t="shared" si="352"/>
        <v>4.5799999999999999E-3</v>
      </c>
      <c r="AD518" s="138">
        <f t="shared" si="353"/>
        <v>4.5799999999999999E-3</v>
      </c>
      <c r="AE518" s="138">
        <f t="shared" si="354"/>
        <v>4.5799999999999999E-3</v>
      </c>
      <c r="AF518" s="138">
        <f t="shared" si="355"/>
        <v>4.5799999999999999E-3</v>
      </c>
      <c r="AG518" s="138">
        <f t="shared" si="356"/>
        <v>4.5799999999999999E-3</v>
      </c>
      <c r="AH518" s="138">
        <f t="shared" si="357"/>
        <v>4.5799999999999999E-3</v>
      </c>
      <c r="AI518" s="138">
        <f t="shared" si="358"/>
        <v>4.5799999999999999E-3</v>
      </c>
      <c r="AJ518" s="138">
        <f t="shared" si="359"/>
        <v>4.5799999999999999E-3</v>
      </c>
      <c r="AK518" s="138">
        <f t="shared" si="360"/>
        <v>4.5799999999999999E-3</v>
      </c>
      <c r="AL518" s="138">
        <f t="shared" si="361"/>
        <v>4.5799999999999999E-3</v>
      </c>
      <c r="AM518" s="138">
        <f t="shared" si="362"/>
        <v>4.5799999999999999E-3</v>
      </c>
      <c r="AO518" s="77" t="str">
        <f t="shared" ref="AO518:AO581" si="364">IF(B518="","",B518)</f>
        <v>DS-1 (Residential)</v>
      </c>
      <c r="AP518" s="78" t="s">
        <v>662</v>
      </c>
      <c r="AQ518" s="77" t="str">
        <f t="shared" ref="AQ518:AQ581" si="365">IF(B518="","",C518)</f>
        <v>Rider REA -Renewable Energy Assis-BGS</v>
      </c>
      <c r="AR518" s="78" t="str">
        <f t="shared" ref="AR518:AR581" si="366">IF(B518="","",F518)</f>
        <v>Billing Cycle</v>
      </c>
      <c r="AS518" s="79">
        <f t="shared" ref="AS518:AS581" si="367">IF(B518="","",H518)</f>
        <v>6</v>
      </c>
      <c r="AT518" s="78">
        <f t="shared" ref="AT518:AT581" si="368">IF(B518="","",ROUND(L518,$H$6))</f>
        <v>0</v>
      </c>
      <c r="AU518" s="78">
        <f t="shared" ref="AU518:AU581" si="369">IF($B518="","",ROUND(IF(M518="",AT518,M518),$H518))</f>
        <v>4.5799999999999999E-3</v>
      </c>
      <c r="AV518" s="78">
        <f t="shared" ref="AV518:AV581" si="370">IF($B518="","",ROUND(IF(N518="",AU518,N518),$H518))</f>
        <v>4.5799999999999999E-3</v>
      </c>
      <c r="AW518" s="78">
        <f t="shared" ref="AW518:AW581" si="371">IF($B518="","",ROUND(IF(O518="",AV518,O518),$H518))</f>
        <v>4.5799999999999999E-3</v>
      </c>
      <c r="AX518" s="78">
        <f t="shared" ref="AX518:AX581" si="372">IF($B518="","",ROUND(IF(P518="",AW518,P518),$H518))</f>
        <v>4.5799999999999999E-3</v>
      </c>
      <c r="AY518" s="78">
        <f t="shared" ref="AY518:AY581" si="373">IF($B518="","",ROUND(IF(Q518="",AX518,Q518),$H518))</f>
        <v>4.5799999999999999E-3</v>
      </c>
      <c r="AZ518" s="78">
        <f t="shared" ref="AZ518:AZ581" si="374">IF($B518="","",ROUND(IF(R518="",AY518,R518),$H518))</f>
        <v>4.5799999999999999E-3</v>
      </c>
      <c r="BA518" s="78">
        <f t="shared" ref="BA518:BA581" si="375">IF($B518="","",ROUND(IF(S518="",AZ518,S518),$H518))</f>
        <v>4.5799999999999999E-3</v>
      </c>
      <c r="BB518" s="78">
        <f t="shared" ref="BB518:BB581" si="376">IF($B518="","",ROUND(IF(T518="",BA518,T518),$H518))</f>
        <v>4.5799999999999999E-3</v>
      </c>
      <c r="BC518" s="78">
        <f t="shared" ref="BC518:BC581" si="377">IF($B518="","",ROUND(IF(U518="",BB518,U518),$H518))</f>
        <v>4.5799999999999999E-3</v>
      </c>
      <c r="BD518" s="78">
        <f t="shared" ref="BD518:BD581" si="378">IF($B518="","",ROUND(IF(V518="",BC518,V518),$H518))</f>
        <v>4.5799999999999999E-3</v>
      </c>
      <c r="BE518" s="78">
        <f t="shared" ref="BE518:BE581" si="379">IF($B518="","",ROUND(IF(W518="",BD518,W518),$H518))</f>
        <v>4.5799999999999999E-3</v>
      </c>
      <c r="BF518" s="78">
        <f t="shared" ref="BF518:BF581" si="380">IF($B518="","",ROUND(IF(X518="",BE518,X518),$H518))</f>
        <v>4.5799999999999999E-3</v>
      </c>
      <c r="BG518" s="78">
        <f t="shared" ref="BG518:BG581" si="381">IF($B518="","",ROUND(IF(Y518="",BF518,Y518),$H518))</f>
        <v>4.5799999999999999E-3</v>
      </c>
      <c r="BH518" s="78">
        <f t="shared" ref="BH518:BH581" si="382">IF($B518="","",ROUND(IF(Z518="",BG518,Z518),$H518))</f>
        <v>4.5799999999999999E-3</v>
      </c>
      <c r="BI518" s="78">
        <f t="shared" ref="BI518:BI581" si="383">IF($B518="","",ROUND(IF(AA518="",BH518,AA518),$H518))</f>
        <v>4.5799999999999999E-3</v>
      </c>
      <c r="BJ518" s="78">
        <f t="shared" ref="BJ518:BJ581" si="384">IF($B518="","",ROUND(IF(AB518="",BI518,AB518),$H518))</f>
        <v>4.5799999999999999E-3</v>
      </c>
      <c r="BK518" s="78">
        <f t="shared" ref="BK518:BK581" si="385">IF($B518="","",ROUND(IF(AC518="",BJ518,AC518),$H518))</f>
        <v>4.5799999999999999E-3</v>
      </c>
      <c r="BL518" s="78">
        <f t="shared" ref="BL518:BL581" si="386">IF($B518="","",ROUND(IF(AD518="",BK518,AD518),$H518))</f>
        <v>4.5799999999999999E-3</v>
      </c>
      <c r="BM518" s="78">
        <f t="shared" ref="BM518:BM581" si="387">IF($B518="","",ROUND(IF(AE518="",BL518,AE518),$H518))</f>
        <v>4.5799999999999999E-3</v>
      </c>
      <c r="BN518" s="78">
        <f t="shared" ref="BN518:BN581" si="388">IF($B518="","",ROUND(IF(AF518="",BM518,AF518),$H518))</f>
        <v>4.5799999999999999E-3</v>
      </c>
      <c r="BO518" s="78">
        <f t="shared" ref="BO518:BO581" si="389">IF($B518="","",ROUND(IF(AG518="",BN518,AG518),$H518))</f>
        <v>4.5799999999999999E-3</v>
      </c>
      <c r="BP518" s="78">
        <f t="shared" ref="BP518:BP581" si="390">IF($B518="","",ROUND(IF(AH518="",BO518,AH518),$H518))</f>
        <v>4.5799999999999999E-3</v>
      </c>
      <c r="BQ518" s="78">
        <f t="shared" ref="BQ518:BQ581" si="391">IF($B518="","",ROUND(IF(AI518="",BP518,AI518),$H518))</f>
        <v>4.5799999999999999E-3</v>
      </c>
      <c r="BR518" s="78">
        <f t="shared" ref="BR518:BR581" si="392">IF($B518="","",ROUND(IF(AJ518="",BQ518,AJ518),$H518))</f>
        <v>4.5799999999999999E-3</v>
      </c>
      <c r="BS518" s="77"/>
      <c r="BT518" s="77"/>
    </row>
    <row r="519" spans="1:72" ht="14.1" customHeight="1" x14ac:dyDescent="0.2">
      <c r="A519" s="55" t="str">
        <f t="shared" si="363"/>
        <v>DS-2 (Small General Service)_Rider REA -Renewable Energy Assis-BGS</v>
      </c>
      <c r="B519" s="80" t="s">
        <v>665</v>
      </c>
      <c r="C519" s="71" t="s">
        <v>587</v>
      </c>
      <c r="D519" s="150"/>
      <c r="E519" s="81"/>
      <c r="F519" s="73" t="s">
        <v>649</v>
      </c>
      <c r="G519" s="73">
        <v>0</v>
      </c>
      <c r="H519" s="73">
        <v>6</v>
      </c>
      <c r="I519" s="74" t="s">
        <v>641</v>
      </c>
      <c r="J519" s="75" t="s">
        <v>634</v>
      </c>
      <c r="K519" s="74"/>
      <c r="L519" s="82">
        <v>4.5799999999999999E-3</v>
      </c>
      <c r="M519" s="138">
        <v>4.5799999999999999E-3</v>
      </c>
      <c r="N519" s="138">
        <v>4.5799999999999999E-3</v>
      </c>
      <c r="O519" s="138">
        <v>4.5799999999999999E-3</v>
      </c>
      <c r="P519" s="138">
        <v>4.5799999999999999E-3</v>
      </c>
      <c r="Q519" s="138">
        <v>4.5799999999999999E-3</v>
      </c>
      <c r="R519" s="138">
        <v>4.5799999999999999E-3</v>
      </c>
      <c r="S519" s="138">
        <v>4.5799999999999999E-3</v>
      </c>
      <c r="T519" s="138">
        <v>4.5799999999999999E-3</v>
      </c>
      <c r="U519" s="138">
        <v>4.5799999999999999E-3</v>
      </c>
      <c r="V519" s="138">
        <v>4.5799999999999999E-3</v>
      </c>
      <c r="W519" s="138">
        <v>4.5799999999999999E-3</v>
      </c>
      <c r="X519" s="138">
        <v>4.5799999999999999E-3</v>
      </c>
      <c r="Y519" s="138">
        <f t="shared" ref="Y519:Y582" si="393">X519</f>
        <v>4.5799999999999999E-3</v>
      </c>
      <c r="Z519" s="138">
        <f t="shared" ref="Z519:Z582" si="394">Y519</f>
        <v>4.5799999999999999E-3</v>
      </c>
      <c r="AA519" s="138">
        <f t="shared" ref="AA519:AA582" si="395">Z519</f>
        <v>4.5799999999999999E-3</v>
      </c>
      <c r="AB519" s="138">
        <f t="shared" ref="AB519:AB582" si="396">AA519</f>
        <v>4.5799999999999999E-3</v>
      </c>
      <c r="AC519" s="138">
        <f t="shared" ref="AC519:AC582" si="397">AB519</f>
        <v>4.5799999999999999E-3</v>
      </c>
      <c r="AD519" s="138">
        <f t="shared" ref="AD519:AD582" si="398">AC519</f>
        <v>4.5799999999999999E-3</v>
      </c>
      <c r="AE519" s="138">
        <f t="shared" ref="AE519:AE582" si="399">AD519</f>
        <v>4.5799999999999999E-3</v>
      </c>
      <c r="AF519" s="138">
        <f t="shared" ref="AF519:AF582" si="400">AE519</f>
        <v>4.5799999999999999E-3</v>
      </c>
      <c r="AG519" s="138">
        <f t="shared" ref="AG519:AG582" si="401">AF519</f>
        <v>4.5799999999999999E-3</v>
      </c>
      <c r="AH519" s="138">
        <f t="shared" ref="AH519:AH582" si="402">AG519</f>
        <v>4.5799999999999999E-3</v>
      </c>
      <c r="AI519" s="138">
        <f t="shared" ref="AI519:AI582" si="403">AH519</f>
        <v>4.5799999999999999E-3</v>
      </c>
      <c r="AJ519" s="138">
        <f t="shared" ref="AJ519:AJ582" si="404">AI519</f>
        <v>4.5799999999999999E-3</v>
      </c>
      <c r="AK519" s="138">
        <f t="shared" ref="AK519:AK582" si="405">AJ519</f>
        <v>4.5799999999999999E-3</v>
      </c>
      <c r="AL519" s="138">
        <f t="shared" ref="AL519:AL582" si="406">AVERAGE(Z519:AK519)</f>
        <v>4.5799999999999999E-3</v>
      </c>
      <c r="AM519" s="138">
        <f t="shared" ref="AM519:AM582" si="407">AVERAGE(N519:AK519)</f>
        <v>4.5799999999999999E-3</v>
      </c>
      <c r="AO519" s="77" t="str">
        <f t="shared" si="364"/>
        <v>DS-2 (Small General Service)</v>
      </c>
      <c r="AP519" s="78" t="s">
        <v>664</v>
      </c>
      <c r="AQ519" s="77" t="str">
        <f t="shared" si="365"/>
        <v>Rider REA -Renewable Energy Assis-BGS</v>
      </c>
      <c r="AR519" s="78" t="str">
        <f t="shared" si="366"/>
        <v>Billing Cycle</v>
      </c>
      <c r="AS519" s="79">
        <f t="shared" si="367"/>
        <v>6</v>
      </c>
      <c r="AT519" s="78">
        <f t="shared" si="368"/>
        <v>0</v>
      </c>
      <c r="AU519" s="78">
        <f t="shared" si="369"/>
        <v>4.5799999999999999E-3</v>
      </c>
      <c r="AV519" s="78">
        <f t="shared" si="370"/>
        <v>4.5799999999999999E-3</v>
      </c>
      <c r="AW519" s="78">
        <f t="shared" si="371"/>
        <v>4.5799999999999999E-3</v>
      </c>
      <c r="AX519" s="78">
        <f t="shared" si="372"/>
        <v>4.5799999999999999E-3</v>
      </c>
      <c r="AY519" s="78">
        <f t="shared" si="373"/>
        <v>4.5799999999999999E-3</v>
      </c>
      <c r="AZ519" s="78">
        <f t="shared" si="374"/>
        <v>4.5799999999999999E-3</v>
      </c>
      <c r="BA519" s="78">
        <f t="shared" si="375"/>
        <v>4.5799999999999999E-3</v>
      </c>
      <c r="BB519" s="78">
        <f t="shared" si="376"/>
        <v>4.5799999999999999E-3</v>
      </c>
      <c r="BC519" s="78">
        <f t="shared" si="377"/>
        <v>4.5799999999999999E-3</v>
      </c>
      <c r="BD519" s="78">
        <f t="shared" si="378"/>
        <v>4.5799999999999999E-3</v>
      </c>
      <c r="BE519" s="78">
        <f t="shared" si="379"/>
        <v>4.5799999999999999E-3</v>
      </c>
      <c r="BF519" s="78">
        <f t="shared" si="380"/>
        <v>4.5799999999999999E-3</v>
      </c>
      <c r="BG519" s="78">
        <f t="shared" si="381"/>
        <v>4.5799999999999999E-3</v>
      </c>
      <c r="BH519" s="78">
        <f t="shared" si="382"/>
        <v>4.5799999999999999E-3</v>
      </c>
      <c r="BI519" s="78">
        <f t="shared" si="383"/>
        <v>4.5799999999999999E-3</v>
      </c>
      <c r="BJ519" s="78">
        <f t="shared" si="384"/>
        <v>4.5799999999999999E-3</v>
      </c>
      <c r="BK519" s="78">
        <f t="shared" si="385"/>
        <v>4.5799999999999999E-3</v>
      </c>
      <c r="BL519" s="78">
        <f t="shared" si="386"/>
        <v>4.5799999999999999E-3</v>
      </c>
      <c r="BM519" s="78">
        <f t="shared" si="387"/>
        <v>4.5799999999999999E-3</v>
      </c>
      <c r="BN519" s="78">
        <f t="shared" si="388"/>
        <v>4.5799999999999999E-3</v>
      </c>
      <c r="BO519" s="78">
        <f t="shared" si="389"/>
        <v>4.5799999999999999E-3</v>
      </c>
      <c r="BP519" s="78">
        <f t="shared" si="390"/>
        <v>4.5799999999999999E-3</v>
      </c>
      <c r="BQ519" s="78">
        <f t="shared" si="391"/>
        <v>4.5799999999999999E-3</v>
      </c>
      <c r="BR519" s="78">
        <f t="shared" si="392"/>
        <v>4.5799999999999999E-3</v>
      </c>
      <c r="BS519" s="77"/>
      <c r="BT519" s="77"/>
    </row>
    <row r="520" spans="1:72" ht="14.1" customHeight="1" x14ac:dyDescent="0.2">
      <c r="A520" s="55" t="str">
        <f t="shared" si="363"/>
        <v>DS-5 (Lighting Service)_Rider REA -Renewable Energy Assis-BGS</v>
      </c>
      <c r="B520" s="85" t="s">
        <v>647</v>
      </c>
      <c r="C520" s="71" t="s">
        <v>587</v>
      </c>
      <c r="D520" s="150"/>
      <c r="E520" s="81"/>
      <c r="F520" s="73" t="s">
        <v>649</v>
      </c>
      <c r="G520" s="73">
        <v>0</v>
      </c>
      <c r="H520" s="73">
        <v>6</v>
      </c>
      <c r="I520" s="74" t="s">
        <v>641</v>
      </c>
      <c r="J520" s="75" t="s">
        <v>634</v>
      </c>
      <c r="K520" s="74"/>
      <c r="L520" s="82">
        <v>4.5799999999999999E-3</v>
      </c>
      <c r="M520" s="138">
        <v>4.5799999999999999E-3</v>
      </c>
      <c r="N520" s="138">
        <v>4.5799999999999999E-3</v>
      </c>
      <c r="O520" s="138">
        <v>4.5799999999999999E-3</v>
      </c>
      <c r="P520" s="138">
        <v>4.5799999999999999E-3</v>
      </c>
      <c r="Q520" s="138">
        <v>4.5799999999999999E-3</v>
      </c>
      <c r="R520" s="138">
        <v>4.5799999999999999E-3</v>
      </c>
      <c r="S520" s="138">
        <v>4.5799999999999999E-3</v>
      </c>
      <c r="T520" s="138">
        <v>4.5799999999999999E-3</v>
      </c>
      <c r="U520" s="138">
        <v>4.5799999999999999E-3</v>
      </c>
      <c r="V520" s="138">
        <v>4.5799999999999999E-3</v>
      </c>
      <c r="W520" s="138">
        <v>4.5799999999999999E-3</v>
      </c>
      <c r="X520" s="138">
        <v>4.5799999999999999E-3</v>
      </c>
      <c r="Y520" s="138">
        <f t="shared" si="393"/>
        <v>4.5799999999999999E-3</v>
      </c>
      <c r="Z520" s="138">
        <f t="shared" si="394"/>
        <v>4.5799999999999999E-3</v>
      </c>
      <c r="AA520" s="138">
        <f t="shared" si="395"/>
        <v>4.5799999999999999E-3</v>
      </c>
      <c r="AB520" s="138">
        <f t="shared" si="396"/>
        <v>4.5799999999999999E-3</v>
      </c>
      <c r="AC520" s="138">
        <f t="shared" si="397"/>
        <v>4.5799999999999999E-3</v>
      </c>
      <c r="AD520" s="138">
        <f t="shared" si="398"/>
        <v>4.5799999999999999E-3</v>
      </c>
      <c r="AE520" s="138">
        <f t="shared" si="399"/>
        <v>4.5799999999999999E-3</v>
      </c>
      <c r="AF520" s="138">
        <f t="shared" si="400"/>
        <v>4.5799999999999999E-3</v>
      </c>
      <c r="AG520" s="138">
        <f t="shared" si="401"/>
        <v>4.5799999999999999E-3</v>
      </c>
      <c r="AH520" s="138">
        <f t="shared" si="402"/>
        <v>4.5799999999999999E-3</v>
      </c>
      <c r="AI520" s="138">
        <f t="shared" si="403"/>
        <v>4.5799999999999999E-3</v>
      </c>
      <c r="AJ520" s="138">
        <f t="shared" si="404"/>
        <v>4.5799999999999999E-3</v>
      </c>
      <c r="AK520" s="138">
        <f t="shared" si="405"/>
        <v>4.5799999999999999E-3</v>
      </c>
      <c r="AL520" s="138">
        <f t="shared" si="406"/>
        <v>4.5799999999999999E-3</v>
      </c>
      <c r="AM520" s="138">
        <f t="shared" si="407"/>
        <v>4.5799999999999999E-3</v>
      </c>
      <c r="AO520" s="77" t="str">
        <f t="shared" si="364"/>
        <v>DS-5 (Lighting Service)</v>
      </c>
      <c r="AP520" s="78" t="s">
        <v>650</v>
      </c>
      <c r="AQ520" s="77" t="str">
        <f t="shared" si="365"/>
        <v>Rider REA -Renewable Energy Assis-BGS</v>
      </c>
      <c r="AR520" s="78" t="str">
        <f t="shared" si="366"/>
        <v>Billing Cycle</v>
      </c>
      <c r="AS520" s="79">
        <f t="shared" si="367"/>
        <v>6</v>
      </c>
      <c r="AT520" s="78">
        <f t="shared" si="368"/>
        <v>0</v>
      </c>
      <c r="AU520" s="78">
        <f t="shared" si="369"/>
        <v>4.5799999999999999E-3</v>
      </c>
      <c r="AV520" s="78">
        <f t="shared" si="370"/>
        <v>4.5799999999999999E-3</v>
      </c>
      <c r="AW520" s="78">
        <f t="shared" si="371"/>
        <v>4.5799999999999999E-3</v>
      </c>
      <c r="AX520" s="78">
        <f t="shared" si="372"/>
        <v>4.5799999999999999E-3</v>
      </c>
      <c r="AY520" s="78">
        <f t="shared" si="373"/>
        <v>4.5799999999999999E-3</v>
      </c>
      <c r="AZ520" s="78">
        <f t="shared" si="374"/>
        <v>4.5799999999999999E-3</v>
      </c>
      <c r="BA520" s="78">
        <f t="shared" si="375"/>
        <v>4.5799999999999999E-3</v>
      </c>
      <c r="BB520" s="78">
        <f t="shared" si="376"/>
        <v>4.5799999999999999E-3</v>
      </c>
      <c r="BC520" s="78">
        <f t="shared" si="377"/>
        <v>4.5799999999999999E-3</v>
      </c>
      <c r="BD520" s="78">
        <f t="shared" si="378"/>
        <v>4.5799999999999999E-3</v>
      </c>
      <c r="BE520" s="78">
        <f t="shared" si="379"/>
        <v>4.5799999999999999E-3</v>
      </c>
      <c r="BF520" s="78">
        <f t="shared" si="380"/>
        <v>4.5799999999999999E-3</v>
      </c>
      <c r="BG520" s="78">
        <f t="shared" si="381"/>
        <v>4.5799999999999999E-3</v>
      </c>
      <c r="BH520" s="78">
        <f t="shared" si="382"/>
        <v>4.5799999999999999E-3</v>
      </c>
      <c r="BI520" s="78">
        <f t="shared" si="383"/>
        <v>4.5799999999999999E-3</v>
      </c>
      <c r="BJ520" s="78">
        <f t="shared" si="384"/>
        <v>4.5799999999999999E-3</v>
      </c>
      <c r="BK520" s="78">
        <f t="shared" si="385"/>
        <v>4.5799999999999999E-3</v>
      </c>
      <c r="BL520" s="78">
        <f t="shared" si="386"/>
        <v>4.5799999999999999E-3</v>
      </c>
      <c r="BM520" s="78">
        <f t="shared" si="387"/>
        <v>4.5799999999999999E-3</v>
      </c>
      <c r="BN520" s="78">
        <f t="shared" si="388"/>
        <v>4.5799999999999999E-3</v>
      </c>
      <c r="BO520" s="78">
        <f t="shared" si="389"/>
        <v>4.5799999999999999E-3</v>
      </c>
      <c r="BP520" s="78">
        <f t="shared" si="390"/>
        <v>4.5799999999999999E-3</v>
      </c>
      <c r="BQ520" s="78">
        <f t="shared" si="391"/>
        <v>4.5799999999999999E-3</v>
      </c>
      <c r="BR520" s="78">
        <f t="shared" si="392"/>
        <v>4.5799999999999999E-3</v>
      </c>
      <c r="BS520" s="77"/>
      <c r="BT520" s="77"/>
    </row>
    <row r="521" spans="1:72" ht="14.1" customHeight="1" x14ac:dyDescent="0.2">
      <c r="A521" s="55" t="str">
        <f t="shared" si="363"/>
        <v>GDS-1 (Residential)_Rider SPC - Special Purpose Chg</v>
      </c>
      <c r="B521" s="80" t="s">
        <v>95</v>
      </c>
      <c r="C521" s="83" t="s">
        <v>889</v>
      </c>
      <c r="D521" s="150" t="s">
        <v>557</v>
      </c>
      <c r="E521" s="81"/>
      <c r="F521" s="73" t="s">
        <v>649</v>
      </c>
      <c r="G521" s="73">
        <v>0</v>
      </c>
      <c r="H521" s="73">
        <v>6</v>
      </c>
      <c r="I521" s="74" t="s">
        <v>641</v>
      </c>
      <c r="J521" s="75" t="s">
        <v>634</v>
      </c>
      <c r="K521" s="74"/>
      <c r="L521" s="82">
        <v>0</v>
      </c>
      <c r="M521" s="138">
        <v>0</v>
      </c>
      <c r="N521" s="138">
        <v>0</v>
      </c>
      <c r="O521" s="138">
        <v>0</v>
      </c>
      <c r="P521" s="138">
        <v>0</v>
      </c>
      <c r="Q521" s="138">
        <v>0</v>
      </c>
      <c r="R521" s="138">
        <v>0</v>
      </c>
      <c r="S521" s="138">
        <v>0</v>
      </c>
      <c r="T521" s="138">
        <v>0</v>
      </c>
      <c r="U521" s="138">
        <v>0</v>
      </c>
      <c r="V521" s="138">
        <v>0</v>
      </c>
      <c r="W521" s="138">
        <v>0</v>
      </c>
      <c r="X521" s="138">
        <v>0</v>
      </c>
      <c r="Y521" s="138">
        <f t="shared" si="393"/>
        <v>0</v>
      </c>
      <c r="Z521" s="138">
        <f t="shared" si="394"/>
        <v>0</v>
      </c>
      <c r="AA521" s="138">
        <f t="shared" si="395"/>
        <v>0</v>
      </c>
      <c r="AB521" s="138">
        <f t="shared" si="396"/>
        <v>0</v>
      </c>
      <c r="AC521" s="138">
        <f t="shared" si="397"/>
        <v>0</v>
      </c>
      <c r="AD521" s="138">
        <f t="shared" si="398"/>
        <v>0</v>
      </c>
      <c r="AE521" s="138">
        <f t="shared" si="399"/>
        <v>0</v>
      </c>
      <c r="AF521" s="138">
        <f t="shared" si="400"/>
        <v>0</v>
      </c>
      <c r="AG521" s="138">
        <f t="shared" si="401"/>
        <v>0</v>
      </c>
      <c r="AH521" s="138">
        <f t="shared" si="402"/>
        <v>0</v>
      </c>
      <c r="AI521" s="138">
        <f t="shared" si="403"/>
        <v>0</v>
      </c>
      <c r="AJ521" s="138">
        <f t="shared" si="404"/>
        <v>0</v>
      </c>
      <c r="AK521" s="138">
        <f t="shared" si="405"/>
        <v>0</v>
      </c>
      <c r="AL521" s="138">
        <f t="shared" si="406"/>
        <v>0</v>
      </c>
      <c r="AM521" s="138">
        <f t="shared" si="407"/>
        <v>0</v>
      </c>
      <c r="AO521" s="77" t="str">
        <f t="shared" si="364"/>
        <v>GDS-1 (Residential)</v>
      </c>
      <c r="AP521" s="78" t="s">
        <v>668</v>
      </c>
      <c r="AQ521" s="77" t="str">
        <f t="shared" si="365"/>
        <v>Rider SPC - Special Purpose Chg</v>
      </c>
      <c r="AR521" s="78" t="str">
        <f t="shared" si="366"/>
        <v>Billing Cycle</v>
      </c>
      <c r="AS521" s="79">
        <f t="shared" si="367"/>
        <v>6</v>
      </c>
      <c r="AT521" s="78">
        <f t="shared" si="368"/>
        <v>0</v>
      </c>
      <c r="AU521" s="78">
        <f t="shared" si="369"/>
        <v>0</v>
      </c>
      <c r="AV521" s="78">
        <f t="shared" si="370"/>
        <v>0</v>
      </c>
      <c r="AW521" s="78">
        <f t="shared" si="371"/>
        <v>0</v>
      </c>
      <c r="AX521" s="78">
        <f t="shared" si="372"/>
        <v>0</v>
      </c>
      <c r="AY521" s="78">
        <f t="shared" si="373"/>
        <v>0</v>
      </c>
      <c r="AZ521" s="78">
        <f t="shared" si="374"/>
        <v>0</v>
      </c>
      <c r="BA521" s="78">
        <f t="shared" si="375"/>
        <v>0</v>
      </c>
      <c r="BB521" s="78">
        <f t="shared" si="376"/>
        <v>0</v>
      </c>
      <c r="BC521" s="78">
        <f t="shared" si="377"/>
        <v>0</v>
      </c>
      <c r="BD521" s="78">
        <f t="shared" si="378"/>
        <v>0</v>
      </c>
      <c r="BE521" s="78">
        <f t="shared" si="379"/>
        <v>0</v>
      </c>
      <c r="BF521" s="78">
        <f t="shared" si="380"/>
        <v>0</v>
      </c>
      <c r="BG521" s="78">
        <f t="shared" si="381"/>
        <v>0</v>
      </c>
      <c r="BH521" s="78">
        <f t="shared" si="382"/>
        <v>0</v>
      </c>
      <c r="BI521" s="78">
        <f t="shared" si="383"/>
        <v>0</v>
      </c>
      <c r="BJ521" s="78">
        <f t="shared" si="384"/>
        <v>0</v>
      </c>
      <c r="BK521" s="78">
        <f t="shared" si="385"/>
        <v>0</v>
      </c>
      <c r="BL521" s="78">
        <f t="shared" si="386"/>
        <v>0</v>
      </c>
      <c r="BM521" s="78">
        <f t="shared" si="387"/>
        <v>0</v>
      </c>
      <c r="BN521" s="78">
        <f t="shared" si="388"/>
        <v>0</v>
      </c>
      <c r="BO521" s="78">
        <f t="shared" si="389"/>
        <v>0</v>
      </c>
      <c r="BP521" s="78">
        <f t="shared" si="390"/>
        <v>0</v>
      </c>
      <c r="BQ521" s="78">
        <f t="shared" si="391"/>
        <v>0</v>
      </c>
      <c r="BR521" s="78">
        <f t="shared" si="392"/>
        <v>0</v>
      </c>
      <c r="BS521" s="77"/>
      <c r="BT521" s="77"/>
    </row>
    <row r="522" spans="1:72" ht="14.1" customHeight="1" x14ac:dyDescent="0.2">
      <c r="A522" s="55" t="str">
        <f t="shared" si="363"/>
        <v>GDS-2 (Small General Delivery)_Rider SPC - Special Purpose Chg</v>
      </c>
      <c r="B522" s="80" t="s">
        <v>669</v>
      </c>
      <c r="C522" s="83" t="s">
        <v>889</v>
      </c>
      <c r="D522" s="150"/>
      <c r="E522" s="81"/>
      <c r="F522" s="73" t="s">
        <v>649</v>
      </c>
      <c r="G522" s="73">
        <v>0</v>
      </c>
      <c r="H522" s="73">
        <v>6</v>
      </c>
      <c r="I522" s="74" t="s">
        <v>641</v>
      </c>
      <c r="J522" s="75" t="s">
        <v>634</v>
      </c>
      <c r="K522" s="74"/>
      <c r="L522" s="82">
        <v>0</v>
      </c>
      <c r="M522" s="138">
        <v>0</v>
      </c>
      <c r="N522" s="138">
        <v>0</v>
      </c>
      <c r="O522" s="138">
        <v>0</v>
      </c>
      <c r="P522" s="138">
        <v>0</v>
      </c>
      <c r="Q522" s="138">
        <v>0</v>
      </c>
      <c r="R522" s="138">
        <v>0</v>
      </c>
      <c r="S522" s="138">
        <v>0</v>
      </c>
      <c r="T522" s="138">
        <v>0</v>
      </c>
      <c r="U522" s="138">
        <v>0</v>
      </c>
      <c r="V522" s="138">
        <v>0</v>
      </c>
      <c r="W522" s="138">
        <v>0</v>
      </c>
      <c r="X522" s="138">
        <v>0</v>
      </c>
      <c r="Y522" s="138">
        <f t="shared" si="393"/>
        <v>0</v>
      </c>
      <c r="Z522" s="138">
        <f t="shared" si="394"/>
        <v>0</v>
      </c>
      <c r="AA522" s="138">
        <f t="shared" si="395"/>
        <v>0</v>
      </c>
      <c r="AB522" s="138">
        <f t="shared" si="396"/>
        <v>0</v>
      </c>
      <c r="AC522" s="138">
        <f t="shared" si="397"/>
        <v>0</v>
      </c>
      <c r="AD522" s="138">
        <f t="shared" si="398"/>
        <v>0</v>
      </c>
      <c r="AE522" s="138">
        <f t="shared" si="399"/>
        <v>0</v>
      </c>
      <c r="AF522" s="138">
        <f t="shared" si="400"/>
        <v>0</v>
      </c>
      <c r="AG522" s="138">
        <f t="shared" si="401"/>
        <v>0</v>
      </c>
      <c r="AH522" s="138">
        <f t="shared" si="402"/>
        <v>0</v>
      </c>
      <c r="AI522" s="138">
        <f t="shared" si="403"/>
        <v>0</v>
      </c>
      <c r="AJ522" s="138">
        <f t="shared" si="404"/>
        <v>0</v>
      </c>
      <c r="AK522" s="138">
        <f t="shared" si="405"/>
        <v>0</v>
      </c>
      <c r="AL522" s="138">
        <f t="shared" si="406"/>
        <v>0</v>
      </c>
      <c r="AM522" s="138">
        <f t="shared" si="407"/>
        <v>0</v>
      </c>
      <c r="AO522" s="77" t="str">
        <f t="shared" si="364"/>
        <v>GDS-2 (Small General Delivery)</v>
      </c>
      <c r="AP522" s="78" t="s">
        <v>670</v>
      </c>
      <c r="AQ522" s="77" t="str">
        <f t="shared" si="365"/>
        <v>Rider SPC - Special Purpose Chg</v>
      </c>
      <c r="AR522" s="78" t="str">
        <f t="shared" si="366"/>
        <v>Billing Cycle</v>
      </c>
      <c r="AS522" s="79">
        <f t="shared" si="367"/>
        <v>6</v>
      </c>
      <c r="AT522" s="78">
        <f t="shared" si="368"/>
        <v>0</v>
      </c>
      <c r="AU522" s="78">
        <f t="shared" si="369"/>
        <v>0</v>
      </c>
      <c r="AV522" s="78">
        <f t="shared" si="370"/>
        <v>0</v>
      </c>
      <c r="AW522" s="78">
        <f t="shared" si="371"/>
        <v>0</v>
      </c>
      <c r="AX522" s="78">
        <f t="shared" si="372"/>
        <v>0</v>
      </c>
      <c r="AY522" s="78">
        <f t="shared" si="373"/>
        <v>0</v>
      </c>
      <c r="AZ522" s="78">
        <f t="shared" si="374"/>
        <v>0</v>
      </c>
      <c r="BA522" s="78">
        <f t="shared" si="375"/>
        <v>0</v>
      </c>
      <c r="BB522" s="78">
        <f t="shared" si="376"/>
        <v>0</v>
      </c>
      <c r="BC522" s="78">
        <f t="shared" si="377"/>
        <v>0</v>
      </c>
      <c r="BD522" s="78">
        <f t="shared" si="378"/>
        <v>0</v>
      </c>
      <c r="BE522" s="78">
        <f t="shared" si="379"/>
        <v>0</v>
      </c>
      <c r="BF522" s="78">
        <f t="shared" si="380"/>
        <v>0</v>
      </c>
      <c r="BG522" s="78">
        <f t="shared" si="381"/>
        <v>0</v>
      </c>
      <c r="BH522" s="78">
        <f t="shared" si="382"/>
        <v>0</v>
      </c>
      <c r="BI522" s="78">
        <f t="shared" si="383"/>
        <v>0</v>
      </c>
      <c r="BJ522" s="78">
        <f t="shared" si="384"/>
        <v>0</v>
      </c>
      <c r="BK522" s="78">
        <f t="shared" si="385"/>
        <v>0</v>
      </c>
      <c r="BL522" s="78">
        <f t="shared" si="386"/>
        <v>0</v>
      </c>
      <c r="BM522" s="78">
        <f t="shared" si="387"/>
        <v>0</v>
      </c>
      <c r="BN522" s="78">
        <f t="shared" si="388"/>
        <v>0</v>
      </c>
      <c r="BO522" s="78">
        <f t="shared" si="389"/>
        <v>0</v>
      </c>
      <c r="BP522" s="78">
        <f t="shared" si="390"/>
        <v>0</v>
      </c>
      <c r="BQ522" s="78">
        <f t="shared" si="391"/>
        <v>0</v>
      </c>
      <c r="BR522" s="78">
        <f t="shared" si="392"/>
        <v>0</v>
      </c>
      <c r="BS522" s="77"/>
      <c r="BT522" s="77"/>
    </row>
    <row r="523" spans="1:72" ht="14.1" customHeight="1" x14ac:dyDescent="0.2">
      <c r="A523" s="55" t="str">
        <f t="shared" si="363"/>
        <v>GDS-3 (Intermediate General Delivery)_Rider SPC - Special Purpose Chg</v>
      </c>
      <c r="B523" s="80" t="s">
        <v>671</v>
      </c>
      <c r="C523" s="83" t="s">
        <v>889</v>
      </c>
      <c r="D523" s="150"/>
      <c r="E523" s="81"/>
      <c r="F523" s="73" t="s">
        <v>649</v>
      </c>
      <c r="G523" s="73">
        <v>0</v>
      </c>
      <c r="H523" s="73">
        <v>6</v>
      </c>
      <c r="I523" s="74" t="s">
        <v>641</v>
      </c>
      <c r="J523" s="75" t="s">
        <v>634</v>
      </c>
      <c r="K523" s="74"/>
      <c r="L523" s="82">
        <v>0</v>
      </c>
      <c r="M523" s="138">
        <v>0</v>
      </c>
      <c r="N523" s="138">
        <v>0</v>
      </c>
      <c r="O523" s="138">
        <v>0</v>
      </c>
      <c r="P523" s="138">
        <v>0</v>
      </c>
      <c r="Q523" s="138">
        <v>0</v>
      </c>
      <c r="R523" s="138">
        <v>0</v>
      </c>
      <c r="S523" s="138">
        <v>0</v>
      </c>
      <c r="T523" s="138">
        <v>0</v>
      </c>
      <c r="U523" s="138">
        <v>0</v>
      </c>
      <c r="V523" s="138">
        <v>0</v>
      </c>
      <c r="W523" s="138">
        <v>0</v>
      </c>
      <c r="X523" s="138">
        <v>0</v>
      </c>
      <c r="Y523" s="138">
        <f t="shared" si="393"/>
        <v>0</v>
      </c>
      <c r="Z523" s="138">
        <f t="shared" si="394"/>
        <v>0</v>
      </c>
      <c r="AA523" s="138">
        <f t="shared" si="395"/>
        <v>0</v>
      </c>
      <c r="AB523" s="138">
        <f t="shared" si="396"/>
        <v>0</v>
      </c>
      <c r="AC523" s="138">
        <f t="shared" si="397"/>
        <v>0</v>
      </c>
      <c r="AD523" s="138">
        <f t="shared" si="398"/>
        <v>0</v>
      </c>
      <c r="AE523" s="138">
        <f t="shared" si="399"/>
        <v>0</v>
      </c>
      <c r="AF523" s="138">
        <f t="shared" si="400"/>
        <v>0</v>
      </c>
      <c r="AG523" s="138">
        <f t="shared" si="401"/>
        <v>0</v>
      </c>
      <c r="AH523" s="138">
        <f t="shared" si="402"/>
        <v>0</v>
      </c>
      <c r="AI523" s="138">
        <f t="shared" si="403"/>
        <v>0</v>
      </c>
      <c r="AJ523" s="138">
        <f t="shared" si="404"/>
        <v>0</v>
      </c>
      <c r="AK523" s="138">
        <f t="shared" si="405"/>
        <v>0</v>
      </c>
      <c r="AL523" s="138">
        <f t="shared" si="406"/>
        <v>0</v>
      </c>
      <c r="AM523" s="138">
        <f t="shared" si="407"/>
        <v>0</v>
      </c>
      <c r="AO523" s="77" t="str">
        <f t="shared" si="364"/>
        <v>GDS-3 (Intermediate General Delivery)</v>
      </c>
      <c r="AP523" s="78" t="s">
        <v>672</v>
      </c>
      <c r="AQ523" s="77" t="str">
        <f t="shared" si="365"/>
        <v>Rider SPC - Special Purpose Chg</v>
      </c>
      <c r="AR523" s="78" t="str">
        <f t="shared" si="366"/>
        <v>Billing Cycle</v>
      </c>
      <c r="AS523" s="79">
        <f t="shared" si="367"/>
        <v>6</v>
      </c>
      <c r="AT523" s="78">
        <f t="shared" si="368"/>
        <v>0</v>
      </c>
      <c r="AU523" s="78">
        <f t="shared" si="369"/>
        <v>0</v>
      </c>
      <c r="AV523" s="78">
        <f t="shared" si="370"/>
        <v>0</v>
      </c>
      <c r="AW523" s="78">
        <f t="shared" si="371"/>
        <v>0</v>
      </c>
      <c r="AX523" s="78">
        <f t="shared" si="372"/>
        <v>0</v>
      </c>
      <c r="AY523" s="78">
        <f t="shared" si="373"/>
        <v>0</v>
      </c>
      <c r="AZ523" s="78">
        <f t="shared" si="374"/>
        <v>0</v>
      </c>
      <c r="BA523" s="78">
        <f t="shared" si="375"/>
        <v>0</v>
      </c>
      <c r="BB523" s="78">
        <f t="shared" si="376"/>
        <v>0</v>
      </c>
      <c r="BC523" s="78">
        <f t="shared" si="377"/>
        <v>0</v>
      </c>
      <c r="BD523" s="78">
        <f t="shared" si="378"/>
        <v>0</v>
      </c>
      <c r="BE523" s="78">
        <f t="shared" si="379"/>
        <v>0</v>
      </c>
      <c r="BF523" s="78">
        <f t="shared" si="380"/>
        <v>0</v>
      </c>
      <c r="BG523" s="78">
        <f t="shared" si="381"/>
        <v>0</v>
      </c>
      <c r="BH523" s="78">
        <f t="shared" si="382"/>
        <v>0</v>
      </c>
      <c r="BI523" s="78">
        <f t="shared" si="383"/>
        <v>0</v>
      </c>
      <c r="BJ523" s="78">
        <f t="shared" si="384"/>
        <v>0</v>
      </c>
      <c r="BK523" s="78">
        <f t="shared" si="385"/>
        <v>0</v>
      </c>
      <c r="BL523" s="78">
        <f t="shared" si="386"/>
        <v>0</v>
      </c>
      <c r="BM523" s="78">
        <f t="shared" si="387"/>
        <v>0</v>
      </c>
      <c r="BN523" s="78">
        <f t="shared" si="388"/>
        <v>0</v>
      </c>
      <c r="BO523" s="78">
        <f t="shared" si="389"/>
        <v>0</v>
      </c>
      <c r="BP523" s="78">
        <f t="shared" si="390"/>
        <v>0</v>
      </c>
      <c r="BQ523" s="78">
        <f t="shared" si="391"/>
        <v>0</v>
      </c>
      <c r="BR523" s="78">
        <f t="shared" si="392"/>
        <v>0</v>
      </c>
      <c r="BS523" s="77"/>
      <c r="BT523" s="77"/>
    </row>
    <row r="524" spans="1:72" ht="14.1" customHeight="1" x14ac:dyDescent="0.2">
      <c r="A524" s="55" t="str">
        <f t="shared" si="363"/>
        <v>GDS-4 (Large General Delivery)_Rider SPC - Special Purpose Chg</v>
      </c>
      <c r="B524" s="80" t="s">
        <v>673</v>
      </c>
      <c r="C524" s="83" t="s">
        <v>889</v>
      </c>
      <c r="D524" s="150"/>
      <c r="E524" s="81"/>
      <c r="F524" s="73" t="s">
        <v>649</v>
      </c>
      <c r="G524" s="73">
        <v>0</v>
      </c>
      <c r="H524" s="73">
        <v>6</v>
      </c>
      <c r="I524" s="74" t="s">
        <v>641</v>
      </c>
      <c r="J524" s="75" t="s">
        <v>634</v>
      </c>
      <c r="K524" s="74"/>
      <c r="L524" s="82">
        <v>0</v>
      </c>
      <c r="M524" s="138">
        <v>0</v>
      </c>
      <c r="N524" s="138">
        <v>0</v>
      </c>
      <c r="O524" s="138">
        <v>0</v>
      </c>
      <c r="P524" s="138">
        <v>0</v>
      </c>
      <c r="Q524" s="138">
        <v>0</v>
      </c>
      <c r="R524" s="138">
        <v>0</v>
      </c>
      <c r="S524" s="138">
        <v>0</v>
      </c>
      <c r="T524" s="138">
        <v>0</v>
      </c>
      <c r="U524" s="138">
        <v>0</v>
      </c>
      <c r="V524" s="138">
        <v>0</v>
      </c>
      <c r="W524" s="138">
        <v>0</v>
      </c>
      <c r="X524" s="138">
        <v>0</v>
      </c>
      <c r="Y524" s="138">
        <f t="shared" si="393"/>
        <v>0</v>
      </c>
      <c r="Z524" s="138">
        <f t="shared" si="394"/>
        <v>0</v>
      </c>
      <c r="AA524" s="138">
        <f t="shared" si="395"/>
        <v>0</v>
      </c>
      <c r="AB524" s="138">
        <f t="shared" si="396"/>
        <v>0</v>
      </c>
      <c r="AC524" s="138">
        <f t="shared" si="397"/>
        <v>0</v>
      </c>
      <c r="AD524" s="138">
        <f t="shared" si="398"/>
        <v>0</v>
      </c>
      <c r="AE524" s="138">
        <f t="shared" si="399"/>
        <v>0</v>
      </c>
      <c r="AF524" s="138">
        <f t="shared" si="400"/>
        <v>0</v>
      </c>
      <c r="AG524" s="138">
        <f t="shared" si="401"/>
        <v>0</v>
      </c>
      <c r="AH524" s="138">
        <f t="shared" si="402"/>
        <v>0</v>
      </c>
      <c r="AI524" s="138">
        <f t="shared" si="403"/>
        <v>0</v>
      </c>
      <c r="AJ524" s="138">
        <f t="shared" si="404"/>
        <v>0</v>
      </c>
      <c r="AK524" s="138">
        <f t="shared" si="405"/>
        <v>0</v>
      </c>
      <c r="AL524" s="138">
        <f t="shared" si="406"/>
        <v>0</v>
      </c>
      <c r="AM524" s="138">
        <f t="shared" si="407"/>
        <v>0</v>
      </c>
      <c r="AO524" s="77" t="str">
        <f t="shared" si="364"/>
        <v>GDS-4 (Large General Delivery)</v>
      </c>
      <c r="AP524" s="78" t="s">
        <v>674</v>
      </c>
      <c r="AQ524" s="77" t="str">
        <f t="shared" si="365"/>
        <v>Rider SPC - Special Purpose Chg</v>
      </c>
      <c r="AR524" s="78" t="str">
        <f t="shared" si="366"/>
        <v>Billing Cycle</v>
      </c>
      <c r="AS524" s="79">
        <f t="shared" si="367"/>
        <v>6</v>
      </c>
      <c r="AT524" s="78">
        <f t="shared" si="368"/>
        <v>0</v>
      </c>
      <c r="AU524" s="78">
        <f t="shared" si="369"/>
        <v>0</v>
      </c>
      <c r="AV524" s="78">
        <f t="shared" si="370"/>
        <v>0</v>
      </c>
      <c r="AW524" s="78">
        <f t="shared" si="371"/>
        <v>0</v>
      </c>
      <c r="AX524" s="78">
        <f t="shared" si="372"/>
        <v>0</v>
      </c>
      <c r="AY524" s="78">
        <f t="shared" si="373"/>
        <v>0</v>
      </c>
      <c r="AZ524" s="78">
        <f t="shared" si="374"/>
        <v>0</v>
      </c>
      <c r="BA524" s="78">
        <f t="shared" si="375"/>
        <v>0</v>
      </c>
      <c r="BB524" s="78">
        <f t="shared" si="376"/>
        <v>0</v>
      </c>
      <c r="BC524" s="78">
        <f t="shared" si="377"/>
        <v>0</v>
      </c>
      <c r="BD524" s="78">
        <f t="shared" si="378"/>
        <v>0</v>
      </c>
      <c r="BE524" s="78">
        <f t="shared" si="379"/>
        <v>0</v>
      </c>
      <c r="BF524" s="78">
        <f t="shared" si="380"/>
        <v>0</v>
      </c>
      <c r="BG524" s="78">
        <f t="shared" si="381"/>
        <v>0</v>
      </c>
      <c r="BH524" s="78">
        <f t="shared" si="382"/>
        <v>0</v>
      </c>
      <c r="BI524" s="78">
        <f t="shared" si="383"/>
        <v>0</v>
      </c>
      <c r="BJ524" s="78">
        <f t="shared" si="384"/>
        <v>0</v>
      </c>
      <c r="BK524" s="78">
        <f t="shared" si="385"/>
        <v>0</v>
      </c>
      <c r="BL524" s="78">
        <f t="shared" si="386"/>
        <v>0</v>
      </c>
      <c r="BM524" s="78">
        <f t="shared" si="387"/>
        <v>0</v>
      </c>
      <c r="BN524" s="78">
        <f t="shared" si="388"/>
        <v>0</v>
      </c>
      <c r="BO524" s="78">
        <f t="shared" si="389"/>
        <v>0</v>
      </c>
      <c r="BP524" s="78">
        <f t="shared" si="390"/>
        <v>0</v>
      </c>
      <c r="BQ524" s="78">
        <f t="shared" si="391"/>
        <v>0</v>
      </c>
      <c r="BR524" s="78">
        <f t="shared" si="392"/>
        <v>0</v>
      </c>
      <c r="BS524" s="77"/>
      <c r="BT524" s="77"/>
    </row>
    <row r="525" spans="1:72" ht="14.1" customHeight="1" x14ac:dyDescent="0.2">
      <c r="A525" s="55" t="str">
        <f t="shared" si="363"/>
        <v>GDS-5 (Seasonal)_Rider SPC - Special Purpose Chg</v>
      </c>
      <c r="B525" s="80" t="s">
        <v>675</v>
      </c>
      <c r="C525" s="83" t="s">
        <v>889</v>
      </c>
      <c r="D525" s="150"/>
      <c r="E525" s="81"/>
      <c r="F525" s="73" t="s">
        <v>649</v>
      </c>
      <c r="G525" s="73">
        <v>0</v>
      </c>
      <c r="H525" s="73">
        <v>6</v>
      </c>
      <c r="I525" s="74" t="s">
        <v>641</v>
      </c>
      <c r="J525" s="75" t="s">
        <v>634</v>
      </c>
      <c r="K525" s="74"/>
      <c r="L525" s="82">
        <v>0</v>
      </c>
      <c r="M525" s="138">
        <v>0</v>
      </c>
      <c r="N525" s="138">
        <v>0</v>
      </c>
      <c r="O525" s="138">
        <v>0</v>
      </c>
      <c r="P525" s="138">
        <v>0</v>
      </c>
      <c r="Q525" s="138">
        <v>0</v>
      </c>
      <c r="R525" s="138">
        <v>0</v>
      </c>
      <c r="S525" s="138">
        <v>0</v>
      </c>
      <c r="T525" s="138">
        <v>0</v>
      </c>
      <c r="U525" s="138">
        <v>0</v>
      </c>
      <c r="V525" s="138">
        <v>0</v>
      </c>
      <c r="W525" s="138">
        <v>0</v>
      </c>
      <c r="X525" s="138">
        <v>0</v>
      </c>
      <c r="Y525" s="138">
        <f t="shared" si="393"/>
        <v>0</v>
      </c>
      <c r="Z525" s="138">
        <f t="shared" si="394"/>
        <v>0</v>
      </c>
      <c r="AA525" s="138">
        <f t="shared" si="395"/>
        <v>0</v>
      </c>
      <c r="AB525" s="138">
        <f t="shared" si="396"/>
        <v>0</v>
      </c>
      <c r="AC525" s="138">
        <f t="shared" si="397"/>
        <v>0</v>
      </c>
      <c r="AD525" s="138">
        <f t="shared" si="398"/>
        <v>0</v>
      </c>
      <c r="AE525" s="138">
        <f t="shared" si="399"/>
        <v>0</v>
      </c>
      <c r="AF525" s="138">
        <f t="shared" si="400"/>
        <v>0</v>
      </c>
      <c r="AG525" s="138">
        <f t="shared" si="401"/>
        <v>0</v>
      </c>
      <c r="AH525" s="138">
        <f t="shared" si="402"/>
        <v>0</v>
      </c>
      <c r="AI525" s="138">
        <f t="shared" si="403"/>
        <v>0</v>
      </c>
      <c r="AJ525" s="138">
        <f t="shared" si="404"/>
        <v>0</v>
      </c>
      <c r="AK525" s="138">
        <f t="shared" si="405"/>
        <v>0</v>
      </c>
      <c r="AL525" s="138">
        <f t="shared" si="406"/>
        <v>0</v>
      </c>
      <c r="AM525" s="138">
        <f t="shared" si="407"/>
        <v>0</v>
      </c>
      <c r="AO525" s="77" t="str">
        <f t="shared" si="364"/>
        <v>GDS-5 (Seasonal)</v>
      </c>
      <c r="AP525" s="78" t="s">
        <v>676</v>
      </c>
      <c r="AQ525" s="77" t="str">
        <f t="shared" si="365"/>
        <v>Rider SPC - Special Purpose Chg</v>
      </c>
      <c r="AR525" s="78" t="str">
        <f t="shared" si="366"/>
        <v>Billing Cycle</v>
      </c>
      <c r="AS525" s="79">
        <f t="shared" si="367"/>
        <v>6</v>
      </c>
      <c r="AT525" s="78">
        <f t="shared" si="368"/>
        <v>0</v>
      </c>
      <c r="AU525" s="78">
        <f t="shared" si="369"/>
        <v>0</v>
      </c>
      <c r="AV525" s="78">
        <f t="shared" si="370"/>
        <v>0</v>
      </c>
      <c r="AW525" s="78">
        <f t="shared" si="371"/>
        <v>0</v>
      </c>
      <c r="AX525" s="78">
        <f t="shared" si="372"/>
        <v>0</v>
      </c>
      <c r="AY525" s="78">
        <f t="shared" si="373"/>
        <v>0</v>
      </c>
      <c r="AZ525" s="78">
        <f t="shared" si="374"/>
        <v>0</v>
      </c>
      <c r="BA525" s="78">
        <f t="shared" si="375"/>
        <v>0</v>
      </c>
      <c r="BB525" s="78">
        <f t="shared" si="376"/>
        <v>0</v>
      </c>
      <c r="BC525" s="78">
        <f t="shared" si="377"/>
        <v>0</v>
      </c>
      <c r="BD525" s="78">
        <f t="shared" si="378"/>
        <v>0</v>
      </c>
      <c r="BE525" s="78">
        <f t="shared" si="379"/>
        <v>0</v>
      </c>
      <c r="BF525" s="78">
        <f t="shared" si="380"/>
        <v>0</v>
      </c>
      <c r="BG525" s="78">
        <f t="shared" si="381"/>
        <v>0</v>
      </c>
      <c r="BH525" s="78">
        <f t="shared" si="382"/>
        <v>0</v>
      </c>
      <c r="BI525" s="78">
        <f t="shared" si="383"/>
        <v>0</v>
      </c>
      <c r="BJ525" s="78">
        <f t="shared" si="384"/>
        <v>0</v>
      </c>
      <c r="BK525" s="78">
        <f t="shared" si="385"/>
        <v>0</v>
      </c>
      <c r="BL525" s="78">
        <f t="shared" si="386"/>
        <v>0</v>
      </c>
      <c r="BM525" s="78">
        <f t="shared" si="387"/>
        <v>0</v>
      </c>
      <c r="BN525" s="78">
        <f t="shared" si="388"/>
        <v>0</v>
      </c>
      <c r="BO525" s="78">
        <f t="shared" si="389"/>
        <v>0</v>
      </c>
      <c r="BP525" s="78">
        <f t="shared" si="390"/>
        <v>0</v>
      </c>
      <c r="BQ525" s="78">
        <f t="shared" si="391"/>
        <v>0</v>
      </c>
      <c r="BR525" s="78">
        <f t="shared" si="392"/>
        <v>0</v>
      </c>
      <c r="BS525" s="77"/>
      <c r="BT525" s="77"/>
    </row>
    <row r="526" spans="1:72" ht="14.1" customHeight="1" x14ac:dyDescent="0.2">
      <c r="A526" s="55" t="str">
        <f t="shared" si="363"/>
        <v>GDS-6 (Inadequate Capacity)_Rider SPC - Special Purpose Chg</v>
      </c>
      <c r="B526" s="80" t="s">
        <v>700</v>
      </c>
      <c r="C526" s="83" t="s">
        <v>889</v>
      </c>
      <c r="D526" s="150"/>
      <c r="E526" s="81"/>
      <c r="F526" s="73" t="s">
        <v>649</v>
      </c>
      <c r="G526" s="73">
        <v>0</v>
      </c>
      <c r="H526" s="73">
        <v>6</v>
      </c>
      <c r="I526" s="74" t="s">
        <v>641</v>
      </c>
      <c r="J526" s="75" t="s">
        <v>634</v>
      </c>
      <c r="K526" s="74"/>
      <c r="L526" s="82">
        <v>0</v>
      </c>
      <c r="M526" s="138">
        <v>0</v>
      </c>
      <c r="N526" s="138">
        <v>0</v>
      </c>
      <c r="O526" s="138">
        <v>0</v>
      </c>
      <c r="P526" s="138">
        <v>0</v>
      </c>
      <c r="Q526" s="138">
        <v>0</v>
      </c>
      <c r="R526" s="138">
        <v>0</v>
      </c>
      <c r="S526" s="138">
        <v>0</v>
      </c>
      <c r="T526" s="138">
        <v>0</v>
      </c>
      <c r="U526" s="138">
        <v>0</v>
      </c>
      <c r="V526" s="138">
        <v>0</v>
      </c>
      <c r="W526" s="138">
        <v>0</v>
      </c>
      <c r="X526" s="138">
        <v>0</v>
      </c>
      <c r="Y526" s="138">
        <f t="shared" si="393"/>
        <v>0</v>
      </c>
      <c r="Z526" s="138">
        <f t="shared" si="394"/>
        <v>0</v>
      </c>
      <c r="AA526" s="138">
        <f t="shared" si="395"/>
        <v>0</v>
      </c>
      <c r="AB526" s="138">
        <f t="shared" si="396"/>
        <v>0</v>
      </c>
      <c r="AC526" s="138">
        <f t="shared" si="397"/>
        <v>0</v>
      </c>
      <c r="AD526" s="138">
        <f t="shared" si="398"/>
        <v>0</v>
      </c>
      <c r="AE526" s="138">
        <f t="shared" si="399"/>
        <v>0</v>
      </c>
      <c r="AF526" s="138">
        <f t="shared" si="400"/>
        <v>0</v>
      </c>
      <c r="AG526" s="138">
        <f t="shared" si="401"/>
        <v>0</v>
      </c>
      <c r="AH526" s="138">
        <f t="shared" si="402"/>
        <v>0</v>
      </c>
      <c r="AI526" s="138">
        <f t="shared" si="403"/>
        <v>0</v>
      </c>
      <c r="AJ526" s="138">
        <f t="shared" si="404"/>
        <v>0</v>
      </c>
      <c r="AK526" s="138">
        <f t="shared" si="405"/>
        <v>0</v>
      </c>
      <c r="AL526" s="138">
        <f t="shared" si="406"/>
        <v>0</v>
      </c>
      <c r="AM526" s="138">
        <f t="shared" si="407"/>
        <v>0</v>
      </c>
      <c r="AO526" s="77" t="str">
        <f t="shared" si="364"/>
        <v>GDS-6 (Inadequate Capacity)</v>
      </c>
      <c r="AP526" s="78" t="s">
        <v>701</v>
      </c>
      <c r="AQ526" s="77" t="str">
        <f t="shared" si="365"/>
        <v>Rider SPC - Special Purpose Chg</v>
      </c>
      <c r="AR526" s="78" t="str">
        <f t="shared" si="366"/>
        <v>Billing Cycle</v>
      </c>
      <c r="AS526" s="79">
        <f t="shared" si="367"/>
        <v>6</v>
      </c>
      <c r="AT526" s="78">
        <f t="shared" si="368"/>
        <v>0</v>
      </c>
      <c r="AU526" s="78">
        <f t="shared" si="369"/>
        <v>0</v>
      </c>
      <c r="AV526" s="78">
        <f t="shared" si="370"/>
        <v>0</v>
      </c>
      <c r="AW526" s="78">
        <f t="shared" si="371"/>
        <v>0</v>
      </c>
      <c r="AX526" s="78">
        <f t="shared" si="372"/>
        <v>0</v>
      </c>
      <c r="AY526" s="78">
        <f t="shared" si="373"/>
        <v>0</v>
      </c>
      <c r="AZ526" s="78">
        <f t="shared" si="374"/>
        <v>0</v>
      </c>
      <c r="BA526" s="78">
        <f t="shared" si="375"/>
        <v>0</v>
      </c>
      <c r="BB526" s="78">
        <f t="shared" si="376"/>
        <v>0</v>
      </c>
      <c r="BC526" s="78">
        <f t="shared" si="377"/>
        <v>0</v>
      </c>
      <c r="BD526" s="78">
        <f t="shared" si="378"/>
        <v>0</v>
      </c>
      <c r="BE526" s="78">
        <f t="shared" si="379"/>
        <v>0</v>
      </c>
      <c r="BF526" s="78">
        <f t="shared" si="380"/>
        <v>0</v>
      </c>
      <c r="BG526" s="78">
        <f t="shared" si="381"/>
        <v>0</v>
      </c>
      <c r="BH526" s="78">
        <f t="shared" si="382"/>
        <v>0</v>
      </c>
      <c r="BI526" s="78">
        <f t="shared" si="383"/>
        <v>0</v>
      </c>
      <c r="BJ526" s="78">
        <f t="shared" si="384"/>
        <v>0</v>
      </c>
      <c r="BK526" s="78">
        <f t="shared" si="385"/>
        <v>0</v>
      </c>
      <c r="BL526" s="78">
        <f t="shared" si="386"/>
        <v>0</v>
      </c>
      <c r="BM526" s="78">
        <f t="shared" si="387"/>
        <v>0</v>
      </c>
      <c r="BN526" s="78">
        <f t="shared" si="388"/>
        <v>0</v>
      </c>
      <c r="BO526" s="78">
        <f t="shared" si="389"/>
        <v>0</v>
      </c>
      <c r="BP526" s="78">
        <f t="shared" si="390"/>
        <v>0</v>
      </c>
      <c r="BQ526" s="78">
        <f t="shared" si="391"/>
        <v>0</v>
      </c>
      <c r="BR526" s="78">
        <f t="shared" si="392"/>
        <v>0</v>
      </c>
      <c r="BS526" s="77"/>
      <c r="BT526" s="77"/>
    </row>
    <row r="527" spans="1:72" ht="14.1" customHeight="1" x14ac:dyDescent="0.2">
      <c r="A527" s="55" t="str">
        <f t="shared" si="363"/>
        <v>GDS-1 (Residential)_Rider TAR - Recovery of Coal Tar Costs - Rate Zone II</v>
      </c>
      <c r="B527" s="80" t="s">
        <v>95</v>
      </c>
      <c r="C527" s="83" t="s">
        <v>890</v>
      </c>
      <c r="D527" s="150" t="s">
        <v>841</v>
      </c>
      <c r="E527" s="81"/>
      <c r="F527" s="73" t="s">
        <v>649</v>
      </c>
      <c r="G527" s="73">
        <v>0</v>
      </c>
      <c r="H527" s="73">
        <v>8</v>
      </c>
      <c r="I527" s="74" t="s">
        <v>773</v>
      </c>
      <c r="J527" s="75" t="s">
        <v>774</v>
      </c>
      <c r="K527" s="74"/>
      <c r="L527" s="82">
        <v>0</v>
      </c>
      <c r="M527" s="138">
        <v>0</v>
      </c>
      <c r="N527" s="138">
        <v>0</v>
      </c>
      <c r="O527" s="138">
        <v>0</v>
      </c>
      <c r="P527" s="138">
        <v>3.4479999999999998E-4</v>
      </c>
      <c r="Q527" s="138">
        <v>3.0420000000000002E-4</v>
      </c>
      <c r="R527" s="138">
        <v>4.3330000000000002E-4</v>
      </c>
      <c r="S527" s="138">
        <v>3.969E-4</v>
      </c>
      <c r="T527" s="138">
        <v>6.6980000000000002E-4</v>
      </c>
      <c r="U527" s="138">
        <v>4.4529999999999998E-4</v>
      </c>
      <c r="V527" s="138">
        <v>3.0459999999999998E-4</v>
      </c>
      <c r="W527" s="138">
        <v>3.0459999999999998E-4</v>
      </c>
      <c r="X527" s="138">
        <v>3.0459999999999998E-4</v>
      </c>
      <c r="Y527" s="138">
        <f t="shared" si="393"/>
        <v>3.0459999999999998E-4</v>
      </c>
      <c r="Z527" s="138">
        <f t="shared" si="394"/>
        <v>3.0459999999999998E-4</v>
      </c>
      <c r="AA527" s="138">
        <f t="shared" si="395"/>
        <v>3.0459999999999998E-4</v>
      </c>
      <c r="AB527" s="138">
        <f t="shared" si="396"/>
        <v>3.0459999999999998E-4</v>
      </c>
      <c r="AC527" s="138">
        <f t="shared" si="397"/>
        <v>3.0459999999999998E-4</v>
      </c>
      <c r="AD527" s="138">
        <f t="shared" si="398"/>
        <v>3.0459999999999998E-4</v>
      </c>
      <c r="AE527" s="138">
        <f t="shared" si="399"/>
        <v>3.0459999999999998E-4</v>
      </c>
      <c r="AF527" s="138">
        <f t="shared" si="400"/>
        <v>3.0459999999999998E-4</v>
      </c>
      <c r="AG527" s="138">
        <f t="shared" si="401"/>
        <v>3.0459999999999998E-4</v>
      </c>
      <c r="AH527" s="138">
        <f t="shared" si="402"/>
        <v>3.0459999999999998E-4</v>
      </c>
      <c r="AI527" s="138">
        <f t="shared" si="403"/>
        <v>3.0459999999999998E-4</v>
      </c>
      <c r="AJ527" s="138">
        <f t="shared" si="404"/>
        <v>3.0459999999999998E-4</v>
      </c>
      <c r="AK527" s="138">
        <f t="shared" si="405"/>
        <v>3.0459999999999998E-4</v>
      </c>
      <c r="AL527" s="138">
        <f t="shared" si="406"/>
        <v>3.0459999999999998E-4</v>
      </c>
      <c r="AM527" s="138">
        <f t="shared" si="407"/>
        <v>3.1116250000000014E-4</v>
      </c>
      <c r="AO527" s="77" t="str">
        <f t="shared" si="364"/>
        <v>GDS-1 (Residential)</v>
      </c>
      <c r="AP527" s="78" t="s">
        <v>668</v>
      </c>
      <c r="AQ527" s="77" t="str">
        <f t="shared" si="365"/>
        <v>Rider TAR - Recovery of Coal Tar Costs - Rate Zone II</v>
      </c>
      <c r="AR527" s="78" t="str">
        <f t="shared" si="366"/>
        <v>Billing Cycle</v>
      </c>
      <c r="AS527" s="79">
        <f t="shared" si="367"/>
        <v>8</v>
      </c>
      <c r="AT527" s="78">
        <f t="shared" si="368"/>
        <v>0</v>
      </c>
      <c r="AU527" s="78">
        <f t="shared" si="369"/>
        <v>0</v>
      </c>
      <c r="AV527" s="78">
        <f t="shared" si="370"/>
        <v>0</v>
      </c>
      <c r="AW527" s="78">
        <f t="shared" si="371"/>
        <v>0</v>
      </c>
      <c r="AX527" s="78">
        <f t="shared" si="372"/>
        <v>3.4479999999999998E-4</v>
      </c>
      <c r="AY527" s="78">
        <f t="shared" si="373"/>
        <v>3.0420000000000002E-4</v>
      </c>
      <c r="AZ527" s="78">
        <f t="shared" si="374"/>
        <v>4.3330000000000002E-4</v>
      </c>
      <c r="BA527" s="78">
        <f t="shared" si="375"/>
        <v>3.969E-4</v>
      </c>
      <c r="BB527" s="78">
        <f t="shared" si="376"/>
        <v>6.6980000000000002E-4</v>
      </c>
      <c r="BC527" s="78">
        <f t="shared" si="377"/>
        <v>4.4529999999999998E-4</v>
      </c>
      <c r="BD527" s="78">
        <f t="shared" si="378"/>
        <v>3.0459999999999998E-4</v>
      </c>
      <c r="BE527" s="78">
        <f t="shared" si="379"/>
        <v>3.0459999999999998E-4</v>
      </c>
      <c r="BF527" s="78">
        <f t="shared" si="380"/>
        <v>3.0459999999999998E-4</v>
      </c>
      <c r="BG527" s="78">
        <f t="shared" si="381"/>
        <v>3.0459999999999998E-4</v>
      </c>
      <c r="BH527" s="78">
        <f t="shared" si="382"/>
        <v>3.0459999999999998E-4</v>
      </c>
      <c r="BI527" s="78">
        <f t="shared" si="383"/>
        <v>3.0459999999999998E-4</v>
      </c>
      <c r="BJ527" s="78">
        <f t="shared" si="384"/>
        <v>3.0459999999999998E-4</v>
      </c>
      <c r="BK527" s="78">
        <f t="shared" si="385"/>
        <v>3.0459999999999998E-4</v>
      </c>
      <c r="BL527" s="78">
        <f t="shared" si="386"/>
        <v>3.0459999999999998E-4</v>
      </c>
      <c r="BM527" s="78">
        <f t="shared" si="387"/>
        <v>3.0459999999999998E-4</v>
      </c>
      <c r="BN527" s="78">
        <f t="shared" si="388"/>
        <v>3.0459999999999998E-4</v>
      </c>
      <c r="BO527" s="78">
        <f t="shared" si="389"/>
        <v>3.0459999999999998E-4</v>
      </c>
      <c r="BP527" s="78">
        <f t="shared" si="390"/>
        <v>3.0459999999999998E-4</v>
      </c>
      <c r="BQ527" s="78">
        <f t="shared" si="391"/>
        <v>3.0459999999999998E-4</v>
      </c>
      <c r="BR527" s="78">
        <f t="shared" si="392"/>
        <v>3.0459999999999998E-4</v>
      </c>
      <c r="BS527" s="77"/>
      <c r="BT527" s="77"/>
    </row>
    <row r="528" spans="1:72" ht="14.1" customHeight="1" x14ac:dyDescent="0.2">
      <c r="A528" s="55" t="str">
        <f t="shared" si="363"/>
        <v>GDS-2 (Small General Delivery)_Rider TAR - Recovery of Coal Tar Costs - Rate Zone II</v>
      </c>
      <c r="B528" s="80" t="s">
        <v>669</v>
      </c>
      <c r="C528" s="83" t="s">
        <v>890</v>
      </c>
      <c r="D528" s="150"/>
      <c r="E528" s="81"/>
      <c r="F528" s="73" t="s">
        <v>649</v>
      </c>
      <c r="G528" s="73">
        <v>0</v>
      </c>
      <c r="H528" s="73">
        <v>8</v>
      </c>
      <c r="I528" s="74" t="s">
        <v>773</v>
      </c>
      <c r="J528" s="75" t="s">
        <v>774</v>
      </c>
      <c r="K528" s="74"/>
      <c r="L528" s="82">
        <v>0</v>
      </c>
      <c r="M528" s="138">
        <v>0</v>
      </c>
      <c r="N528" s="138">
        <v>0</v>
      </c>
      <c r="O528" s="138">
        <v>0</v>
      </c>
      <c r="P528" s="138">
        <v>1.817E-4</v>
      </c>
      <c r="Q528" s="138">
        <v>1.6320000000000001E-4</v>
      </c>
      <c r="R528" s="138">
        <v>2.587E-4</v>
      </c>
      <c r="S528" s="138">
        <v>2.0029999999999999E-4</v>
      </c>
      <c r="T528" s="138">
        <v>2.4780000000000001E-4</v>
      </c>
      <c r="U528" s="138">
        <v>1.8990000000000001E-4</v>
      </c>
      <c r="V528" s="138">
        <v>1.8929999999999999E-4</v>
      </c>
      <c r="W528" s="138">
        <v>1.8929999999999999E-4</v>
      </c>
      <c r="X528" s="138">
        <v>1.8929999999999999E-4</v>
      </c>
      <c r="Y528" s="138">
        <f t="shared" si="393"/>
        <v>1.8929999999999999E-4</v>
      </c>
      <c r="Z528" s="138">
        <f t="shared" si="394"/>
        <v>1.8929999999999999E-4</v>
      </c>
      <c r="AA528" s="138">
        <f t="shared" si="395"/>
        <v>1.8929999999999999E-4</v>
      </c>
      <c r="AB528" s="138">
        <f t="shared" si="396"/>
        <v>1.8929999999999999E-4</v>
      </c>
      <c r="AC528" s="138">
        <f t="shared" si="397"/>
        <v>1.8929999999999999E-4</v>
      </c>
      <c r="AD528" s="138">
        <f t="shared" si="398"/>
        <v>1.8929999999999999E-4</v>
      </c>
      <c r="AE528" s="138">
        <f t="shared" si="399"/>
        <v>1.8929999999999999E-4</v>
      </c>
      <c r="AF528" s="138">
        <f t="shared" si="400"/>
        <v>1.8929999999999999E-4</v>
      </c>
      <c r="AG528" s="138">
        <f t="shared" si="401"/>
        <v>1.8929999999999999E-4</v>
      </c>
      <c r="AH528" s="138">
        <f t="shared" si="402"/>
        <v>1.8929999999999999E-4</v>
      </c>
      <c r="AI528" s="138">
        <f t="shared" si="403"/>
        <v>1.8929999999999999E-4</v>
      </c>
      <c r="AJ528" s="138">
        <f t="shared" si="404"/>
        <v>1.8929999999999999E-4</v>
      </c>
      <c r="AK528" s="138">
        <f t="shared" si="405"/>
        <v>1.8929999999999999E-4</v>
      </c>
      <c r="AL528" s="138">
        <f t="shared" si="406"/>
        <v>1.8929999999999997E-4</v>
      </c>
      <c r="AM528" s="138">
        <f t="shared" si="407"/>
        <v>1.7793333333333329E-4</v>
      </c>
      <c r="AO528" s="77" t="str">
        <f t="shared" si="364"/>
        <v>GDS-2 (Small General Delivery)</v>
      </c>
      <c r="AP528" s="78" t="s">
        <v>670</v>
      </c>
      <c r="AQ528" s="77" t="str">
        <f t="shared" si="365"/>
        <v>Rider TAR - Recovery of Coal Tar Costs - Rate Zone II</v>
      </c>
      <c r="AR528" s="78" t="str">
        <f t="shared" si="366"/>
        <v>Billing Cycle</v>
      </c>
      <c r="AS528" s="79">
        <f t="shared" si="367"/>
        <v>8</v>
      </c>
      <c r="AT528" s="78">
        <f t="shared" si="368"/>
        <v>0</v>
      </c>
      <c r="AU528" s="78">
        <f t="shared" si="369"/>
        <v>0</v>
      </c>
      <c r="AV528" s="78">
        <f t="shared" si="370"/>
        <v>0</v>
      </c>
      <c r="AW528" s="78">
        <f t="shared" si="371"/>
        <v>0</v>
      </c>
      <c r="AX528" s="78">
        <f t="shared" si="372"/>
        <v>1.817E-4</v>
      </c>
      <c r="AY528" s="78">
        <f t="shared" si="373"/>
        <v>1.6320000000000001E-4</v>
      </c>
      <c r="AZ528" s="78">
        <f t="shared" si="374"/>
        <v>2.587E-4</v>
      </c>
      <c r="BA528" s="78">
        <f t="shared" si="375"/>
        <v>2.0029999999999999E-4</v>
      </c>
      <c r="BB528" s="78">
        <f t="shared" si="376"/>
        <v>2.4780000000000001E-4</v>
      </c>
      <c r="BC528" s="78">
        <f t="shared" si="377"/>
        <v>1.8990000000000001E-4</v>
      </c>
      <c r="BD528" s="78">
        <f t="shared" si="378"/>
        <v>1.8929999999999999E-4</v>
      </c>
      <c r="BE528" s="78">
        <f t="shared" si="379"/>
        <v>1.8929999999999999E-4</v>
      </c>
      <c r="BF528" s="78">
        <f t="shared" si="380"/>
        <v>1.8929999999999999E-4</v>
      </c>
      <c r="BG528" s="78">
        <f t="shared" si="381"/>
        <v>1.8929999999999999E-4</v>
      </c>
      <c r="BH528" s="78">
        <f t="shared" si="382"/>
        <v>1.8929999999999999E-4</v>
      </c>
      <c r="BI528" s="78">
        <f t="shared" si="383"/>
        <v>1.8929999999999999E-4</v>
      </c>
      <c r="BJ528" s="78">
        <f t="shared" si="384"/>
        <v>1.8929999999999999E-4</v>
      </c>
      <c r="BK528" s="78">
        <f t="shared" si="385"/>
        <v>1.8929999999999999E-4</v>
      </c>
      <c r="BL528" s="78">
        <f t="shared" si="386"/>
        <v>1.8929999999999999E-4</v>
      </c>
      <c r="BM528" s="78">
        <f t="shared" si="387"/>
        <v>1.8929999999999999E-4</v>
      </c>
      <c r="BN528" s="78">
        <f t="shared" si="388"/>
        <v>1.8929999999999999E-4</v>
      </c>
      <c r="BO528" s="78">
        <f t="shared" si="389"/>
        <v>1.8929999999999999E-4</v>
      </c>
      <c r="BP528" s="78">
        <f t="shared" si="390"/>
        <v>1.8929999999999999E-4</v>
      </c>
      <c r="BQ528" s="78">
        <f t="shared" si="391"/>
        <v>1.8929999999999999E-4</v>
      </c>
      <c r="BR528" s="78">
        <f t="shared" si="392"/>
        <v>1.8929999999999999E-4</v>
      </c>
      <c r="BS528" s="77">
        <v>4000000</v>
      </c>
      <c r="BT528" s="77" t="s">
        <v>654</v>
      </c>
    </row>
    <row r="529" spans="1:72" ht="14.1" customHeight="1" x14ac:dyDescent="0.2">
      <c r="A529" s="55" t="str">
        <f t="shared" si="363"/>
        <v>GDS-3 (Intermediate General Delivery)_Rider TAR - Recovery of Coal Tar Costs - Rate Zone II</v>
      </c>
      <c r="B529" s="80" t="s">
        <v>671</v>
      </c>
      <c r="C529" s="83" t="s">
        <v>890</v>
      </c>
      <c r="D529" s="150"/>
      <c r="E529" s="81"/>
      <c r="F529" s="73" t="s">
        <v>649</v>
      </c>
      <c r="G529" s="73">
        <v>0</v>
      </c>
      <c r="H529" s="73">
        <v>8</v>
      </c>
      <c r="I529" s="74" t="s">
        <v>773</v>
      </c>
      <c r="J529" s="75" t="s">
        <v>774</v>
      </c>
      <c r="K529" s="74"/>
      <c r="L529" s="82">
        <v>0</v>
      </c>
      <c r="M529" s="138">
        <v>0</v>
      </c>
      <c r="N529" s="138">
        <v>0</v>
      </c>
      <c r="O529" s="138">
        <v>0</v>
      </c>
      <c r="P529" s="138">
        <v>0</v>
      </c>
      <c r="Q529" s="138">
        <v>1.6320000000000001E-4</v>
      </c>
      <c r="R529" s="138">
        <v>2.587E-4</v>
      </c>
      <c r="S529" s="138">
        <v>2.0029999999999999E-4</v>
      </c>
      <c r="T529" s="138">
        <v>2.4780000000000001E-4</v>
      </c>
      <c r="U529" s="138">
        <v>1.8990000000000001E-4</v>
      </c>
      <c r="V529" s="138">
        <v>1.8929999999999999E-4</v>
      </c>
      <c r="W529" s="138">
        <v>1.8929999999999999E-4</v>
      </c>
      <c r="X529" s="138">
        <v>1.8929999999999999E-4</v>
      </c>
      <c r="Y529" s="138">
        <f t="shared" si="393"/>
        <v>1.8929999999999999E-4</v>
      </c>
      <c r="Z529" s="138">
        <f t="shared" si="394"/>
        <v>1.8929999999999999E-4</v>
      </c>
      <c r="AA529" s="138">
        <f t="shared" si="395"/>
        <v>1.8929999999999999E-4</v>
      </c>
      <c r="AB529" s="138">
        <f t="shared" si="396"/>
        <v>1.8929999999999999E-4</v>
      </c>
      <c r="AC529" s="138">
        <f t="shared" si="397"/>
        <v>1.8929999999999999E-4</v>
      </c>
      <c r="AD529" s="138">
        <f t="shared" si="398"/>
        <v>1.8929999999999999E-4</v>
      </c>
      <c r="AE529" s="138">
        <f t="shared" si="399"/>
        <v>1.8929999999999999E-4</v>
      </c>
      <c r="AF529" s="138">
        <f t="shared" si="400"/>
        <v>1.8929999999999999E-4</v>
      </c>
      <c r="AG529" s="138">
        <f t="shared" si="401"/>
        <v>1.8929999999999999E-4</v>
      </c>
      <c r="AH529" s="138">
        <f t="shared" si="402"/>
        <v>1.8929999999999999E-4</v>
      </c>
      <c r="AI529" s="138">
        <f t="shared" si="403"/>
        <v>1.8929999999999999E-4</v>
      </c>
      <c r="AJ529" s="138">
        <f t="shared" si="404"/>
        <v>1.8929999999999999E-4</v>
      </c>
      <c r="AK529" s="138">
        <f t="shared" si="405"/>
        <v>1.8929999999999999E-4</v>
      </c>
      <c r="AL529" s="138">
        <f t="shared" si="406"/>
        <v>1.8929999999999997E-4</v>
      </c>
      <c r="AM529" s="138">
        <f t="shared" si="407"/>
        <v>1.7036249999999995E-4</v>
      </c>
      <c r="AO529" s="77" t="str">
        <f t="shared" si="364"/>
        <v>GDS-3 (Intermediate General Delivery)</v>
      </c>
      <c r="AP529" s="78" t="s">
        <v>672</v>
      </c>
      <c r="AQ529" s="77" t="str">
        <f t="shared" si="365"/>
        <v>Rider TAR - Recovery of Coal Tar Costs - Rate Zone II</v>
      </c>
      <c r="AR529" s="78" t="str">
        <f t="shared" si="366"/>
        <v>Billing Cycle</v>
      </c>
      <c r="AS529" s="79">
        <f t="shared" si="367"/>
        <v>8</v>
      </c>
      <c r="AT529" s="78">
        <f t="shared" si="368"/>
        <v>0</v>
      </c>
      <c r="AU529" s="78">
        <f t="shared" si="369"/>
        <v>0</v>
      </c>
      <c r="AV529" s="78">
        <f t="shared" si="370"/>
        <v>0</v>
      </c>
      <c r="AW529" s="78">
        <f t="shared" si="371"/>
        <v>0</v>
      </c>
      <c r="AX529" s="78">
        <f t="shared" si="372"/>
        <v>0</v>
      </c>
      <c r="AY529" s="78">
        <f t="shared" si="373"/>
        <v>1.6320000000000001E-4</v>
      </c>
      <c r="AZ529" s="78">
        <f t="shared" si="374"/>
        <v>2.587E-4</v>
      </c>
      <c r="BA529" s="78">
        <f t="shared" si="375"/>
        <v>2.0029999999999999E-4</v>
      </c>
      <c r="BB529" s="78">
        <f t="shared" si="376"/>
        <v>2.4780000000000001E-4</v>
      </c>
      <c r="BC529" s="78">
        <f t="shared" si="377"/>
        <v>1.8990000000000001E-4</v>
      </c>
      <c r="BD529" s="78">
        <f t="shared" si="378"/>
        <v>1.8929999999999999E-4</v>
      </c>
      <c r="BE529" s="78">
        <f t="shared" si="379"/>
        <v>1.8929999999999999E-4</v>
      </c>
      <c r="BF529" s="78">
        <f t="shared" si="380"/>
        <v>1.8929999999999999E-4</v>
      </c>
      <c r="BG529" s="78">
        <f t="shared" si="381"/>
        <v>1.8929999999999999E-4</v>
      </c>
      <c r="BH529" s="78">
        <f t="shared" si="382"/>
        <v>1.8929999999999999E-4</v>
      </c>
      <c r="BI529" s="78">
        <f t="shared" si="383"/>
        <v>1.8929999999999999E-4</v>
      </c>
      <c r="BJ529" s="78">
        <f t="shared" si="384"/>
        <v>1.8929999999999999E-4</v>
      </c>
      <c r="BK529" s="78">
        <f t="shared" si="385"/>
        <v>1.8929999999999999E-4</v>
      </c>
      <c r="BL529" s="78">
        <f t="shared" si="386"/>
        <v>1.8929999999999999E-4</v>
      </c>
      <c r="BM529" s="78">
        <f t="shared" si="387"/>
        <v>1.8929999999999999E-4</v>
      </c>
      <c r="BN529" s="78">
        <f t="shared" si="388"/>
        <v>1.8929999999999999E-4</v>
      </c>
      <c r="BO529" s="78">
        <f t="shared" si="389"/>
        <v>1.8929999999999999E-4</v>
      </c>
      <c r="BP529" s="78">
        <f t="shared" si="390"/>
        <v>1.8929999999999999E-4</v>
      </c>
      <c r="BQ529" s="78">
        <f t="shared" si="391"/>
        <v>1.8929999999999999E-4</v>
      </c>
      <c r="BR529" s="78">
        <f t="shared" si="392"/>
        <v>1.8929999999999999E-4</v>
      </c>
      <c r="BS529" s="77">
        <v>4000000</v>
      </c>
      <c r="BT529" s="77" t="s">
        <v>684</v>
      </c>
    </row>
    <row r="530" spans="1:72" ht="14.1" customHeight="1" x14ac:dyDescent="0.2">
      <c r="A530" s="55" t="str">
        <f t="shared" si="363"/>
        <v>GDS-4 (Large General Delivery)_Rider TAR - Recovery of Coal Tar Costs - Rate Zone II</v>
      </c>
      <c r="B530" s="80" t="s">
        <v>673</v>
      </c>
      <c r="C530" s="83" t="s">
        <v>890</v>
      </c>
      <c r="D530" s="150"/>
      <c r="E530" s="81"/>
      <c r="F530" s="73" t="s">
        <v>649</v>
      </c>
      <c r="G530" s="73">
        <v>0</v>
      </c>
      <c r="H530" s="73">
        <v>8</v>
      </c>
      <c r="I530" s="74" t="s">
        <v>773</v>
      </c>
      <c r="J530" s="75" t="s">
        <v>774</v>
      </c>
      <c r="K530" s="74"/>
      <c r="L530" s="82">
        <v>0</v>
      </c>
      <c r="M530" s="138">
        <v>0</v>
      </c>
      <c r="N530" s="138">
        <v>0</v>
      </c>
      <c r="O530" s="138">
        <v>0</v>
      </c>
      <c r="P530" s="138">
        <v>0</v>
      </c>
      <c r="Q530" s="138">
        <v>0</v>
      </c>
      <c r="R530" s="138">
        <v>0</v>
      </c>
      <c r="S530" s="138">
        <v>0</v>
      </c>
      <c r="T530" s="138">
        <v>0</v>
      </c>
      <c r="U530" s="138">
        <v>0</v>
      </c>
      <c r="V530" s="138">
        <v>0</v>
      </c>
      <c r="W530" s="138">
        <v>0</v>
      </c>
      <c r="X530" s="138">
        <v>0</v>
      </c>
      <c r="Y530" s="138">
        <f t="shared" si="393"/>
        <v>0</v>
      </c>
      <c r="Z530" s="138">
        <f t="shared" si="394"/>
        <v>0</v>
      </c>
      <c r="AA530" s="138">
        <f t="shared" si="395"/>
        <v>0</v>
      </c>
      <c r="AB530" s="138">
        <f t="shared" si="396"/>
        <v>0</v>
      </c>
      <c r="AC530" s="138">
        <f t="shared" si="397"/>
        <v>0</v>
      </c>
      <c r="AD530" s="138">
        <f t="shared" si="398"/>
        <v>0</v>
      </c>
      <c r="AE530" s="138">
        <f t="shared" si="399"/>
        <v>0</v>
      </c>
      <c r="AF530" s="138">
        <f t="shared" si="400"/>
        <v>0</v>
      </c>
      <c r="AG530" s="138">
        <f t="shared" si="401"/>
        <v>0</v>
      </c>
      <c r="AH530" s="138">
        <f t="shared" si="402"/>
        <v>0</v>
      </c>
      <c r="AI530" s="138">
        <f t="shared" si="403"/>
        <v>0</v>
      </c>
      <c r="AJ530" s="138">
        <f t="shared" si="404"/>
        <v>0</v>
      </c>
      <c r="AK530" s="138">
        <f t="shared" si="405"/>
        <v>0</v>
      </c>
      <c r="AL530" s="138">
        <f t="shared" si="406"/>
        <v>0</v>
      </c>
      <c r="AM530" s="138">
        <f t="shared" si="407"/>
        <v>0</v>
      </c>
      <c r="AO530" s="77" t="str">
        <f t="shared" si="364"/>
        <v>GDS-4 (Large General Delivery)</v>
      </c>
      <c r="AP530" s="78" t="s">
        <v>674</v>
      </c>
      <c r="AQ530" s="77" t="str">
        <f t="shared" si="365"/>
        <v>Rider TAR - Recovery of Coal Tar Costs - Rate Zone II</v>
      </c>
      <c r="AR530" s="78" t="str">
        <f t="shared" si="366"/>
        <v>Billing Cycle</v>
      </c>
      <c r="AS530" s="79">
        <f t="shared" si="367"/>
        <v>8</v>
      </c>
      <c r="AT530" s="78">
        <f t="shared" si="368"/>
        <v>0</v>
      </c>
      <c r="AU530" s="78">
        <f t="shared" si="369"/>
        <v>0</v>
      </c>
      <c r="AV530" s="78">
        <f t="shared" si="370"/>
        <v>0</v>
      </c>
      <c r="AW530" s="78">
        <f t="shared" si="371"/>
        <v>0</v>
      </c>
      <c r="AX530" s="78">
        <f t="shared" si="372"/>
        <v>0</v>
      </c>
      <c r="AY530" s="78">
        <f t="shared" si="373"/>
        <v>0</v>
      </c>
      <c r="AZ530" s="78">
        <f t="shared" si="374"/>
        <v>0</v>
      </c>
      <c r="BA530" s="78">
        <f t="shared" si="375"/>
        <v>0</v>
      </c>
      <c r="BB530" s="78">
        <f t="shared" si="376"/>
        <v>0</v>
      </c>
      <c r="BC530" s="78">
        <f t="shared" si="377"/>
        <v>0</v>
      </c>
      <c r="BD530" s="78">
        <f t="shared" si="378"/>
        <v>0</v>
      </c>
      <c r="BE530" s="78">
        <f t="shared" si="379"/>
        <v>0</v>
      </c>
      <c r="BF530" s="78">
        <f t="shared" si="380"/>
        <v>0</v>
      </c>
      <c r="BG530" s="78">
        <f t="shared" si="381"/>
        <v>0</v>
      </c>
      <c r="BH530" s="78">
        <f t="shared" si="382"/>
        <v>0</v>
      </c>
      <c r="BI530" s="78">
        <f t="shared" si="383"/>
        <v>0</v>
      </c>
      <c r="BJ530" s="78">
        <f t="shared" si="384"/>
        <v>0</v>
      </c>
      <c r="BK530" s="78">
        <f t="shared" si="385"/>
        <v>0</v>
      </c>
      <c r="BL530" s="78">
        <f t="shared" si="386"/>
        <v>0</v>
      </c>
      <c r="BM530" s="78">
        <f t="shared" si="387"/>
        <v>0</v>
      </c>
      <c r="BN530" s="78">
        <f t="shared" si="388"/>
        <v>0</v>
      </c>
      <c r="BO530" s="78">
        <f t="shared" si="389"/>
        <v>0</v>
      </c>
      <c r="BP530" s="78">
        <f t="shared" si="390"/>
        <v>0</v>
      </c>
      <c r="BQ530" s="78">
        <f t="shared" si="391"/>
        <v>0</v>
      </c>
      <c r="BR530" s="78">
        <f t="shared" si="392"/>
        <v>0</v>
      </c>
      <c r="BS530" s="77"/>
      <c r="BT530" s="77"/>
    </row>
    <row r="531" spans="1:72" ht="14.1" customHeight="1" x14ac:dyDescent="0.2">
      <c r="A531" s="55" t="str">
        <f t="shared" si="363"/>
        <v>GDS-5 (Seasonal)_Rider TAR - Recovery of Coal Tar Costs - Rate Zone II</v>
      </c>
      <c r="B531" s="80" t="s">
        <v>675</v>
      </c>
      <c r="C531" s="83" t="s">
        <v>890</v>
      </c>
      <c r="D531" s="150"/>
      <c r="E531" s="81"/>
      <c r="F531" s="73" t="s">
        <v>649</v>
      </c>
      <c r="G531" s="73">
        <v>0</v>
      </c>
      <c r="H531" s="73">
        <v>8</v>
      </c>
      <c r="I531" s="74" t="s">
        <v>773</v>
      </c>
      <c r="J531" s="75" t="s">
        <v>774</v>
      </c>
      <c r="K531" s="74"/>
      <c r="L531" s="82">
        <v>0</v>
      </c>
      <c r="M531" s="138">
        <v>0</v>
      </c>
      <c r="N531" s="138">
        <v>0</v>
      </c>
      <c r="O531" s="138">
        <v>0</v>
      </c>
      <c r="P531" s="138">
        <v>0</v>
      </c>
      <c r="Q531" s="138">
        <v>0</v>
      </c>
      <c r="R531" s="138">
        <v>0</v>
      </c>
      <c r="S531" s="138">
        <v>0</v>
      </c>
      <c r="T531" s="138">
        <v>0</v>
      </c>
      <c r="U531" s="138">
        <v>0</v>
      </c>
      <c r="V531" s="138">
        <v>0</v>
      </c>
      <c r="W531" s="138">
        <v>0</v>
      </c>
      <c r="X531" s="138">
        <v>0</v>
      </c>
      <c r="Y531" s="138">
        <f t="shared" si="393"/>
        <v>0</v>
      </c>
      <c r="Z531" s="138">
        <f t="shared" si="394"/>
        <v>0</v>
      </c>
      <c r="AA531" s="138">
        <f t="shared" si="395"/>
        <v>0</v>
      </c>
      <c r="AB531" s="138">
        <f t="shared" si="396"/>
        <v>0</v>
      </c>
      <c r="AC531" s="138">
        <f t="shared" si="397"/>
        <v>0</v>
      </c>
      <c r="AD531" s="138">
        <f t="shared" si="398"/>
        <v>0</v>
      </c>
      <c r="AE531" s="138">
        <f t="shared" si="399"/>
        <v>0</v>
      </c>
      <c r="AF531" s="138">
        <f t="shared" si="400"/>
        <v>0</v>
      </c>
      <c r="AG531" s="138">
        <f t="shared" si="401"/>
        <v>0</v>
      </c>
      <c r="AH531" s="138">
        <f t="shared" si="402"/>
        <v>0</v>
      </c>
      <c r="AI531" s="138">
        <f t="shared" si="403"/>
        <v>0</v>
      </c>
      <c r="AJ531" s="138">
        <f t="shared" si="404"/>
        <v>0</v>
      </c>
      <c r="AK531" s="138">
        <f t="shared" si="405"/>
        <v>0</v>
      </c>
      <c r="AL531" s="138">
        <f t="shared" si="406"/>
        <v>0</v>
      </c>
      <c r="AM531" s="138">
        <f t="shared" si="407"/>
        <v>0</v>
      </c>
      <c r="AO531" s="77" t="str">
        <f t="shared" si="364"/>
        <v>GDS-5 (Seasonal)</v>
      </c>
      <c r="AP531" s="78" t="s">
        <v>676</v>
      </c>
      <c r="AQ531" s="77" t="str">
        <f t="shared" si="365"/>
        <v>Rider TAR - Recovery of Coal Tar Costs - Rate Zone II</v>
      </c>
      <c r="AR531" s="78" t="str">
        <f t="shared" si="366"/>
        <v>Billing Cycle</v>
      </c>
      <c r="AS531" s="79">
        <f t="shared" si="367"/>
        <v>8</v>
      </c>
      <c r="AT531" s="78">
        <f t="shared" si="368"/>
        <v>0</v>
      </c>
      <c r="AU531" s="78">
        <f t="shared" si="369"/>
        <v>0</v>
      </c>
      <c r="AV531" s="78">
        <f t="shared" si="370"/>
        <v>0</v>
      </c>
      <c r="AW531" s="78">
        <f t="shared" si="371"/>
        <v>0</v>
      </c>
      <c r="AX531" s="78">
        <f t="shared" si="372"/>
        <v>0</v>
      </c>
      <c r="AY531" s="78">
        <f t="shared" si="373"/>
        <v>0</v>
      </c>
      <c r="AZ531" s="78">
        <f t="shared" si="374"/>
        <v>0</v>
      </c>
      <c r="BA531" s="78">
        <f t="shared" si="375"/>
        <v>0</v>
      </c>
      <c r="BB531" s="78">
        <f t="shared" si="376"/>
        <v>0</v>
      </c>
      <c r="BC531" s="78">
        <f t="shared" si="377"/>
        <v>0</v>
      </c>
      <c r="BD531" s="78">
        <f t="shared" si="378"/>
        <v>0</v>
      </c>
      <c r="BE531" s="78">
        <f t="shared" si="379"/>
        <v>0</v>
      </c>
      <c r="BF531" s="78">
        <f t="shared" si="380"/>
        <v>0</v>
      </c>
      <c r="BG531" s="78">
        <f t="shared" si="381"/>
        <v>0</v>
      </c>
      <c r="BH531" s="78">
        <f t="shared" si="382"/>
        <v>0</v>
      </c>
      <c r="BI531" s="78">
        <f t="shared" si="383"/>
        <v>0</v>
      </c>
      <c r="BJ531" s="78">
        <f t="shared" si="384"/>
        <v>0</v>
      </c>
      <c r="BK531" s="78">
        <f t="shared" si="385"/>
        <v>0</v>
      </c>
      <c r="BL531" s="78">
        <f t="shared" si="386"/>
        <v>0</v>
      </c>
      <c r="BM531" s="78">
        <f t="shared" si="387"/>
        <v>0</v>
      </c>
      <c r="BN531" s="78">
        <f t="shared" si="388"/>
        <v>0</v>
      </c>
      <c r="BO531" s="78">
        <f t="shared" si="389"/>
        <v>0</v>
      </c>
      <c r="BP531" s="78">
        <f t="shared" si="390"/>
        <v>0</v>
      </c>
      <c r="BQ531" s="78">
        <f t="shared" si="391"/>
        <v>0</v>
      </c>
      <c r="BR531" s="78">
        <f t="shared" si="392"/>
        <v>0</v>
      </c>
      <c r="BS531" s="77"/>
      <c r="BT531" s="77"/>
    </row>
    <row r="532" spans="1:72" ht="14.1" customHeight="1" x14ac:dyDescent="0.2">
      <c r="A532" s="55" t="str">
        <f t="shared" si="363"/>
        <v>GDS-2 (Small General Delivery)_Rider TBS Capacity Charge (Rider T)</v>
      </c>
      <c r="B532" s="80" t="s">
        <v>669</v>
      </c>
      <c r="C532" s="83" t="s">
        <v>891</v>
      </c>
      <c r="D532" s="150"/>
      <c r="E532" s="81"/>
      <c r="F532" s="84" t="s">
        <v>640</v>
      </c>
      <c r="G532" s="84">
        <v>0</v>
      </c>
      <c r="H532" s="84">
        <v>5</v>
      </c>
      <c r="I532" s="74" t="s">
        <v>699</v>
      </c>
      <c r="J532" s="75" t="s">
        <v>892</v>
      </c>
      <c r="K532" s="74"/>
      <c r="L532" s="82">
        <v>2.0060000000000001E-2</v>
      </c>
      <c r="M532" s="138">
        <v>2.0060000000000001E-2</v>
      </c>
      <c r="N532" s="138">
        <v>2.0060000000000001E-2</v>
      </c>
      <c r="O532" s="138">
        <v>2.0060000000000001E-2</v>
      </c>
      <c r="P532" s="138">
        <v>2.0060000000000001E-2</v>
      </c>
      <c r="Q532" s="138">
        <v>2.0060000000000001E-2</v>
      </c>
      <c r="R532" s="138">
        <v>2.0060000000000001E-2</v>
      </c>
      <c r="S532" s="138">
        <v>2.0060000000000001E-2</v>
      </c>
      <c r="T532" s="138">
        <v>2.0060000000000001E-2</v>
      </c>
      <c r="U532" s="138">
        <v>2.0060000000000001E-2</v>
      </c>
      <c r="V532" s="138">
        <v>2.0060000000000001E-2</v>
      </c>
      <c r="W532" s="138">
        <v>2.0060000000000001E-2</v>
      </c>
      <c r="X532" s="138">
        <v>2.0060000000000001E-2</v>
      </c>
      <c r="Y532" s="138">
        <f t="shared" si="393"/>
        <v>2.0060000000000001E-2</v>
      </c>
      <c r="Z532" s="138">
        <f t="shared" si="394"/>
        <v>2.0060000000000001E-2</v>
      </c>
      <c r="AA532" s="138">
        <f t="shared" si="395"/>
        <v>2.0060000000000001E-2</v>
      </c>
      <c r="AB532" s="138">
        <f t="shared" si="396"/>
        <v>2.0060000000000001E-2</v>
      </c>
      <c r="AC532" s="138">
        <f t="shared" si="397"/>
        <v>2.0060000000000001E-2</v>
      </c>
      <c r="AD532" s="138">
        <f t="shared" si="398"/>
        <v>2.0060000000000001E-2</v>
      </c>
      <c r="AE532" s="138">
        <f t="shared" si="399"/>
        <v>2.0060000000000001E-2</v>
      </c>
      <c r="AF532" s="138">
        <f t="shared" si="400"/>
        <v>2.0060000000000001E-2</v>
      </c>
      <c r="AG532" s="138">
        <f t="shared" si="401"/>
        <v>2.0060000000000001E-2</v>
      </c>
      <c r="AH532" s="138">
        <f t="shared" si="402"/>
        <v>2.0060000000000001E-2</v>
      </c>
      <c r="AI532" s="138">
        <f t="shared" si="403"/>
        <v>2.0060000000000001E-2</v>
      </c>
      <c r="AJ532" s="138">
        <f t="shared" si="404"/>
        <v>2.0060000000000001E-2</v>
      </c>
      <c r="AK532" s="138">
        <f t="shared" si="405"/>
        <v>2.0060000000000001E-2</v>
      </c>
      <c r="AL532" s="138">
        <f t="shared" si="406"/>
        <v>2.0059999999999998E-2</v>
      </c>
      <c r="AM532" s="138">
        <f t="shared" si="407"/>
        <v>2.0060000000000008E-2</v>
      </c>
      <c r="AO532" s="77" t="str">
        <f t="shared" si="364"/>
        <v>GDS-2 (Small General Delivery)</v>
      </c>
      <c r="AP532" s="78" t="s">
        <v>670</v>
      </c>
      <c r="AQ532" s="77" t="str">
        <f t="shared" si="365"/>
        <v>Rider TBS Capacity Charge (Rider T)</v>
      </c>
      <c r="AR532" s="78" t="str">
        <f t="shared" si="366"/>
        <v>Prorated</v>
      </c>
      <c r="AS532" s="79">
        <f t="shared" si="367"/>
        <v>5</v>
      </c>
      <c r="AT532" s="78">
        <f t="shared" si="368"/>
        <v>0</v>
      </c>
      <c r="AU532" s="78">
        <f t="shared" si="369"/>
        <v>2.0060000000000001E-2</v>
      </c>
      <c r="AV532" s="78">
        <f t="shared" si="370"/>
        <v>2.0060000000000001E-2</v>
      </c>
      <c r="AW532" s="78">
        <f t="shared" si="371"/>
        <v>2.0060000000000001E-2</v>
      </c>
      <c r="AX532" s="78">
        <f t="shared" si="372"/>
        <v>2.0060000000000001E-2</v>
      </c>
      <c r="AY532" s="78">
        <f t="shared" si="373"/>
        <v>2.0060000000000001E-2</v>
      </c>
      <c r="AZ532" s="78">
        <f t="shared" si="374"/>
        <v>2.0060000000000001E-2</v>
      </c>
      <c r="BA532" s="78">
        <f t="shared" si="375"/>
        <v>2.0060000000000001E-2</v>
      </c>
      <c r="BB532" s="78">
        <f t="shared" si="376"/>
        <v>2.0060000000000001E-2</v>
      </c>
      <c r="BC532" s="78">
        <f t="shared" si="377"/>
        <v>2.0060000000000001E-2</v>
      </c>
      <c r="BD532" s="78">
        <f t="shared" si="378"/>
        <v>2.0060000000000001E-2</v>
      </c>
      <c r="BE532" s="78">
        <f t="shared" si="379"/>
        <v>2.0060000000000001E-2</v>
      </c>
      <c r="BF532" s="78">
        <f t="shared" si="380"/>
        <v>2.0060000000000001E-2</v>
      </c>
      <c r="BG532" s="78">
        <f t="shared" si="381"/>
        <v>2.0060000000000001E-2</v>
      </c>
      <c r="BH532" s="78">
        <f t="shared" si="382"/>
        <v>2.0060000000000001E-2</v>
      </c>
      <c r="BI532" s="78">
        <f t="shared" si="383"/>
        <v>2.0060000000000001E-2</v>
      </c>
      <c r="BJ532" s="78">
        <f t="shared" si="384"/>
        <v>2.0060000000000001E-2</v>
      </c>
      <c r="BK532" s="78">
        <f t="shared" si="385"/>
        <v>2.0060000000000001E-2</v>
      </c>
      <c r="BL532" s="78">
        <f t="shared" si="386"/>
        <v>2.0060000000000001E-2</v>
      </c>
      <c r="BM532" s="78">
        <f t="shared" si="387"/>
        <v>2.0060000000000001E-2</v>
      </c>
      <c r="BN532" s="78">
        <f t="shared" si="388"/>
        <v>2.0060000000000001E-2</v>
      </c>
      <c r="BO532" s="78">
        <f t="shared" si="389"/>
        <v>2.0060000000000001E-2</v>
      </c>
      <c r="BP532" s="78">
        <f t="shared" si="390"/>
        <v>2.0060000000000001E-2</v>
      </c>
      <c r="BQ532" s="78">
        <f t="shared" si="391"/>
        <v>2.0060000000000001E-2</v>
      </c>
      <c r="BR532" s="78">
        <f t="shared" si="392"/>
        <v>2.0060000000000001E-2</v>
      </c>
      <c r="BS532" s="77"/>
      <c r="BT532" s="77"/>
    </row>
    <row r="533" spans="1:72" ht="14.1" customHeight="1" x14ac:dyDescent="0.2">
      <c r="A533" s="55" t="str">
        <f t="shared" si="363"/>
        <v>GDS-3 (Intermediate General Delivery)_Rider TBS Capacity Charge (Rider T)</v>
      </c>
      <c r="B533" s="80" t="s">
        <v>671</v>
      </c>
      <c r="C533" s="83" t="s">
        <v>891</v>
      </c>
      <c r="D533" s="150"/>
      <c r="E533" s="81"/>
      <c r="F533" s="84" t="s">
        <v>640</v>
      </c>
      <c r="G533" s="84">
        <v>0</v>
      </c>
      <c r="H533" s="84">
        <v>5</v>
      </c>
      <c r="I533" s="74" t="s">
        <v>699</v>
      </c>
      <c r="J533" s="75" t="s">
        <v>892</v>
      </c>
      <c r="K533" s="74"/>
      <c r="L533" s="82">
        <v>2.0060000000000001E-2</v>
      </c>
      <c r="M533" s="138">
        <v>2.0060000000000001E-2</v>
      </c>
      <c r="N533" s="138">
        <v>2.0060000000000001E-2</v>
      </c>
      <c r="O533" s="138">
        <v>2.0060000000000001E-2</v>
      </c>
      <c r="P533" s="138">
        <v>2.0060000000000001E-2</v>
      </c>
      <c r="Q533" s="138">
        <v>2.0060000000000001E-2</v>
      </c>
      <c r="R533" s="138">
        <v>2.0060000000000001E-2</v>
      </c>
      <c r="S533" s="138">
        <v>2.0060000000000001E-2</v>
      </c>
      <c r="T533" s="138">
        <v>2.0060000000000001E-2</v>
      </c>
      <c r="U533" s="138">
        <v>2.0060000000000001E-2</v>
      </c>
      <c r="V533" s="138">
        <v>2.0060000000000001E-2</v>
      </c>
      <c r="W533" s="138">
        <v>2.0060000000000001E-2</v>
      </c>
      <c r="X533" s="138">
        <v>2.0060000000000001E-2</v>
      </c>
      <c r="Y533" s="138">
        <f t="shared" si="393"/>
        <v>2.0060000000000001E-2</v>
      </c>
      <c r="Z533" s="138">
        <f t="shared" si="394"/>
        <v>2.0060000000000001E-2</v>
      </c>
      <c r="AA533" s="138">
        <f t="shared" si="395"/>
        <v>2.0060000000000001E-2</v>
      </c>
      <c r="AB533" s="138">
        <f t="shared" si="396"/>
        <v>2.0060000000000001E-2</v>
      </c>
      <c r="AC533" s="138">
        <f t="shared" si="397"/>
        <v>2.0060000000000001E-2</v>
      </c>
      <c r="AD533" s="138">
        <f t="shared" si="398"/>
        <v>2.0060000000000001E-2</v>
      </c>
      <c r="AE533" s="138">
        <f t="shared" si="399"/>
        <v>2.0060000000000001E-2</v>
      </c>
      <c r="AF533" s="138">
        <f t="shared" si="400"/>
        <v>2.0060000000000001E-2</v>
      </c>
      <c r="AG533" s="138">
        <f t="shared" si="401"/>
        <v>2.0060000000000001E-2</v>
      </c>
      <c r="AH533" s="138">
        <f t="shared" si="402"/>
        <v>2.0060000000000001E-2</v>
      </c>
      <c r="AI533" s="138">
        <f t="shared" si="403"/>
        <v>2.0060000000000001E-2</v>
      </c>
      <c r="AJ533" s="138">
        <f t="shared" si="404"/>
        <v>2.0060000000000001E-2</v>
      </c>
      <c r="AK533" s="138">
        <f t="shared" si="405"/>
        <v>2.0060000000000001E-2</v>
      </c>
      <c r="AL533" s="138">
        <f t="shared" si="406"/>
        <v>2.0059999999999998E-2</v>
      </c>
      <c r="AM533" s="138">
        <f t="shared" si="407"/>
        <v>2.0060000000000008E-2</v>
      </c>
      <c r="AO533" s="77" t="str">
        <f t="shared" si="364"/>
        <v>GDS-3 (Intermediate General Delivery)</v>
      </c>
      <c r="AP533" s="78" t="s">
        <v>672</v>
      </c>
      <c r="AQ533" s="77" t="str">
        <f t="shared" si="365"/>
        <v>Rider TBS Capacity Charge (Rider T)</v>
      </c>
      <c r="AR533" s="78" t="str">
        <f t="shared" si="366"/>
        <v>Prorated</v>
      </c>
      <c r="AS533" s="79">
        <f t="shared" si="367"/>
        <v>5</v>
      </c>
      <c r="AT533" s="78">
        <f t="shared" si="368"/>
        <v>0</v>
      </c>
      <c r="AU533" s="78">
        <f t="shared" si="369"/>
        <v>2.0060000000000001E-2</v>
      </c>
      <c r="AV533" s="78">
        <f t="shared" si="370"/>
        <v>2.0060000000000001E-2</v>
      </c>
      <c r="AW533" s="78">
        <f t="shared" si="371"/>
        <v>2.0060000000000001E-2</v>
      </c>
      <c r="AX533" s="78">
        <f t="shared" si="372"/>
        <v>2.0060000000000001E-2</v>
      </c>
      <c r="AY533" s="78">
        <f t="shared" si="373"/>
        <v>2.0060000000000001E-2</v>
      </c>
      <c r="AZ533" s="78">
        <f t="shared" si="374"/>
        <v>2.0060000000000001E-2</v>
      </c>
      <c r="BA533" s="78">
        <f t="shared" si="375"/>
        <v>2.0060000000000001E-2</v>
      </c>
      <c r="BB533" s="78">
        <f t="shared" si="376"/>
        <v>2.0060000000000001E-2</v>
      </c>
      <c r="BC533" s="78">
        <f t="shared" si="377"/>
        <v>2.0060000000000001E-2</v>
      </c>
      <c r="BD533" s="78">
        <f t="shared" si="378"/>
        <v>2.0060000000000001E-2</v>
      </c>
      <c r="BE533" s="78">
        <f t="shared" si="379"/>
        <v>2.0060000000000001E-2</v>
      </c>
      <c r="BF533" s="78">
        <f t="shared" si="380"/>
        <v>2.0060000000000001E-2</v>
      </c>
      <c r="BG533" s="78">
        <f t="shared" si="381"/>
        <v>2.0060000000000001E-2</v>
      </c>
      <c r="BH533" s="78">
        <f t="shared" si="382"/>
        <v>2.0060000000000001E-2</v>
      </c>
      <c r="BI533" s="78">
        <f t="shared" si="383"/>
        <v>2.0060000000000001E-2</v>
      </c>
      <c r="BJ533" s="78">
        <f t="shared" si="384"/>
        <v>2.0060000000000001E-2</v>
      </c>
      <c r="BK533" s="78">
        <f t="shared" si="385"/>
        <v>2.0060000000000001E-2</v>
      </c>
      <c r="BL533" s="78">
        <f t="shared" si="386"/>
        <v>2.0060000000000001E-2</v>
      </c>
      <c r="BM533" s="78">
        <f t="shared" si="387"/>
        <v>2.0060000000000001E-2</v>
      </c>
      <c r="BN533" s="78">
        <f t="shared" si="388"/>
        <v>2.0060000000000001E-2</v>
      </c>
      <c r="BO533" s="78">
        <f t="shared" si="389"/>
        <v>2.0060000000000001E-2</v>
      </c>
      <c r="BP533" s="78">
        <f t="shared" si="390"/>
        <v>2.0060000000000001E-2</v>
      </c>
      <c r="BQ533" s="78">
        <f t="shared" si="391"/>
        <v>2.0060000000000001E-2</v>
      </c>
      <c r="BR533" s="78">
        <f t="shared" si="392"/>
        <v>2.0060000000000001E-2</v>
      </c>
      <c r="BS533" s="77"/>
      <c r="BT533" s="77"/>
    </row>
    <row r="534" spans="1:72" ht="14.1" customHeight="1" x14ac:dyDescent="0.2">
      <c r="A534" s="55" t="str">
        <f t="shared" si="363"/>
        <v>GDS-4 (Large General Delivery)_Rider TBS Capacity Charge (Rider T)</v>
      </c>
      <c r="B534" s="80" t="s">
        <v>673</v>
      </c>
      <c r="C534" s="83" t="s">
        <v>891</v>
      </c>
      <c r="D534" s="150"/>
      <c r="E534" s="81"/>
      <c r="F534" s="84" t="s">
        <v>640</v>
      </c>
      <c r="G534" s="84">
        <v>0</v>
      </c>
      <c r="H534" s="84">
        <v>5</v>
      </c>
      <c r="I534" s="74" t="s">
        <v>699</v>
      </c>
      <c r="J534" s="75" t="s">
        <v>892</v>
      </c>
      <c r="K534" s="74"/>
      <c r="L534" s="82">
        <v>2.0060000000000001E-2</v>
      </c>
      <c r="M534" s="138">
        <v>2.0060000000000001E-2</v>
      </c>
      <c r="N534" s="138">
        <v>2.0060000000000001E-2</v>
      </c>
      <c r="O534" s="138">
        <v>2.0060000000000001E-2</v>
      </c>
      <c r="P534" s="138">
        <v>2.0060000000000001E-2</v>
      </c>
      <c r="Q534" s="138">
        <v>2.0060000000000001E-2</v>
      </c>
      <c r="R534" s="138">
        <v>2.0060000000000001E-2</v>
      </c>
      <c r="S534" s="138">
        <v>2.0060000000000001E-2</v>
      </c>
      <c r="T534" s="138">
        <v>2.0060000000000001E-2</v>
      </c>
      <c r="U534" s="138">
        <v>2.0060000000000001E-2</v>
      </c>
      <c r="V534" s="138">
        <v>2.0060000000000001E-2</v>
      </c>
      <c r="W534" s="138">
        <v>2.0060000000000001E-2</v>
      </c>
      <c r="X534" s="138">
        <v>2.0060000000000001E-2</v>
      </c>
      <c r="Y534" s="138">
        <f t="shared" si="393"/>
        <v>2.0060000000000001E-2</v>
      </c>
      <c r="Z534" s="138">
        <f t="shared" si="394"/>
        <v>2.0060000000000001E-2</v>
      </c>
      <c r="AA534" s="138">
        <f t="shared" si="395"/>
        <v>2.0060000000000001E-2</v>
      </c>
      <c r="AB534" s="138">
        <f t="shared" si="396"/>
        <v>2.0060000000000001E-2</v>
      </c>
      <c r="AC534" s="138">
        <f t="shared" si="397"/>
        <v>2.0060000000000001E-2</v>
      </c>
      <c r="AD534" s="138">
        <f t="shared" si="398"/>
        <v>2.0060000000000001E-2</v>
      </c>
      <c r="AE534" s="138">
        <f t="shared" si="399"/>
        <v>2.0060000000000001E-2</v>
      </c>
      <c r="AF534" s="138">
        <f t="shared" si="400"/>
        <v>2.0060000000000001E-2</v>
      </c>
      <c r="AG534" s="138">
        <f t="shared" si="401"/>
        <v>2.0060000000000001E-2</v>
      </c>
      <c r="AH534" s="138">
        <f t="shared" si="402"/>
        <v>2.0060000000000001E-2</v>
      </c>
      <c r="AI534" s="138">
        <f t="shared" si="403"/>
        <v>2.0060000000000001E-2</v>
      </c>
      <c r="AJ534" s="138">
        <f t="shared" si="404"/>
        <v>2.0060000000000001E-2</v>
      </c>
      <c r="AK534" s="138">
        <f t="shared" si="405"/>
        <v>2.0060000000000001E-2</v>
      </c>
      <c r="AL534" s="138">
        <f t="shared" si="406"/>
        <v>2.0059999999999998E-2</v>
      </c>
      <c r="AM534" s="138">
        <f t="shared" si="407"/>
        <v>2.0060000000000008E-2</v>
      </c>
      <c r="AO534" s="77" t="str">
        <f t="shared" si="364"/>
        <v>GDS-4 (Large General Delivery)</v>
      </c>
      <c r="AP534" s="78" t="s">
        <v>674</v>
      </c>
      <c r="AQ534" s="77" t="str">
        <f t="shared" si="365"/>
        <v>Rider TBS Capacity Charge (Rider T)</v>
      </c>
      <c r="AR534" s="78" t="str">
        <f t="shared" si="366"/>
        <v>Prorated</v>
      </c>
      <c r="AS534" s="79">
        <f t="shared" si="367"/>
        <v>5</v>
      </c>
      <c r="AT534" s="78">
        <f t="shared" si="368"/>
        <v>0</v>
      </c>
      <c r="AU534" s="78">
        <f t="shared" si="369"/>
        <v>2.0060000000000001E-2</v>
      </c>
      <c r="AV534" s="78">
        <f t="shared" si="370"/>
        <v>2.0060000000000001E-2</v>
      </c>
      <c r="AW534" s="78">
        <f t="shared" si="371"/>
        <v>2.0060000000000001E-2</v>
      </c>
      <c r="AX534" s="78">
        <f t="shared" si="372"/>
        <v>2.0060000000000001E-2</v>
      </c>
      <c r="AY534" s="78">
        <f t="shared" si="373"/>
        <v>2.0060000000000001E-2</v>
      </c>
      <c r="AZ534" s="78">
        <f t="shared" si="374"/>
        <v>2.0060000000000001E-2</v>
      </c>
      <c r="BA534" s="78">
        <f t="shared" si="375"/>
        <v>2.0060000000000001E-2</v>
      </c>
      <c r="BB534" s="78">
        <f t="shared" si="376"/>
        <v>2.0060000000000001E-2</v>
      </c>
      <c r="BC534" s="78">
        <f t="shared" si="377"/>
        <v>2.0060000000000001E-2</v>
      </c>
      <c r="BD534" s="78">
        <f t="shared" si="378"/>
        <v>2.0060000000000001E-2</v>
      </c>
      <c r="BE534" s="78">
        <f t="shared" si="379"/>
        <v>2.0060000000000001E-2</v>
      </c>
      <c r="BF534" s="78">
        <f t="shared" si="380"/>
        <v>2.0060000000000001E-2</v>
      </c>
      <c r="BG534" s="78">
        <f t="shared" si="381"/>
        <v>2.0060000000000001E-2</v>
      </c>
      <c r="BH534" s="78">
        <f t="shared" si="382"/>
        <v>2.0060000000000001E-2</v>
      </c>
      <c r="BI534" s="78">
        <f t="shared" si="383"/>
        <v>2.0060000000000001E-2</v>
      </c>
      <c r="BJ534" s="78">
        <f t="shared" si="384"/>
        <v>2.0060000000000001E-2</v>
      </c>
      <c r="BK534" s="78">
        <f t="shared" si="385"/>
        <v>2.0060000000000001E-2</v>
      </c>
      <c r="BL534" s="78">
        <f t="shared" si="386"/>
        <v>2.0060000000000001E-2</v>
      </c>
      <c r="BM534" s="78">
        <f t="shared" si="387"/>
        <v>2.0060000000000001E-2</v>
      </c>
      <c r="BN534" s="78">
        <f t="shared" si="388"/>
        <v>2.0060000000000001E-2</v>
      </c>
      <c r="BO534" s="78">
        <f t="shared" si="389"/>
        <v>2.0060000000000001E-2</v>
      </c>
      <c r="BP534" s="78">
        <f t="shared" si="390"/>
        <v>2.0060000000000001E-2</v>
      </c>
      <c r="BQ534" s="78">
        <f t="shared" si="391"/>
        <v>2.0060000000000001E-2</v>
      </c>
      <c r="BR534" s="78">
        <f t="shared" si="392"/>
        <v>2.0060000000000001E-2</v>
      </c>
      <c r="BS534" s="77"/>
      <c r="BT534" s="77"/>
    </row>
    <row r="535" spans="1:72" ht="14.1" customHeight="1" x14ac:dyDescent="0.2">
      <c r="A535" s="55" t="str">
        <f t="shared" si="363"/>
        <v>GDS-5 (Seasonal)_Rider TBS Capacity Charge (Rider T)</v>
      </c>
      <c r="B535" s="80" t="s">
        <v>675</v>
      </c>
      <c r="C535" s="83" t="s">
        <v>891</v>
      </c>
      <c r="D535" s="150"/>
      <c r="E535" s="81"/>
      <c r="F535" s="84" t="s">
        <v>640</v>
      </c>
      <c r="G535" s="84">
        <v>0</v>
      </c>
      <c r="H535" s="84">
        <v>5</v>
      </c>
      <c r="I535" s="74" t="s">
        <v>699</v>
      </c>
      <c r="J535" s="75" t="s">
        <v>892</v>
      </c>
      <c r="K535" s="74"/>
      <c r="L535" s="82">
        <v>2.0060000000000001E-2</v>
      </c>
      <c r="M535" s="138">
        <v>2.0060000000000001E-2</v>
      </c>
      <c r="N535" s="138">
        <v>2.0060000000000001E-2</v>
      </c>
      <c r="O535" s="138">
        <v>2.0060000000000001E-2</v>
      </c>
      <c r="P535" s="138">
        <v>2.0060000000000001E-2</v>
      </c>
      <c r="Q535" s="138">
        <v>2.0060000000000001E-2</v>
      </c>
      <c r="R535" s="138">
        <v>2.0060000000000001E-2</v>
      </c>
      <c r="S535" s="138">
        <v>2.0060000000000001E-2</v>
      </c>
      <c r="T535" s="138">
        <v>2.0060000000000001E-2</v>
      </c>
      <c r="U535" s="138">
        <v>2.0060000000000001E-2</v>
      </c>
      <c r="V535" s="138">
        <v>2.0060000000000001E-2</v>
      </c>
      <c r="W535" s="138">
        <v>2.0060000000000001E-2</v>
      </c>
      <c r="X535" s="138">
        <v>2.0060000000000001E-2</v>
      </c>
      <c r="Y535" s="138">
        <f t="shared" si="393"/>
        <v>2.0060000000000001E-2</v>
      </c>
      <c r="Z535" s="138">
        <f t="shared" si="394"/>
        <v>2.0060000000000001E-2</v>
      </c>
      <c r="AA535" s="138">
        <f t="shared" si="395"/>
        <v>2.0060000000000001E-2</v>
      </c>
      <c r="AB535" s="138">
        <f t="shared" si="396"/>
        <v>2.0060000000000001E-2</v>
      </c>
      <c r="AC535" s="138">
        <f t="shared" si="397"/>
        <v>2.0060000000000001E-2</v>
      </c>
      <c r="AD535" s="138">
        <f t="shared" si="398"/>
        <v>2.0060000000000001E-2</v>
      </c>
      <c r="AE535" s="138">
        <f t="shared" si="399"/>
        <v>2.0060000000000001E-2</v>
      </c>
      <c r="AF535" s="138">
        <f t="shared" si="400"/>
        <v>2.0060000000000001E-2</v>
      </c>
      <c r="AG535" s="138">
        <f t="shared" si="401"/>
        <v>2.0060000000000001E-2</v>
      </c>
      <c r="AH535" s="138">
        <f t="shared" si="402"/>
        <v>2.0060000000000001E-2</v>
      </c>
      <c r="AI535" s="138">
        <f t="shared" si="403"/>
        <v>2.0060000000000001E-2</v>
      </c>
      <c r="AJ535" s="138">
        <f t="shared" si="404"/>
        <v>2.0060000000000001E-2</v>
      </c>
      <c r="AK535" s="138">
        <f t="shared" si="405"/>
        <v>2.0060000000000001E-2</v>
      </c>
      <c r="AL535" s="138">
        <f t="shared" si="406"/>
        <v>2.0059999999999998E-2</v>
      </c>
      <c r="AM535" s="138">
        <f t="shared" si="407"/>
        <v>2.0060000000000008E-2</v>
      </c>
      <c r="AO535" s="77" t="str">
        <f t="shared" si="364"/>
        <v>GDS-5 (Seasonal)</v>
      </c>
      <c r="AP535" s="78" t="s">
        <v>676</v>
      </c>
      <c r="AQ535" s="77" t="str">
        <f t="shared" si="365"/>
        <v>Rider TBS Capacity Charge (Rider T)</v>
      </c>
      <c r="AR535" s="78" t="str">
        <f t="shared" si="366"/>
        <v>Prorated</v>
      </c>
      <c r="AS535" s="79">
        <f t="shared" si="367"/>
        <v>5</v>
      </c>
      <c r="AT535" s="78">
        <f t="shared" si="368"/>
        <v>0</v>
      </c>
      <c r="AU535" s="78">
        <f t="shared" si="369"/>
        <v>2.0060000000000001E-2</v>
      </c>
      <c r="AV535" s="78">
        <f t="shared" si="370"/>
        <v>2.0060000000000001E-2</v>
      </c>
      <c r="AW535" s="78">
        <f t="shared" si="371"/>
        <v>2.0060000000000001E-2</v>
      </c>
      <c r="AX535" s="78">
        <f t="shared" si="372"/>
        <v>2.0060000000000001E-2</v>
      </c>
      <c r="AY535" s="78">
        <f t="shared" si="373"/>
        <v>2.0060000000000001E-2</v>
      </c>
      <c r="AZ535" s="78">
        <f t="shared" si="374"/>
        <v>2.0060000000000001E-2</v>
      </c>
      <c r="BA535" s="78">
        <f t="shared" si="375"/>
        <v>2.0060000000000001E-2</v>
      </c>
      <c r="BB535" s="78">
        <f t="shared" si="376"/>
        <v>2.0060000000000001E-2</v>
      </c>
      <c r="BC535" s="78">
        <f t="shared" si="377"/>
        <v>2.0060000000000001E-2</v>
      </c>
      <c r="BD535" s="78">
        <f t="shared" si="378"/>
        <v>2.0060000000000001E-2</v>
      </c>
      <c r="BE535" s="78">
        <f t="shared" si="379"/>
        <v>2.0060000000000001E-2</v>
      </c>
      <c r="BF535" s="78">
        <f t="shared" si="380"/>
        <v>2.0060000000000001E-2</v>
      </c>
      <c r="BG535" s="78">
        <f t="shared" si="381"/>
        <v>2.0060000000000001E-2</v>
      </c>
      <c r="BH535" s="78">
        <f t="shared" si="382"/>
        <v>2.0060000000000001E-2</v>
      </c>
      <c r="BI535" s="78">
        <f t="shared" si="383"/>
        <v>2.0060000000000001E-2</v>
      </c>
      <c r="BJ535" s="78">
        <f t="shared" si="384"/>
        <v>2.0060000000000001E-2</v>
      </c>
      <c r="BK535" s="78">
        <f t="shared" si="385"/>
        <v>2.0060000000000001E-2</v>
      </c>
      <c r="BL535" s="78">
        <f t="shared" si="386"/>
        <v>2.0060000000000001E-2</v>
      </c>
      <c r="BM535" s="78">
        <f t="shared" si="387"/>
        <v>2.0060000000000001E-2</v>
      </c>
      <c r="BN535" s="78">
        <f t="shared" si="388"/>
        <v>2.0060000000000001E-2</v>
      </c>
      <c r="BO535" s="78">
        <f t="shared" si="389"/>
        <v>2.0060000000000001E-2</v>
      </c>
      <c r="BP535" s="78">
        <f t="shared" si="390"/>
        <v>2.0060000000000001E-2</v>
      </c>
      <c r="BQ535" s="78">
        <f t="shared" si="391"/>
        <v>2.0060000000000001E-2</v>
      </c>
      <c r="BR535" s="78">
        <f t="shared" si="392"/>
        <v>2.0060000000000001E-2</v>
      </c>
      <c r="BS535" s="77"/>
      <c r="BT535" s="77"/>
    </row>
    <row r="536" spans="1:72" ht="14.1" customHeight="1" x14ac:dyDescent="0.2">
      <c r="A536" s="55" t="str">
        <f t="shared" si="363"/>
        <v>RTP-1 (Residential)_Rider TS - Interval (overall rate)</v>
      </c>
      <c r="B536" s="80" t="s">
        <v>828</v>
      </c>
      <c r="C536" s="71" t="s">
        <v>893</v>
      </c>
      <c r="D536" s="150"/>
      <c r="E536" s="81"/>
      <c r="F536" s="73" t="s">
        <v>649</v>
      </c>
      <c r="G536" s="73">
        <v>0</v>
      </c>
      <c r="H536" s="73">
        <v>6</v>
      </c>
      <c r="I536" s="74" t="s">
        <v>641</v>
      </c>
      <c r="J536" s="75" t="s">
        <v>634</v>
      </c>
      <c r="K536" s="74"/>
      <c r="L536" s="82">
        <v>0.24</v>
      </c>
      <c r="M536" s="138">
        <v>0.26734999999999998</v>
      </c>
      <c r="N536" s="138">
        <v>0.26734999999999998</v>
      </c>
      <c r="O536" s="138">
        <v>0.26734999999999998</v>
      </c>
      <c r="P536" s="138">
        <v>0.26734999999999998</v>
      </c>
      <c r="Q536" s="138">
        <v>0.26734999999999998</v>
      </c>
      <c r="R536" s="138">
        <v>0.26</v>
      </c>
      <c r="S536" s="138">
        <v>0.26</v>
      </c>
      <c r="T536" s="138">
        <v>0.26</v>
      </c>
      <c r="U536" s="138">
        <v>0.26</v>
      </c>
      <c r="V536" s="138">
        <v>0.26</v>
      </c>
      <c r="W536" s="138">
        <v>0.26</v>
      </c>
      <c r="X536" s="138">
        <v>0.26</v>
      </c>
      <c r="Y536" s="138">
        <f t="shared" si="393"/>
        <v>0.26</v>
      </c>
      <c r="Z536" s="138">
        <f t="shared" si="394"/>
        <v>0.26</v>
      </c>
      <c r="AA536" s="138">
        <f t="shared" si="395"/>
        <v>0.26</v>
      </c>
      <c r="AB536" s="138">
        <f t="shared" si="396"/>
        <v>0.26</v>
      </c>
      <c r="AC536" s="138">
        <f t="shared" si="397"/>
        <v>0.26</v>
      </c>
      <c r="AD536" s="138">
        <f t="shared" si="398"/>
        <v>0.26</v>
      </c>
      <c r="AE536" s="138">
        <f t="shared" si="399"/>
        <v>0.26</v>
      </c>
      <c r="AF536" s="138">
        <f t="shared" si="400"/>
        <v>0.26</v>
      </c>
      <c r="AG536" s="138">
        <f t="shared" si="401"/>
        <v>0.26</v>
      </c>
      <c r="AH536" s="138">
        <f t="shared" si="402"/>
        <v>0.26</v>
      </c>
      <c r="AI536" s="138">
        <f t="shared" si="403"/>
        <v>0.26</v>
      </c>
      <c r="AJ536" s="138">
        <f t="shared" si="404"/>
        <v>0.26</v>
      </c>
      <c r="AK536" s="138">
        <f t="shared" si="405"/>
        <v>0.26</v>
      </c>
      <c r="AL536" s="138">
        <f t="shared" si="406"/>
        <v>0.25999999999999995</v>
      </c>
      <c r="AM536" s="138">
        <f t="shared" si="407"/>
        <v>0.26122499999999987</v>
      </c>
      <c r="AO536" s="77" t="str">
        <f t="shared" si="364"/>
        <v>RTP-1 (Residential)</v>
      </c>
      <c r="AP536" s="78" t="s">
        <v>829</v>
      </c>
      <c r="AQ536" s="77" t="str">
        <f t="shared" si="365"/>
        <v>Rider TS - Interval (overall rate)</v>
      </c>
      <c r="AR536" s="78" t="str">
        <f t="shared" si="366"/>
        <v>Billing Cycle</v>
      </c>
      <c r="AS536" s="79">
        <f t="shared" si="367"/>
        <v>6</v>
      </c>
      <c r="AT536" s="78">
        <f t="shared" si="368"/>
        <v>0</v>
      </c>
      <c r="AU536" s="78">
        <f t="shared" si="369"/>
        <v>0.26734999999999998</v>
      </c>
      <c r="AV536" s="78">
        <f t="shared" si="370"/>
        <v>0.26734999999999998</v>
      </c>
      <c r="AW536" s="78">
        <f t="shared" si="371"/>
        <v>0.26734999999999998</v>
      </c>
      <c r="AX536" s="78">
        <f t="shared" si="372"/>
        <v>0.26734999999999998</v>
      </c>
      <c r="AY536" s="78">
        <f t="shared" si="373"/>
        <v>0.26734999999999998</v>
      </c>
      <c r="AZ536" s="78">
        <f t="shared" si="374"/>
        <v>0.26</v>
      </c>
      <c r="BA536" s="78">
        <f t="shared" si="375"/>
        <v>0.26</v>
      </c>
      <c r="BB536" s="78">
        <f t="shared" si="376"/>
        <v>0.26</v>
      </c>
      <c r="BC536" s="78">
        <f t="shared" si="377"/>
        <v>0.26</v>
      </c>
      <c r="BD536" s="78">
        <f t="shared" si="378"/>
        <v>0.26</v>
      </c>
      <c r="BE536" s="78">
        <f t="shared" si="379"/>
        <v>0.26</v>
      </c>
      <c r="BF536" s="78">
        <f t="shared" si="380"/>
        <v>0.26</v>
      </c>
      <c r="BG536" s="78">
        <f t="shared" si="381"/>
        <v>0.26</v>
      </c>
      <c r="BH536" s="78">
        <f t="shared" si="382"/>
        <v>0.26</v>
      </c>
      <c r="BI536" s="78">
        <f t="shared" si="383"/>
        <v>0.26</v>
      </c>
      <c r="BJ536" s="78">
        <f t="shared" si="384"/>
        <v>0.26</v>
      </c>
      <c r="BK536" s="78">
        <f t="shared" si="385"/>
        <v>0.26</v>
      </c>
      <c r="BL536" s="78">
        <f t="shared" si="386"/>
        <v>0.26</v>
      </c>
      <c r="BM536" s="78">
        <f t="shared" si="387"/>
        <v>0.26</v>
      </c>
      <c r="BN536" s="78">
        <f t="shared" si="388"/>
        <v>0.26</v>
      </c>
      <c r="BO536" s="78">
        <f t="shared" si="389"/>
        <v>0.26</v>
      </c>
      <c r="BP536" s="78">
        <f t="shared" si="390"/>
        <v>0.26</v>
      </c>
      <c r="BQ536" s="78">
        <f t="shared" si="391"/>
        <v>0.26</v>
      </c>
      <c r="BR536" s="78">
        <f t="shared" si="392"/>
        <v>0.26</v>
      </c>
      <c r="BS536" s="77"/>
      <c r="BT536" s="77"/>
    </row>
    <row r="537" spans="1:72" ht="14.1" customHeight="1" x14ac:dyDescent="0.2">
      <c r="A537" s="55" t="str">
        <f t="shared" si="363"/>
        <v>RTP-2 (Non-Residential)_Rider TS - Interval (overall rate)</v>
      </c>
      <c r="B537" s="80" t="s">
        <v>830</v>
      </c>
      <c r="C537" s="71" t="s">
        <v>893</v>
      </c>
      <c r="D537" s="150"/>
      <c r="E537" s="81"/>
      <c r="F537" s="73" t="s">
        <v>649</v>
      </c>
      <c r="G537" s="73">
        <v>0</v>
      </c>
      <c r="H537" s="73">
        <v>6</v>
      </c>
      <c r="I537" s="74" t="s">
        <v>641</v>
      </c>
      <c r="J537" s="75" t="s">
        <v>634</v>
      </c>
      <c r="K537" s="74"/>
      <c r="L537" s="82">
        <v>0.24</v>
      </c>
      <c r="M537" s="138">
        <v>0.26734999999999998</v>
      </c>
      <c r="N537" s="138">
        <v>0.26734999999999998</v>
      </c>
      <c r="O537" s="138">
        <v>0.26734999999999998</v>
      </c>
      <c r="P537" s="138">
        <v>0.26734999999999998</v>
      </c>
      <c r="Q537" s="138">
        <v>0.26734999999999998</v>
      </c>
      <c r="R537" s="138">
        <v>0.26</v>
      </c>
      <c r="S537" s="138">
        <v>0.26</v>
      </c>
      <c r="T537" s="138">
        <v>0.26</v>
      </c>
      <c r="U537" s="138">
        <v>0.26</v>
      </c>
      <c r="V537" s="138">
        <v>0.26</v>
      </c>
      <c r="W537" s="138">
        <v>0.26</v>
      </c>
      <c r="X537" s="138">
        <v>0.26</v>
      </c>
      <c r="Y537" s="138">
        <f t="shared" si="393"/>
        <v>0.26</v>
      </c>
      <c r="Z537" s="138">
        <f t="shared" si="394"/>
        <v>0.26</v>
      </c>
      <c r="AA537" s="138">
        <f t="shared" si="395"/>
        <v>0.26</v>
      </c>
      <c r="AB537" s="138">
        <f t="shared" si="396"/>
        <v>0.26</v>
      </c>
      <c r="AC537" s="138">
        <f t="shared" si="397"/>
        <v>0.26</v>
      </c>
      <c r="AD537" s="138">
        <f t="shared" si="398"/>
        <v>0.26</v>
      </c>
      <c r="AE537" s="138">
        <f t="shared" si="399"/>
        <v>0.26</v>
      </c>
      <c r="AF537" s="138">
        <f t="shared" si="400"/>
        <v>0.26</v>
      </c>
      <c r="AG537" s="138">
        <f t="shared" si="401"/>
        <v>0.26</v>
      </c>
      <c r="AH537" s="138">
        <f t="shared" si="402"/>
        <v>0.26</v>
      </c>
      <c r="AI537" s="138">
        <f t="shared" si="403"/>
        <v>0.26</v>
      </c>
      <c r="AJ537" s="138">
        <f t="shared" si="404"/>
        <v>0.26</v>
      </c>
      <c r="AK537" s="138">
        <f t="shared" si="405"/>
        <v>0.26</v>
      </c>
      <c r="AL537" s="138">
        <f t="shared" si="406"/>
        <v>0.25999999999999995</v>
      </c>
      <c r="AM537" s="138">
        <f t="shared" si="407"/>
        <v>0.26122499999999987</v>
      </c>
      <c r="AO537" s="77" t="str">
        <f t="shared" si="364"/>
        <v>RTP-2 (Non-Residential)</v>
      </c>
      <c r="AP537" s="78" t="s">
        <v>831</v>
      </c>
      <c r="AQ537" s="77" t="str">
        <f t="shared" si="365"/>
        <v>Rider TS - Interval (overall rate)</v>
      </c>
      <c r="AR537" s="78" t="str">
        <f t="shared" si="366"/>
        <v>Billing Cycle</v>
      </c>
      <c r="AS537" s="79">
        <f t="shared" si="367"/>
        <v>6</v>
      </c>
      <c r="AT537" s="78">
        <f t="shared" si="368"/>
        <v>0</v>
      </c>
      <c r="AU537" s="78">
        <f t="shared" si="369"/>
        <v>0.26734999999999998</v>
      </c>
      <c r="AV537" s="78">
        <f t="shared" si="370"/>
        <v>0.26734999999999998</v>
      </c>
      <c r="AW537" s="78">
        <f t="shared" si="371"/>
        <v>0.26734999999999998</v>
      </c>
      <c r="AX537" s="78">
        <f t="shared" si="372"/>
        <v>0.26734999999999998</v>
      </c>
      <c r="AY537" s="78">
        <f t="shared" si="373"/>
        <v>0.26734999999999998</v>
      </c>
      <c r="AZ537" s="78">
        <f t="shared" si="374"/>
        <v>0.26</v>
      </c>
      <c r="BA537" s="78">
        <f t="shared" si="375"/>
        <v>0.26</v>
      </c>
      <c r="BB537" s="78">
        <f t="shared" si="376"/>
        <v>0.26</v>
      </c>
      <c r="BC537" s="78">
        <f t="shared" si="377"/>
        <v>0.26</v>
      </c>
      <c r="BD537" s="78">
        <f t="shared" si="378"/>
        <v>0.26</v>
      </c>
      <c r="BE537" s="78">
        <f t="shared" si="379"/>
        <v>0.26</v>
      </c>
      <c r="BF537" s="78">
        <f t="shared" si="380"/>
        <v>0.26</v>
      </c>
      <c r="BG537" s="78">
        <f t="shared" si="381"/>
        <v>0.26</v>
      </c>
      <c r="BH537" s="78">
        <f t="shared" si="382"/>
        <v>0.26</v>
      </c>
      <c r="BI537" s="78">
        <f t="shared" si="383"/>
        <v>0.26</v>
      </c>
      <c r="BJ537" s="78">
        <f t="shared" si="384"/>
        <v>0.26</v>
      </c>
      <c r="BK537" s="78">
        <f t="shared" si="385"/>
        <v>0.26</v>
      </c>
      <c r="BL537" s="78">
        <f t="shared" si="386"/>
        <v>0.26</v>
      </c>
      <c r="BM537" s="78">
        <f t="shared" si="387"/>
        <v>0.26</v>
      </c>
      <c r="BN537" s="78">
        <f t="shared" si="388"/>
        <v>0.26</v>
      </c>
      <c r="BO537" s="78">
        <f t="shared" si="389"/>
        <v>0.26</v>
      </c>
      <c r="BP537" s="78">
        <f t="shared" si="390"/>
        <v>0.26</v>
      </c>
      <c r="BQ537" s="78">
        <f t="shared" si="391"/>
        <v>0.26</v>
      </c>
      <c r="BR537" s="78">
        <f t="shared" si="392"/>
        <v>0.26</v>
      </c>
      <c r="BS537" s="77"/>
      <c r="BT537" s="77"/>
    </row>
    <row r="538" spans="1:72" ht="14.1" customHeight="1" x14ac:dyDescent="0.2">
      <c r="A538" s="55" t="str">
        <f t="shared" si="363"/>
        <v>DS-3 (General Delivery Service)_Rider TS - Interval (overall rate)</v>
      </c>
      <c r="B538" s="80" t="s">
        <v>666</v>
      </c>
      <c r="C538" s="71" t="s">
        <v>893</v>
      </c>
      <c r="D538" s="150"/>
      <c r="E538" s="81"/>
      <c r="F538" s="73" t="s">
        <v>649</v>
      </c>
      <c r="G538" s="73">
        <v>0</v>
      </c>
      <c r="H538" s="73">
        <v>6</v>
      </c>
      <c r="I538" s="74" t="s">
        <v>641</v>
      </c>
      <c r="J538" s="75" t="s">
        <v>634</v>
      </c>
      <c r="K538" s="74"/>
      <c r="L538" s="82">
        <v>0.24</v>
      </c>
      <c r="M538" s="138">
        <v>0.26734999999999998</v>
      </c>
      <c r="N538" s="138">
        <v>0.26734999999999998</v>
      </c>
      <c r="O538" s="138">
        <v>0.26734999999999998</v>
      </c>
      <c r="P538" s="138">
        <v>0.26734999999999998</v>
      </c>
      <c r="Q538" s="138">
        <v>0.26734999999999998</v>
      </c>
      <c r="R538" s="138">
        <v>0.26</v>
      </c>
      <c r="S538" s="138">
        <v>0.26</v>
      </c>
      <c r="T538" s="138">
        <v>0.26</v>
      </c>
      <c r="U538" s="138">
        <v>0.26</v>
      </c>
      <c r="V538" s="138">
        <v>0.26</v>
      </c>
      <c r="W538" s="138">
        <v>0.26</v>
      </c>
      <c r="X538" s="138">
        <v>0.26</v>
      </c>
      <c r="Y538" s="138">
        <f t="shared" si="393"/>
        <v>0.26</v>
      </c>
      <c r="Z538" s="138">
        <f t="shared" si="394"/>
        <v>0.26</v>
      </c>
      <c r="AA538" s="138">
        <f t="shared" si="395"/>
        <v>0.26</v>
      </c>
      <c r="AB538" s="138">
        <f t="shared" si="396"/>
        <v>0.26</v>
      </c>
      <c r="AC538" s="138">
        <f t="shared" si="397"/>
        <v>0.26</v>
      </c>
      <c r="AD538" s="138">
        <f t="shared" si="398"/>
        <v>0.26</v>
      </c>
      <c r="AE538" s="138">
        <f t="shared" si="399"/>
        <v>0.26</v>
      </c>
      <c r="AF538" s="138">
        <f t="shared" si="400"/>
        <v>0.26</v>
      </c>
      <c r="AG538" s="138">
        <f t="shared" si="401"/>
        <v>0.26</v>
      </c>
      <c r="AH538" s="138">
        <f t="shared" si="402"/>
        <v>0.26</v>
      </c>
      <c r="AI538" s="138">
        <f t="shared" si="403"/>
        <v>0.26</v>
      </c>
      <c r="AJ538" s="138">
        <f t="shared" si="404"/>
        <v>0.26</v>
      </c>
      <c r="AK538" s="138">
        <f t="shared" si="405"/>
        <v>0.26</v>
      </c>
      <c r="AL538" s="138">
        <f t="shared" si="406"/>
        <v>0.25999999999999995</v>
      </c>
      <c r="AM538" s="138">
        <f t="shared" si="407"/>
        <v>0.26122499999999987</v>
      </c>
      <c r="AO538" s="77" t="str">
        <f t="shared" si="364"/>
        <v>DS-3 (General Delivery Service)</v>
      </c>
      <c r="AP538" s="78" t="s">
        <v>667</v>
      </c>
      <c r="AQ538" s="77" t="str">
        <f t="shared" si="365"/>
        <v>Rider TS - Interval (overall rate)</v>
      </c>
      <c r="AR538" s="78" t="str">
        <f t="shared" si="366"/>
        <v>Billing Cycle</v>
      </c>
      <c r="AS538" s="79">
        <f t="shared" si="367"/>
        <v>6</v>
      </c>
      <c r="AT538" s="78">
        <f t="shared" si="368"/>
        <v>0</v>
      </c>
      <c r="AU538" s="78">
        <f t="shared" si="369"/>
        <v>0.26734999999999998</v>
      </c>
      <c r="AV538" s="78">
        <f t="shared" si="370"/>
        <v>0.26734999999999998</v>
      </c>
      <c r="AW538" s="78">
        <f t="shared" si="371"/>
        <v>0.26734999999999998</v>
      </c>
      <c r="AX538" s="78">
        <f t="shared" si="372"/>
        <v>0.26734999999999998</v>
      </c>
      <c r="AY538" s="78">
        <f t="shared" si="373"/>
        <v>0.26734999999999998</v>
      </c>
      <c r="AZ538" s="78">
        <f t="shared" si="374"/>
        <v>0.26</v>
      </c>
      <c r="BA538" s="78">
        <f t="shared" si="375"/>
        <v>0.26</v>
      </c>
      <c r="BB538" s="78">
        <f t="shared" si="376"/>
        <v>0.26</v>
      </c>
      <c r="BC538" s="78">
        <f t="shared" si="377"/>
        <v>0.26</v>
      </c>
      <c r="BD538" s="78">
        <f t="shared" si="378"/>
        <v>0.26</v>
      </c>
      <c r="BE538" s="78">
        <f t="shared" si="379"/>
        <v>0.26</v>
      </c>
      <c r="BF538" s="78">
        <f t="shared" si="380"/>
        <v>0.26</v>
      </c>
      <c r="BG538" s="78">
        <f t="shared" si="381"/>
        <v>0.26</v>
      </c>
      <c r="BH538" s="78">
        <f t="shared" si="382"/>
        <v>0.26</v>
      </c>
      <c r="BI538" s="78">
        <f t="shared" si="383"/>
        <v>0.26</v>
      </c>
      <c r="BJ538" s="78">
        <f t="shared" si="384"/>
        <v>0.26</v>
      </c>
      <c r="BK538" s="78">
        <f t="shared" si="385"/>
        <v>0.26</v>
      </c>
      <c r="BL538" s="78">
        <f t="shared" si="386"/>
        <v>0.26</v>
      </c>
      <c r="BM538" s="78">
        <f t="shared" si="387"/>
        <v>0.26</v>
      </c>
      <c r="BN538" s="78">
        <f t="shared" si="388"/>
        <v>0.26</v>
      </c>
      <c r="BO538" s="78">
        <f t="shared" si="389"/>
        <v>0.26</v>
      </c>
      <c r="BP538" s="78">
        <f t="shared" si="390"/>
        <v>0.26</v>
      </c>
      <c r="BQ538" s="78">
        <f t="shared" si="391"/>
        <v>0.26</v>
      </c>
      <c r="BR538" s="78">
        <f t="shared" si="392"/>
        <v>0.26</v>
      </c>
      <c r="BS538" s="77"/>
      <c r="BT538" s="77"/>
    </row>
    <row r="539" spans="1:72" ht="14.1" customHeight="1" x14ac:dyDescent="0.2">
      <c r="A539" s="55" t="str">
        <f t="shared" si="363"/>
        <v>DS-4 (Large General Service)_Rider TS - Interval (overall rate)</v>
      </c>
      <c r="B539" s="80" t="s">
        <v>639</v>
      </c>
      <c r="C539" s="71" t="s">
        <v>893</v>
      </c>
      <c r="D539" s="150"/>
      <c r="E539" s="81"/>
      <c r="F539" s="73" t="s">
        <v>649</v>
      </c>
      <c r="G539" s="73">
        <v>0</v>
      </c>
      <c r="H539" s="73">
        <v>6</v>
      </c>
      <c r="I539" s="74" t="s">
        <v>641</v>
      </c>
      <c r="J539" s="75" t="s">
        <v>634</v>
      </c>
      <c r="K539" s="74"/>
      <c r="L539" s="82">
        <v>0.24</v>
      </c>
      <c r="M539" s="138">
        <v>0.26734999999999998</v>
      </c>
      <c r="N539" s="138">
        <v>0.26734999999999998</v>
      </c>
      <c r="O539" s="138">
        <v>0.26734999999999998</v>
      </c>
      <c r="P539" s="138">
        <v>0.26734999999999998</v>
      </c>
      <c r="Q539" s="138">
        <v>0.26734999999999998</v>
      </c>
      <c r="R539" s="138">
        <v>0.26</v>
      </c>
      <c r="S539" s="138">
        <v>0.26</v>
      </c>
      <c r="T539" s="138">
        <v>0.26</v>
      </c>
      <c r="U539" s="138">
        <v>0.26</v>
      </c>
      <c r="V539" s="138">
        <v>0.26</v>
      </c>
      <c r="W539" s="138">
        <v>0.26</v>
      </c>
      <c r="X539" s="138">
        <v>0.26</v>
      </c>
      <c r="Y539" s="138">
        <f t="shared" si="393"/>
        <v>0.26</v>
      </c>
      <c r="Z539" s="138">
        <f t="shared" si="394"/>
        <v>0.26</v>
      </c>
      <c r="AA539" s="138">
        <f t="shared" si="395"/>
        <v>0.26</v>
      </c>
      <c r="AB539" s="138">
        <f t="shared" si="396"/>
        <v>0.26</v>
      </c>
      <c r="AC539" s="138">
        <f t="shared" si="397"/>
        <v>0.26</v>
      </c>
      <c r="AD539" s="138">
        <f t="shared" si="398"/>
        <v>0.26</v>
      </c>
      <c r="AE539" s="138">
        <f t="shared" si="399"/>
        <v>0.26</v>
      </c>
      <c r="AF539" s="138">
        <f t="shared" si="400"/>
        <v>0.26</v>
      </c>
      <c r="AG539" s="138">
        <f t="shared" si="401"/>
        <v>0.26</v>
      </c>
      <c r="AH539" s="138">
        <f t="shared" si="402"/>
        <v>0.26</v>
      </c>
      <c r="AI539" s="138">
        <f t="shared" si="403"/>
        <v>0.26</v>
      </c>
      <c r="AJ539" s="138">
        <f t="shared" si="404"/>
        <v>0.26</v>
      </c>
      <c r="AK539" s="138">
        <f t="shared" si="405"/>
        <v>0.26</v>
      </c>
      <c r="AL539" s="138">
        <f t="shared" si="406"/>
        <v>0.25999999999999995</v>
      </c>
      <c r="AM539" s="138">
        <f t="shared" si="407"/>
        <v>0.26122499999999987</v>
      </c>
      <c r="AO539" s="77" t="str">
        <f t="shared" si="364"/>
        <v>DS-4 (Large General Service)</v>
      </c>
      <c r="AP539" s="78" t="s">
        <v>642</v>
      </c>
      <c r="AQ539" s="77" t="str">
        <f t="shared" si="365"/>
        <v>Rider TS - Interval (overall rate)</v>
      </c>
      <c r="AR539" s="78" t="str">
        <f t="shared" si="366"/>
        <v>Billing Cycle</v>
      </c>
      <c r="AS539" s="79">
        <f t="shared" si="367"/>
        <v>6</v>
      </c>
      <c r="AT539" s="78">
        <f t="shared" si="368"/>
        <v>0</v>
      </c>
      <c r="AU539" s="78">
        <f t="shared" si="369"/>
        <v>0.26734999999999998</v>
      </c>
      <c r="AV539" s="78">
        <f t="shared" si="370"/>
        <v>0.26734999999999998</v>
      </c>
      <c r="AW539" s="78">
        <f t="shared" si="371"/>
        <v>0.26734999999999998</v>
      </c>
      <c r="AX539" s="78">
        <f t="shared" si="372"/>
        <v>0.26734999999999998</v>
      </c>
      <c r="AY539" s="78">
        <f t="shared" si="373"/>
        <v>0.26734999999999998</v>
      </c>
      <c r="AZ539" s="78">
        <f t="shared" si="374"/>
        <v>0.26</v>
      </c>
      <c r="BA539" s="78">
        <f t="shared" si="375"/>
        <v>0.26</v>
      </c>
      <c r="BB539" s="78">
        <f t="shared" si="376"/>
        <v>0.26</v>
      </c>
      <c r="BC539" s="78">
        <f t="shared" si="377"/>
        <v>0.26</v>
      </c>
      <c r="BD539" s="78">
        <f t="shared" si="378"/>
        <v>0.26</v>
      </c>
      <c r="BE539" s="78">
        <f t="shared" si="379"/>
        <v>0.26</v>
      </c>
      <c r="BF539" s="78">
        <f t="shared" si="380"/>
        <v>0.26</v>
      </c>
      <c r="BG539" s="78">
        <f t="shared" si="381"/>
        <v>0.26</v>
      </c>
      <c r="BH539" s="78">
        <f t="shared" si="382"/>
        <v>0.26</v>
      </c>
      <c r="BI539" s="78">
        <f t="shared" si="383"/>
        <v>0.26</v>
      </c>
      <c r="BJ539" s="78">
        <f t="shared" si="384"/>
        <v>0.26</v>
      </c>
      <c r="BK539" s="78">
        <f t="shared" si="385"/>
        <v>0.26</v>
      </c>
      <c r="BL539" s="78">
        <f t="shared" si="386"/>
        <v>0.26</v>
      </c>
      <c r="BM539" s="78">
        <f t="shared" si="387"/>
        <v>0.26</v>
      </c>
      <c r="BN539" s="78">
        <f t="shared" si="388"/>
        <v>0.26</v>
      </c>
      <c r="BO539" s="78">
        <f t="shared" si="389"/>
        <v>0.26</v>
      </c>
      <c r="BP539" s="78">
        <f t="shared" si="390"/>
        <v>0.26</v>
      </c>
      <c r="BQ539" s="78">
        <f t="shared" si="391"/>
        <v>0.26</v>
      </c>
      <c r="BR539" s="78">
        <f t="shared" si="392"/>
        <v>0.26</v>
      </c>
      <c r="BS539" s="77"/>
      <c r="BT539" s="77"/>
    </row>
    <row r="540" spans="1:72" ht="14.1" customHeight="1" x14ac:dyDescent="0.2">
      <c r="A540" s="55" t="str">
        <f t="shared" si="363"/>
        <v>DS-6 (DS-3) Temp. Sensitive DS_Rider TS - Interval (overall rate)</v>
      </c>
      <c r="B540" s="80" t="s">
        <v>643</v>
      </c>
      <c r="C540" s="71" t="s">
        <v>893</v>
      </c>
      <c r="D540" s="150"/>
      <c r="E540" s="81"/>
      <c r="F540" s="73" t="s">
        <v>649</v>
      </c>
      <c r="G540" s="73">
        <v>0</v>
      </c>
      <c r="H540" s="73">
        <v>6</v>
      </c>
      <c r="I540" s="74" t="s">
        <v>641</v>
      </c>
      <c r="J540" s="75" t="s">
        <v>634</v>
      </c>
      <c r="K540" s="74"/>
      <c r="L540" s="82">
        <v>0.24</v>
      </c>
      <c r="M540" s="138">
        <v>0.26734999999999998</v>
      </c>
      <c r="N540" s="138">
        <v>0.26734999999999998</v>
      </c>
      <c r="O540" s="138">
        <v>0.26734999999999998</v>
      </c>
      <c r="P540" s="138">
        <v>0.26734999999999998</v>
      </c>
      <c r="Q540" s="138">
        <v>0.26734999999999998</v>
      </c>
      <c r="R540" s="138">
        <v>0.26</v>
      </c>
      <c r="S540" s="138">
        <v>0.26</v>
      </c>
      <c r="T540" s="138">
        <v>0.26</v>
      </c>
      <c r="U540" s="138">
        <v>0.26</v>
      </c>
      <c r="V540" s="138">
        <v>0.26</v>
      </c>
      <c r="W540" s="138">
        <v>0.26</v>
      </c>
      <c r="X540" s="138">
        <v>0.26</v>
      </c>
      <c r="Y540" s="138">
        <f t="shared" si="393"/>
        <v>0.26</v>
      </c>
      <c r="Z540" s="138">
        <f t="shared" si="394"/>
        <v>0.26</v>
      </c>
      <c r="AA540" s="138">
        <f t="shared" si="395"/>
        <v>0.26</v>
      </c>
      <c r="AB540" s="138">
        <f t="shared" si="396"/>
        <v>0.26</v>
      </c>
      <c r="AC540" s="138">
        <f t="shared" si="397"/>
        <v>0.26</v>
      </c>
      <c r="AD540" s="138">
        <f t="shared" si="398"/>
        <v>0.26</v>
      </c>
      <c r="AE540" s="138">
        <f t="shared" si="399"/>
        <v>0.26</v>
      </c>
      <c r="AF540" s="138">
        <f t="shared" si="400"/>
        <v>0.26</v>
      </c>
      <c r="AG540" s="138">
        <f t="shared" si="401"/>
        <v>0.26</v>
      </c>
      <c r="AH540" s="138">
        <f t="shared" si="402"/>
        <v>0.26</v>
      </c>
      <c r="AI540" s="138">
        <f t="shared" si="403"/>
        <v>0.26</v>
      </c>
      <c r="AJ540" s="138">
        <f t="shared" si="404"/>
        <v>0.26</v>
      </c>
      <c r="AK540" s="138">
        <f t="shared" si="405"/>
        <v>0.26</v>
      </c>
      <c r="AL540" s="138">
        <f t="shared" si="406"/>
        <v>0.25999999999999995</v>
      </c>
      <c r="AM540" s="138">
        <f t="shared" si="407"/>
        <v>0.26122499999999987</v>
      </c>
      <c r="AO540" s="77" t="str">
        <f t="shared" si="364"/>
        <v>DS-6 (DS-3) Temp. Sensitive DS</v>
      </c>
      <c r="AP540" s="78" t="s">
        <v>644</v>
      </c>
      <c r="AQ540" s="77" t="str">
        <f t="shared" si="365"/>
        <v>Rider TS - Interval (overall rate)</v>
      </c>
      <c r="AR540" s="78" t="str">
        <f t="shared" si="366"/>
        <v>Billing Cycle</v>
      </c>
      <c r="AS540" s="79">
        <f t="shared" si="367"/>
        <v>6</v>
      </c>
      <c r="AT540" s="78">
        <f t="shared" si="368"/>
        <v>0</v>
      </c>
      <c r="AU540" s="78">
        <f t="shared" si="369"/>
        <v>0.26734999999999998</v>
      </c>
      <c r="AV540" s="78">
        <f t="shared" si="370"/>
        <v>0.26734999999999998</v>
      </c>
      <c r="AW540" s="78">
        <f t="shared" si="371"/>
        <v>0.26734999999999998</v>
      </c>
      <c r="AX540" s="78">
        <f t="shared" si="372"/>
        <v>0.26734999999999998</v>
      </c>
      <c r="AY540" s="78">
        <f t="shared" si="373"/>
        <v>0.26734999999999998</v>
      </c>
      <c r="AZ540" s="78">
        <f t="shared" si="374"/>
        <v>0.26</v>
      </c>
      <c r="BA540" s="78">
        <f t="shared" si="375"/>
        <v>0.26</v>
      </c>
      <c r="BB540" s="78">
        <f t="shared" si="376"/>
        <v>0.26</v>
      </c>
      <c r="BC540" s="78">
        <f t="shared" si="377"/>
        <v>0.26</v>
      </c>
      <c r="BD540" s="78">
        <f t="shared" si="378"/>
        <v>0.26</v>
      </c>
      <c r="BE540" s="78">
        <f t="shared" si="379"/>
        <v>0.26</v>
      </c>
      <c r="BF540" s="78">
        <f t="shared" si="380"/>
        <v>0.26</v>
      </c>
      <c r="BG540" s="78">
        <f t="shared" si="381"/>
        <v>0.26</v>
      </c>
      <c r="BH540" s="78">
        <f t="shared" si="382"/>
        <v>0.26</v>
      </c>
      <c r="BI540" s="78">
        <f t="shared" si="383"/>
        <v>0.26</v>
      </c>
      <c r="BJ540" s="78">
        <f t="shared" si="384"/>
        <v>0.26</v>
      </c>
      <c r="BK540" s="78">
        <f t="shared" si="385"/>
        <v>0.26</v>
      </c>
      <c r="BL540" s="78">
        <f t="shared" si="386"/>
        <v>0.26</v>
      </c>
      <c r="BM540" s="78">
        <f t="shared" si="387"/>
        <v>0.26</v>
      </c>
      <c r="BN540" s="78">
        <f t="shared" si="388"/>
        <v>0.26</v>
      </c>
      <c r="BO540" s="78">
        <f t="shared" si="389"/>
        <v>0.26</v>
      </c>
      <c r="BP540" s="78">
        <f t="shared" si="390"/>
        <v>0.26</v>
      </c>
      <c r="BQ540" s="78">
        <f t="shared" si="391"/>
        <v>0.26</v>
      </c>
      <c r="BR540" s="78">
        <f t="shared" si="392"/>
        <v>0.26</v>
      </c>
      <c r="BS540" s="77"/>
      <c r="BT540" s="77"/>
    </row>
    <row r="541" spans="1:72" ht="14.1" customHeight="1" x14ac:dyDescent="0.2">
      <c r="A541" s="55" t="str">
        <f t="shared" si="363"/>
        <v>DS-6 (DS-4) Temp. Sensitive DS_Rider TS - Interval (overall rate)</v>
      </c>
      <c r="B541" s="80" t="s">
        <v>645</v>
      </c>
      <c r="C541" s="71" t="s">
        <v>893</v>
      </c>
      <c r="D541" s="150"/>
      <c r="E541" s="81"/>
      <c r="F541" s="73" t="s">
        <v>649</v>
      </c>
      <c r="G541" s="73">
        <v>0</v>
      </c>
      <c r="H541" s="73">
        <v>6</v>
      </c>
      <c r="I541" s="74" t="s">
        <v>641</v>
      </c>
      <c r="J541" s="75" t="s">
        <v>634</v>
      </c>
      <c r="K541" s="74"/>
      <c r="L541" s="82">
        <v>0.22</v>
      </c>
      <c r="M541" s="138">
        <v>0.26734999999999998</v>
      </c>
      <c r="N541" s="138">
        <v>0.26734999999999998</v>
      </c>
      <c r="O541" s="138">
        <v>0.26734999999999998</v>
      </c>
      <c r="P541" s="138">
        <v>0.26734999999999998</v>
      </c>
      <c r="Q541" s="138">
        <v>0.26734999999999998</v>
      </c>
      <c r="R541" s="138">
        <v>0.26</v>
      </c>
      <c r="S541" s="138">
        <v>0.26</v>
      </c>
      <c r="T541" s="138">
        <v>0.26</v>
      </c>
      <c r="U541" s="138">
        <v>0.26</v>
      </c>
      <c r="V541" s="138">
        <v>0.26</v>
      </c>
      <c r="W541" s="138">
        <v>0.26</v>
      </c>
      <c r="X541" s="138">
        <v>0.26</v>
      </c>
      <c r="Y541" s="138">
        <f t="shared" si="393"/>
        <v>0.26</v>
      </c>
      <c r="Z541" s="138">
        <f t="shared" si="394"/>
        <v>0.26</v>
      </c>
      <c r="AA541" s="138">
        <f t="shared" si="395"/>
        <v>0.26</v>
      </c>
      <c r="AB541" s="138">
        <f t="shared" si="396"/>
        <v>0.26</v>
      </c>
      <c r="AC541" s="138">
        <f t="shared" si="397"/>
        <v>0.26</v>
      </c>
      <c r="AD541" s="138">
        <f t="shared" si="398"/>
        <v>0.26</v>
      </c>
      <c r="AE541" s="138">
        <f t="shared" si="399"/>
        <v>0.26</v>
      </c>
      <c r="AF541" s="138">
        <f t="shared" si="400"/>
        <v>0.26</v>
      </c>
      <c r="AG541" s="138">
        <f t="shared" si="401"/>
        <v>0.26</v>
      </c>
      <c r="AH541" s="138">
        <f t="shared" si="402"/>
        <v>0.26</v>
      </c>
      <c r="AI541" s="138">
        <f t="shared" si="403"/>
        <v>0.26</v>
      </c>
      <c r="AJ541" s="138">
        <f t="shared" si="404"/>
        <v>0.26</v>
      </c>
      <c r="AK541" s="138">
        <f t="shared" si="405"/>
        <v>0.26</v>
      </c>
      <c r="AL541" s="138">
        <f t="shared" si="406"/>
        <v>0.25999999999999995</v>
      </c>
      <c r="AM541" s="138">
        <f t="shared" si="407"/>
        <v>0.26122499999999987</v>
      </c>
      <c r="AO541" s="77" t="str">
        <f t="shared" si="364"/>
        <v>DS-6 (DS-4) Temp. Sensitive DS</v>
      </c>
      <c r="AP541" s="78" t="s">
        <v>646</v>
      </c>
      <c r="AQ541" s="77" t="str">
        <f t="shared" si="365"/>
        <v>Rider TS - Interval (overall rate)</v>
      </c>
      <c r="AR541" s="78" t="str">
        <f t="shared" si="366"/>
        <v>Billing Cycle</v>
      </c>
      <c r="AS541" s="79">
        <f t="shared" si="367"/>
        <v>6</v>
      </c>
      <c r="AT541" s="78">
        <f t="shared" si="368"/>
        <v>0</v>
      </c>
      <c r="AU541" s="78">
        <f t="shared" si="369"/>
        <v>0.26734999999999998</v>
      </c>
      <c r="AV541" s="78">
        <f t="shared" si="370"/>
        <v>0.26734999999999998</v>
      </c>
      <c r="AW541" s="78">
        <f t="shared" si="371"/>
        <v>0.26734999999999998</v>
      </c>
      <c r="AX541" s="78">
        <f t="shared" si="372"/>
        <v>0.26734999999999998</v>
      </c>
      <c r="AY541" s="78">
        <f t="shared" si="373"/>
        <v>0.26734999999999998</v>
      </c>
      <c r="AZ541" s="78">
        <f t="shared" si="374"/>
        <v>0.26</v>
      </c>
      <c r="BA541" s="78">
        <f t="shared" si="375"/>
        <v>0.26</v>
      </c>
      <c r="BB541" s="78">
        <f t="shared" si="376"/>
        <v>0.26</v>
      </c>
      <c r="BC541" s="78">
        <f t="shared" si="377"/>
        <v>0.26</v>
      </c>
      <c r="BD541" s="78">
        <f t="shared" si="378"/>
        <v>0.26</v>
      </c>
      <c r="BE541" s="78">
        <f t="shared" si="379"/>
        <v>0.26</v>
      </c>
      <c r="BF541" s="78">
        <f t="shared" si="380"/>
        <v>0.26</v>
      </c>
      <c r="BG541" s="78">
        <f t="shared" si="381"/>
        <v>0.26</v>
      </c>
      <c r="BH541" s="78">
        <f t="shared" si="382"/>
        <v>0.26</v>
      </c>
      <c r="BI541" s="78">
        <f t="shared" si="383"/>
        <v>0.26</v>
      </c>
      <c r="BJ541" s="78">
        <f t="shared" si="384"/>
        <v>0.26</v>
      </c>
      <c r="BK541" s="78">
        <f t="shared" si="385"/>
        <v>0.26</v>
      </c>
      <c r="BL541" s="78">
        <f t="shared" si="386"/>
        <v>0.26</v>
      </c>
      <c r="BM541" s="78">
        <f t="shared" si="387"/>
        <v>0.26</v>
      </c>
      <c r="BN541" s="78">
        <f t="shared" si="388"/>
        <v>0.26</v>
      </c>
      <c r="BO541" s="78">
        <f t="shared" si="389"/>
        <v>0.26</v>
      </c>
      <c r="BP541" s="78">
        <f t="shared" si="390"/>
        <v>0.26</v>
      </c>
      <c r="BQ541" s="78">
        <f t="shared" si="391"/>
        <v>0.26</v>
      </c>
      <c r="BR541" s="78">
        <f t="shared" si="392"/>
        <v>0.26</v>
      </c>
      <c r="BS541" s="77"/>
      <c r="BT541" s="77"/>
    </row>
    <row r="542" spans="1:72" ht="14.1" customHeight="1" x14ac:dyDescent="0.2">
      <c r="A542" s="55" t="str">
        <f t="shared" si="363"/>
        <v>RTP-1 (Residential)_Rider TS - Interval (uncol rate)</v>
      </c>
      <c r="B542" s="80" t="s">
        <v>828</v>
      </c>
      <c r="C542" s="71" t="s">
        <v>894</v>
      </c>
      <c r="D542" s="150"/>
      <c r="E542" s="81"/>
      <c r="F542" s="73" t="s">
        <v>649</v>
      </c>
      <c r="G542" s="73">
        <v>0</v>
      </c>
      <c r="H542" s="73">
        <v>6</v>
      </c>
      <c r="I542" s="74" t="s">
        <v>641</v>
      </c>
      <c r="J542" s="75" t="s">
        <v>634</v>
      </c>
      <c r="K542" s="74"/>
      <c r="L542" s="82">
        <v>-1.2800000000000001E-3</v>
      </c>
      <c r="M542" s="138">
        <v>9.1199999999999996E-3</v>
      </c>
      <c r="N542" s="138">
        <v>9.1199999999999996E-3</v>
      </c>
      <c r="O542" s="138">
        <v>9.1199999999999996E-3</v>
      </c>
      <c r="P542" s="138">
        <v>9.1199999999999996E-3</v>
      </c>
      <c r="Q542" s="138">
        <v>9.1199999999999996E-3</v>
      </c>
      <c r="R542" s="138">
        <v>8.9300000000000004E-3</v>
      </c>
      <c r="S542" s="138">
        <v>8.9300000000000004E-3</v>
      </c>
      <c r="T542" s="138">
        <v>8.9300000000000004E-3</v>
      </c>
      <c r="U542" s="138">
        <v>8.9300000000000004E-3</v>
      </c>
      <c r="V542" s="138">
        <v>8.9300000000000004E-3</v>
      </c>
      <c r="W542" s="138">
        <v>8.9300000000000004E-3</v>
      </c>
      <c r="X542" s="138">
        <v>8.9300000000000004E-3</v>
      </c>
      <c r="Y542" s="138">
        <f t="shared" si="393"/>
        <v>8.9300000000000004E-3</v>
      </c>
      <c r="Z542" s="138">
        <f t="shared" si="394"/>
        <v>8.9300000000000004E-3</v>
      </c>
      <c r="AA542" s="138">
        <f t="shared" si="395"/>
        <v>8.9300000000000004E-3</v>
      </c>
      <c r="AB542" s="138">
        <f t="shared" si="396"/>
        <v>8.9300000000000004E-3</v>
      </c>
      <c r="AC542" s="138">
        <f t="shared" si="397"/>
        <v>8.9300000000000004E-3</v>
      </c>
      <c r="AD542" s="138">
        <f t="shared" si="398"/>
        <v>8.9300000000000004E-3</v>
      </c>
      <c r="AE542" s="138">
        <f t="shared" si="399"/>
        <v>8.9300000000000004E-3</v>
      </c>
      <c r="AF542" s="138">
        <f t="shared" si="400"/>
        <v>8.9300000000000004E-3</v>
      </c>
      <c r="AG542" s="138">
        <f t="shared" si="401"/>
        <v>8.9300000000000004E-3</v>
      </c>
      <c r="AH542" s="138">
        <f t="shared" si="402"/>
        <v>8.9300000000000004E-3</v>
      </c>
      <c r="AI542" s="138">
        <f t="shared" si="403"/>
        <v>8.9300000000000004E-3</v>
      </c>
      <c r="AJ542" s="138">
        <f t="shared" si="404"/>
        <v>8.9300000000000004E-3</v>
      </c>
      <c r="AK542" s="138">
        <f t="shared" si="405"/>
        <v>8.9300000000000004E-3</v>
      </c>
      <c r="AL542" s="138">
        <f t="shared" si="406"/>
        <v>8.9299999999999987E-3</v>
      </c>
      <c r="AM542" s="138">
        <f t="shared" si="407"/>
        <v>8.9616666666666612E-3</v>
      </c>
      <c r="AO542" s="77" t="str">
        <f t="shared" si="364"/>
        <v>RTP-1 (Residential)</v>
      </c>
      <c r="AP542" s="78" t="s">
        <v>829</v>
      </c>
      <c r="AQ542" s="77" t="str">
        <f t="shared" si="365"/>
        <v>Rider TS - Interval (uncol rate)</v>
      </c>
      <c r="AR542" s="78" t="str">
        <f t="shared" si="366"/>
        <v>Billing Cycle</v>
      </c>
      <c r="AS542" s="79">
        <f t="shared" si="367"/>
        <v>6</v>
      </c>
      <c r="AT542" s="78">
        <f t="shared" si="368"/>
        <v>0</v>
      </c>
      <c r="AU542" s="78">
        <f t="shared" si="369"/>
        <v>9.1199999999999996E-3</v>
      </c>
      <c r="AV542" s="78">
        <f t="shared" si="370"/>
        <v>9.1199999999999996E-3</v>
      </c>
      <c r="AW542" s="78">
        <f t="shared" si="371"/>
        <v>9.1199999999999996E-3</v>
      </c>
      <c r="AX542" s="78">
        <f t="shared" si="372"/>
        <v>9.1199999999999996E-3</v>
      </c>
      <c r="AY542" s="78">
        <f t="shared" si="373"/>
        <v>9.1199999999999996E-3</v>
      </c>
      <c r="AZ542" s="78">
        <f t="shared" si="374"/>
        <v>8.9300000000000004E-3</v>
      </c>
      <c r="BA542" s="78">
        <f t="shared" si="375"/>
        <v>8.9300000000000004E-3</v>
      </c>
      <c r="BB542" s="78">
        <f t="shared" si="376"/>
        <v>8.9300000000000004E-3</v>
      </c>
      <c r="BC542" s="78">
        <f t="shared" si="377"/>
        <v>8.9300000000000004E-3</v>
      </c>
      <c r="BD542" s="78">
        <f t="shared" si="378"/>
        <v>8.9300000000000004E-3</v>
      </c>
      <c r="BE542" s="78">
        <f t="shared" si="379"/>
        <v>8.9300000000000004E-3</v>
      </c>
      <c r="BF542" s="78">
        <f t="shared" si="380"/>
        <v>8.9300000000000004E-3</v>
      </c>
      <c r="BG542" s="78">
        <f t="shared" si="381"/>
        <v>8.9300000000000004E-3</v>
      </c>
      <c r="BH542" s="78">
        <f t="shared" si="382"/>
        <v>8.9300000000000004E-3</v>
      </c>
      <c r="BI542" s="78">
        <f t="shared" si="383"/>
        <v>8.9300000000000004E-3</v>
      </c>
      <c r="BJ542" s="78">
        <f t="shared" si="384"/>
        <v>8.9300000000000004E-3</v>
      </c>
      <c r="BK542" s="78">
        <f t="shared" si="385"/>
        <v>8.9300000000000004E-3</v>
      </c>
      <c r="BL542" s="78">
        <f t="shared" si="386"/>
        <v>8.9300000000000004E-3</v>
      </c>
      <c r="BM542" s="78">
        <f t="shared" si="387"/>
        <v>8.9300000000000004E-3</v>
      </c>
      <c r="BN542" s="78">
        <f t="shared" si="388"/>
        <v>8.9300000000000004E-3</v>
      </c>
      <c r="BO542" s="78">
        <f t="shared" si="389"/>
        <v>8.9300000000000004E-3</v>
      </c>
      <c r="BP542" s="78">
        <f t="shared" si="390"/>
        <v>8.9300000000000004E-3</v>
      </c>
      <c r="BQ542" s="78">
        <f t="shared" si="391"/>
        <v>8.9300000000000004E-3</v>
      </c>
      <c r="BR542" s="78">
        <f t="shared" si="392"/>
        <v>8.9300000000000004E-3</v>
      </c>
      <c r="BS542" s="77"/>
      <c r="BT542" s="77"/>
    </row>
    <row r="543" spans="1:72" ht="14.1" customHeight="1" x14ac:dyDescent="0.2">
      <c r="A543" s="55" t="str">
        <f t="shared" si="363"/>
        <v>RTP-2 (Non-Residential)_Rider TS - Interval (uncol rate)</v>
      </c>
      <c r="B543" s="80" t="s">
        <v>830</v>
      </c>
      <c r="C543" s="71" t="s">
        <v>894</v>
      </c>
      <c r="D543" s="150"/>
      <c r="E543" s="81"/>
      <c r="F543" s="73" t="s">
        <v>649</v>
      </c>
      <c r="G543" s="73">
        <v>0</v>
      </c>
      <c r="H543" s="73">
        <v>6</v>
      </c>
      <c r="I543" s="74" t="s">
        <v>641</v>
      </c>
      <c r="J543" s="75" t="s">
        <v>634</v>
      </c>
      <c r="K543" s="74"/>
      <c r="L543" s="82">
        <v>-1.2999999999999999E-4</v>
      </c>
      <c r="M543" s="138">
        <v>1.1100000000000001E-3</v>
      </c>
      <c r="N543" s="138">
        <v>1.1100000000000001E-3</v>
      </c>
      <c r="O543" s="138">
        <v>1.1100000000000001E-3</v>
      </c>
      <c r="P543" s="138">
        <v>1.1100000000000001E-3</v>
      </c>
      <c r="Q543" s="138">
        <v>1.1100000000000001E-3</v>
      </c>
      <c r="R543" s="138">
        <v>1.08E-3</v>
      </c>
      <c r="S543" s="138">
        <v>1.08E-3</v>
      </c>
      <c r="T543" s="138">
        <v>1.08E-3</v>
      </c>
      <c r="U543" s="138">
        <v>1.08E-3</v>
      </c>
      <c r="V543" s="138">
        <v>1.08E-3</v>
      </c>
      <c r="W543" s="138">
        <v>1.08E-3</v>
      </c>
      <c r="X543" s="138">
        <v>1.08E-3</v>
      </c>
      <c r="Y543" s="138">
        <f t="shared" si="393"/>
        <v>1.08E-3</v>
      </c>
      <c r="Z543" s="138">
        <f t="shared" si="394"/>
        <v>1.08E-3</v>
      </c>
      <c r="AA543" s="138">
        <f t="shared" si="395"/>
        <v>1.08E-3</v>
      </c>
      <c r="AB543" s="138">
        <f t="shared" si="396"/>
        <v>1.08E-3</v>
      </c>
      <c r="AC543" s="138">
        <f t="shared" si="397"/>
        <v>1.08E-3</v>
      </c>
      <c r="AD543" s="138">
        <f t="shared" si="398"/>
        <v>1.08E-3</v>
      </c>
      <c r="AE543" s="138">
        <f t="shared" si="399"/>
        <v>1.08E-3</v>
      </c>
      <c r="AF543" s="138">
        <f t="shared" si="400"/>
        <v>1.08E-3</v>
      </c>
      <c r="AG543" s="138">
        <f t="shared" si="401"/>
        <v>1.08E-3</v>
      </c>
      <c r="AH543" s="138">
        <f t="shared" si="402"/>
        <v>1.08E-3</v>
      </c>
      <c r="AI543" s="138">
        <f t="shared" si="403"/>
        <v>1.08E-3</v>
      </c>
      <c r="AJ543" s="138">
        <f t="shared" si="404"/>
        <v>1.08E-3</v>
      </c>
      <c r="AK543" s="138">
        <f t="shared" si="405"/>
        <v>1.08E-3</v>
      </c>
      <c r="AL543" s="138">
        <f t="shared" si="406"/>
        <v>1.0799999999999998E-3</v>
      </c>
      <c r="AM543" s="138">
        <f t="shared" si="407"/>
        <v>1.0850000000000002E-3</v>
      </c>
      <c r="AO543" s="77" t="str">
        <f t="shared" si="364"/>
        <v>RTP-2 (Non-Residential)</v>
      </c>
      <c r="AP543" s="78" t="s">
        <v>831</v>
      </c>
      <c r="AQ543" s="77" t="str">
        <f t="shared" si="365"/>
        <v>Rider TS - Interval (uncol rate)</v>
      </c>
      <c r="AR543" s="78" t="str">
        <f t="shared" si="366"/>
        <v>Billing Cycle</v>
      </c>
      <c r="AS543" s="79">
        <f t="shared" si="367"/>
        <v>6</v>
      </c>
      <c r="AT543" s="78">
        <f t="shared" si="368"/>
        <v>0</v>
      </c>
      <c r="AU543" s="78">
        <f t="shared" si="369"/>
        <v>1.1100000000000001E-3</v>
      </c>
      <c r="AV543" s="78">
        <f t="shared" si="370"/>
        <v>1.1100000000000001E-3</v>
      </c>
      <c r="AW543" s="78">
        <f t="shared" si="371"/>
        <v>1.1100000000000001E-3</v>
      </c>
      <c r="AX543" s="78">
        <f t="shared" si="372"/>
        <v>1.1100000000000001E-3</v>
      </c>
      <c r="AY543" s="78">
        <f t="shared" si="373"/>
        <v>1.1100000000000001E-3</v>
      </c>
      <c r="AZ543" s="78">
        <f t="shared" si="374"/>
        <v>1.08E-3</v>
      </c>
      <c r="BA543" s="78">
        <f t="shared" si="375"/>
        <v>1.08E-3</v>
      </c>
      <c r="BB543" s="78">
        <f t="shared" si="376"/>
        <v>1.08E-3</v>
      </c>
      <c r="BC543" s="78">
        <f t="shared" si="377"/>
        <v>1.08E-3</v>
      </c>
      <c r="BD543" s="78">
        <f t="shared" si="378"/>
        <v>1.08E-3</v>
      </c>
      <c r="BE543" s="78">
        <f t="shared" si="379"/>
        <v>1.08E-3</v>
      </c>
      <c r="BF543" s="78">
        <f t="shared" si="380"/>
        <v>1.08E-3</v>
      </c>
      <c r="BG543" s="78">
        <f t="shared" si="381"/>
        <v>1.08E-3</v>
      </c>
      <c r="BH543" s="78">
        <f t="shared" si="382"/>
        <v>1.08E-3</v>
      </c>
      <c r="BI543" s="78">
        <f t="shared" si="383"/>
        <v>1.08E-3</v>
      </c>
      <c r="BJ543" s="78">
        <f t="shared" si="384"/>
        <v>1.08E-3</v>
      </c>
      <c r="BK543" s="78">
        <f t="shared" si="385"/>
        <v>1.08E-3</v>
      </c>
      <c r="BL543" s="78">
        <f t="shared" si="386"/>
        <v>1.08E-3</v>
      </c>
      <c r="BM543" s="78">
        <f t="shared" si="387"/>
        <v>1.08E-3</v>
      </c>
      <c r="BN543" s="78">
        <f t="shared" si="388"/>
        <v>1.08E-3</v>
      </c>
      <c r="BO543" s="78">
        <f t="shared" si="389"/>
        <v>1.08E-3</v>
      </c>
      <c r="BP543" s="78">
        <f t="shared" si="390"/>
        <v>1.08E-3</v>
      </c>
      <c r="BQ543" s="78">
        <f t="shared" si="391"/>
        <v>1.08E-3</v>
      </c>
      <c r="BR543" s="78">
        <f t="shared" si="392"/>
        <v>1.08E-3</v>
      </c>
      <c r="BS543" s="77"/>
      <c r="BT543" s="77"/>
    </row>
    <row r="544" spans="1:72" ht="14.1" customHeight="1" x14ac:dyDescent="0.2">
      <c r="A544" s="55" t="str">
        <f t="shared" si="363"/>
        <v>DS-3 (General Delivery Service)_Rider TS - Interval (uncol rate)</v>
      </c>
      <c r="B544" s="80" t="s">
        <v>666</v>
      </c>
      <c r="C544" s="71" t="s">
        <v>894</v>
      </c>
      <c r="D544" s="150"/>
      <c r="E544" s="81"/>
      <c r="F544" s="73" t="s">
        <v>649</v>
      </c>
      <c r="G544" s="73">
        <v>0</v>
      </c>
      <c r="H544" s="73">
        <v>6</v>
      </c>
      <c r="I544" s="74" t="s">
        <v>641</v>
      </c>
      <c r="J544" s="75" t="s">
        <v>634</v>
      </c>
      <c r="K544" s="74"/>
      <c r="L544" s="82">
        <v>0</v>
      </c>
      <c r="M544" s="138">
        <v>1.34E-3</v>
      </c>
      <c r="N544" s="138">
        <v>1.34E-3</v>
      </c>
      <c r="O544" s="138">
        <v>1.34E-3</v>
      </c>
      <c r="P544" s="138">
        <v>1.34E-3</v>
      </c>
      <c r="Q544" s="138">
        <v>1.34E-3</v>
      </c>
      <c r="R544" s="138">
        <v>1.31E-3</v>
      </c>
      <c r="S544" s="138">
        <v>1.31E-3</v>
      </c>
      <c r="T544" s="138">
        <v>1.31E-3</v>
      </c>
      <c r="U544" s="138">
        <v>1.31E-3</v>
      </c>
      <c r="V544" s="138">
        <v>1.31E-3</v>
      </c>
      <c r="W544" s="138">
        <v>1.31E-3</v>
      </c>
      <c r="X544" s="138">
        <v>1.31E-3</v>
      </c>
      <c r="Y544" s="138">
        <f t="shared" si="393"/>
        <v>1.31E-3</v>
      </c>
      <c r="Z544" s="138">
        <f t="shared" si="394"/>
        <v>1.31E-3</v>
      </c>
      <c r="AA544" s="138">
        <f t="shared" si="395"/>
        <v>1.31E-3</v>
      </c>
      <c r="AB544" s="138">
        <f t="shared" si="396"/>
        <v>1.31E-3</v>
      </c>
      <c r="AC544" s="138">
        <f t="shared" si="397"/>
        <v>1.31E-3</v>
      </c>
      <c r="AD544" s="138">
        <f t="shared" si="398"/>
        <v>1.31E-3</v>
      </c>
      <c r="AE544" s="138">
        <f t="shared" si="399"/>
        <v>1.31E-3</v>
      </c>
      <c r="AF544" s="138">
        <f t="shared" si="400"/>
        <v>1.31E-3</v>
      </c>
      <c r="AG544" s="138">
        <f t="shared" si="401"/>
        <v>1.31E-3</v>
      </c>
      <c r="AH544" s="138">
        <f t="shared" si="402"/>
        <v>1.31E-3</v>
      </c>
      <c r="AI544" s="138">
        <f t="shared" si="403"/>
        <v>1.31E-3</v>
      </c>
      <c r="AJ544" s="138">
        <f t="shared" si="404"/>
        <v>1.31E-3</v>
      </c>
      <c r="AK544" s="138">
        <f t="shared" si="405"/>
        <v>1.31E-3</v>
      </c>
      <c r="AL544" s="138">
        <f t="shared" si="406"/>
        <v>1.3100000000000002E-3</v>
      </c>
      <c r="AM544" s="138">
        <f t="shared" si="407"/>
        <v>1.3149999999999995E-3</v>
      </c>
      <c r="AO544" s="77" t="str">
        <f t="shared" si="364"/>
        <v>DS-3 (General Delivery Service)</v>
      </c>
      <c r="AP544" s="78" t="s">
        <v>667</v>
      </c>
      <c r="AQ544" s="77" t="str">
        <f t="shared" si="365"/>
        <v>Rider TS - Interval (uncol rate)</v>
      </c>
      <c r="AR544" s="78" t="str">
        <f t="shared" si="366"/>
        <v>Billing Cycle</v>
      </c>
      <c r="AS544" s="79">
        <f t="shared" si="367"/>
        <v>6</v>
      </c>
      <c r="AT544" s="78">
        <f t="shared" si="368"/>
        <v>0</v>
      </c>
      <c r="AU544" s="78">
        <f t="shared" si="369"/>
        <v>1.34E-3</v>
      </c>
      <c r="AV544" s="78">
        <f t="shared" si="370"/>
        <v>1.34E-3</v>
      </c>
      <c r="AW544" s="78">
        <f t="shared" si="371"/>
        <v>1.34E-3</v>
      </c>
      <c r="AX544" s="78">
        <f t="shared" si="372"/>
        <v>1.34E-3</v>
      </c>
      <c r="AY544" s="78">
        <f t="shared" si="373"/>
        <v>1.34E-3</v>
      </c>
      <c r="AZ544" s="78">
        <f t="shared" si="374"/>
        <v>1.31E-3</v>
      </c>
      <c r="BA544" s="78">
        <f t="shared" si="375"/>
        <v>1.31E-3</v>
      </c>
      <c r="BB544" s="78">
        <f t="shared" si="376"/>
        <v>1.31E-3</v>
      </c>
      <c r="BC544" s="78">
        <f t="shared" si="377"/>
        <v>1.31E-3</v>
      </c>
      <c r="BD544" s="78">
        <f t="shared" si="378"/>
        <v>1.31E-3</v>
      </c>
      <c r="BE544" s="78">
        <f t="shared" si="379"/>
        <v>1.31E-3</v>
      </c>
      <c r="BF544" s="78">
        <f t="shared" si="380"/>
        <v>1.31E-3</v>
      </c>
      <c r="BG544" s="78">
        <f t="shared" si="381"/>
        <v>1.31E-3</v>
      </c>
      <c r="BH544" s="78">
        <f t="shared" si="382"/>
        <v>1.31E-3</v>
      </c>
      <c r="BI544" s="78">
        <f t="shared" si="383"/>
        <v>1.31E-3</v>
      </c>
      <c r="BJ544" s="78">
        <f t="shared" si="384"/>
        <v>1.31E-3</v>
      </c>
      <c r="BK544" s="78">
        <f t="shared" si="385"/>
        <v>1.31E-3</v>
      </c>
      <c r="BL544" s="78">
        <f t="shared" si="386"/>
        <v>1.31E-3</v>
      </c>
      <c r="BM544" s="78">
        <f t="shared" si="387"/>
        <v>1.31E-3</v>
      </c>
      <c r="BN544" s="78">
        <f t="shared" si="388"/>
        <v>1.31E-3</v>
      </c>
      <c r="BO544" s="78">
        <f t="shared" si="389"/>
        <v>1.31E-3</v>
      </c>
      <c r="BP544" s="78">
        <f t="shared" si="390"/>
        <v>1.31E-3</v>
      </c>
      <c r="BQ544" s="78">
        <f t="shared" si="391"/>
        <v>1.31E-3</v>
      </c>
      <c r="BR544" s="78">
        <f t="shared" si="392"/>
        <v>1.31E-3</v>
      </c>
      <c r="BS544" s="77"/>
      <c r="BT544" s="77"/>
    </row>
    <row r="545" spans="1:72" ht="14.1" customHeight="1" x14ac:dyDescent="0.2">
      <c r="A545" s="55" t="str">
        <f t="shared" si="363"/>
        <v>DS-4 (Large General Service)_Rider TS - Interval (uncol rate)</v>
      </c>
      <c r="B545" s="80" t="s">
        <v>639</v>
      </c>
      <c r="C545" s="71" t="s">
        <v>894</v>
      </c>
      <c r="D545" s="150"/>
      <c r="E545" s="81"/>
      <c r="F545" s="73" t="s">
        <v>649</v>
      </c>
      <c r="G545" s="73">
        <v>0</v>
      </c>
      <c r="H545" s="73">
        <v>6</v>
      </c>
      <c r="I545" s="74" t="s">
        <v>641</v>
      </c>
      <c r="J545" s="75" t="s">
        <v>634</v>
      </c>
      <c r="K545" s="74"/>
      <c r="L545" s="82">
        <v>0</v>
      </c>
      <c r="M545" s="138">
        <v>1.2999999999999999E-4</v>
      </c>
      <c r="N545" s="138">
        <v>1.2999999999999999E-4</v>
      </c>
      <c r="O545" s="138">
        <v>1.2999999999999999E-4</v>
      </c>
      <c r="P545" s="138">
        <v>1.2999999999999999E-4</v>
      </c>
      <c r="Q545" s="138">
        <v>1.2999999999999999E-4</v>
      </c>
      <c r="R545" s="138">
        <v>1.2E-4</v>
      </c>
      <c r="S545" s="138">
        <v>1.2E-4</v>
      </c>
      <c r="T545" s="138">
        <v>1.2E-4</v>
      </c>
      <c r="U545" s="138">
        <v>1.2E-4</v>
      </c>
      <c r="V545" s="138">
        <v>1.2E-4</v>
      </c>
      <c r="W545" s="138">
        <v>1.2E-4</v>
      </c>
      <c r="X545" s="138">
        <v>1.2E-4</v>
      </c>
      <c r="Y545" s="138">
        <f t="shared" si="393"/>
        <v>1.2E-4</v>
      </c>
      <c r="Z545" s="138">
        <f t="shared" si="394"/>
        <v>1.2E-4</v>
      </c>
      <c r="AA545" s="138">
        <f t="shared" si="395"/>
        <v>1.2E-4</v>
      </c>
      <c r="AB545" s="138">
        <f t="shared" si="396"/>
        <v>1.2E-4</v>
      </c>
      <c r="AC545" s="138">
        <f t="shared" si="397"/>
        <v>1.2E-4</v>
      </c>
      <c r="AD545" s="138">
        <f t="shared" si="398"/>
        <v>1.2E-4</v>
      </c>
      <c r="AE545" s="138">
        <f t="shared" si="399"/>
        <v>1.2E-4</v>
      </c>
      <c r="AF545" s="138">
        <f t="shared" si="400"/>
        <v>1.2E-4</v>
      </c>
      <c r="AG545" s="138">
        <f t="shared" si="401"/>
        <v>1.2E-4</v>
      </c>
      <c r="AH545" s="138">
        <f t="shared" si="402"/>
        <v>1.2E-4</v>
      </c>
      <c r="AI545" s="138">
        <f t="shared" si="403"/>
        <v>1.2E-4</v>
      </c>
      <c r="AJ545" s="138">
        <f t="shared" si="404"/>
        <v>1.2E-4</v>
      </c>
      <c r="AK545" s="138">
        <f t="shared" si="405"/>
        <v>1.2E-4</v>
      </c>
      <c r="AL545" s="138">
        <f t="shared" si="406"/>
        <v>1.2000000000000003E-4</v>
      </c>
      <c r="AM545" s="138">
        <f t="shared" si="407"/>
        <v>1.2166666666666667E-4</v>
      </c>
      <c r="AO545" s="77" t="str">
        <f t="shared" si="364"/>
        <v>DS-4 (Large General Service)</v>
      </c>
      <c r="AP545" s="78" t="s">
        <v>642</v>
      </c>
      <c r="AQ545" s="77" t="str">
        <f t="shared" si="365"/>
        <v>Rider TS - Interval (uncol rate)</v>
      </c>
      <c r="AR545" s="78" t="str">
        <f t="shared" si="366"/>
        <v>Billing Cycle</v>
      </c>
      <c r="AS545" s="79">
        <f t="shared" si="367"/>
        <v>6</v>
      </c>
      <c r="AT545" s="78">
        <f t="shared" si="368"/>
        <v>0</v>
      </c>
      <c r="AU545" s="78">
        <f t="shared" si="369"/>
        <v>1.2999999999999999E-4</v>
      </c>
      <c r="AV545" s="78">
        <f t="shared" si="370"/>
        <v>1.2999999999999999E-4</v>
      </c>
      <c r="AW545" s="78">
        <f t="shared" si="371"/>
        <v>1.2999999999999999E-4</v>
      </c>
      <c r="AX545" s="78">
        <f t="shared" si="372"/>
        <v>1.2999999999999999E-4</v>
      </c>
      <c r="AY545" s="78">
        <f t="shared" si="373"/>
        <v>1.2999999999999999E-4</v>
      </c>
      <c r="AZ545" s="78">
        <f t="shared" si="374"/>
        <v>1.2E-4</v>
      </c>
      <c r="BA545" s="78">
        <f t="shared" si="375"/>
        <v>1.2E-4</v>
      </c>
      <c r="BB545" s="78">
        <f t="shared" si="376"/>
        <v>1.2E-4</v>
      </c>
      <c r="BC545" s="78">
        <f t="shared" si="377"/>
        <v>1.2E-4</v>
      </c>
      <c r="BD545" s="78">
        <f t="shared" si="378"/>
        <v>1.2E-4</v>
      </c>
      <c r="BE545" s="78">
        <f t="shared" si="379"/>
        <v>1.2E-4</v>
      </c>
      <c r="BF545" s="78">
        <f t="shared" si="380"/>
        <v>1.2E-4</v>
      </c>
      <c r="BG545" s="78">
        <f t="shared" si="381"/>
        <v>1.2E-4</v>
      </c>
      <c r="BH545" s="78">
        <f t="shared" si="382"/>
        <v>1.2E-4</v>
      </c>
      <c r="BI545" s="78">
        <f t="shared" si="383"/>
        <v>1.2E-4</v>
      </c>
      <c r="BJ545" s="78">
        <f t="shared" si="384"/>
        <v>1.2E-4</v>
      </c>
      <c r="BK545" s="78">
        <f t="shared" si="385"/>
        <v>1.2E-4</v>
      </c>
      <c r="BL545" s="78">
        <f t="shared" si="386"/>
        <v>1.2E-4</v>
      </c>
      <c r="BM545" s="78">
        <f t="shared" si="387"/>
        <v>1.2E-4</v>
      </c>
      <c r="BN545" s="78">
        <f t="shared" si="388"/>
        <v>1.2E-4</v>
      </c>
      <c r="BO545" s="78">
        <f t="shared" si="389"/>
        <v>1.2E-4</v>
      </c>
      <c r="BP545" s="78">
        <f t="shared" si="390"/>
        <v>1.2E-4</v>
      </c>
      <c r="BQ545" s="78">
        <f t="shared" si="391"/>
        <v>1.2E-4</v>
      </c>
      <c r="BR545" s="78">
        <f t="shared" si="392"/>
        <v>1.2E-4</v>
      </c>
      <c r="BS545" s="77"/>
      <c r="BT545" s="77"/>
    </row>
    <row r="546" spans="1:72" ht="14.1" customHeight="1" x14ac:dyDescent="0.2">
      <c r="A546" s="55" t="str">
        <f t="shared" si="363"/>
        <v>DS-6 (DS-3) Temp. Sensitive DS_Rider TS - Interval (uncol rate)</v>
      </c>
      <c r="B546" s="80" t="s">
        <v>643</v>
      </c>
      <c r="C546" s="71" t="s">
        <v>894</v>
      </c>
      <c r="D546" s="150"/>
      <c r="E546" s="81"/>
      <c r="F546" s="73" t="s">
        <v>649</v>
      </c>
      <c r="G546" s="73">
        <v>0</v>
      </c>
      <c r="H546" s="73">
        <v>6</v>
      </c>
      <c r="I546" s="74" t="s">
        <v>641</v>
      </c>
      <c r="J546" s="75" t="s">
        <v>634</v>
      </c>
      <c r="K546" s="74"/>
      <c r="L546" s="82">
        <v>0</v>
      </c>
      <c r="M546" s="138">
        <v>1.34E-3</v>
      </c>
      <c r="N546" s="138">
        <v>1.34E-3</v>
      </c>
      <c r="O546" s="138">
        <v>1.34E-3</v>
      </c>
      <c r="P546" s="138">
        <v>1.34E-3</v>
      </c>
      <c r="Q546" s="138">
        <v>1.34E-3</v>
      </c>
      <c r="R546" s="138">
        <v>1.31E-3</v>
      </c>
      <c r="S546" s="138">
        <v>1.31E-3</v>
      </c>
      <c r="T546" s="138">
        <v>1.31E-3</v>
      </c>
      <c r="U546" s="138">
        <v>1.31E-3</v>
      </c>
      <c r="V546" s="138">
        <v>1.31E-3</v>
      </c>
      <c r="W546" s="138">
        <v>1.31E-3</v>
      </c>
      <c r="X546" s="138">
        <v>1.31E-3</v>
      </c>
      <c r="Y546" s="138">
        <f t="shared" si="393"/>
        <v>1.31E-3</v>
      </c>
      <c r="Z546" s="138">
        <f t="shared" si="394"/>
        <v>1.31E-3</v>
      </c>
      <c r="AA546" s="138">
        <f t="shared" si="395"/>
        <v>1.31E-3</v>
      </c>
      <c r="AB546" s="138">
        <f t="shared" si="396"/>
        <v>1.31E-3</v>
      </c>
      <c r="AC546" s="138">
        <f t="shared" si="397"/>
        <v>1.31E-3</v>
      </c>
      <c r="AD546" s="138">
        <f t="shared" si="398"/>
        <v>1.31E-3</v>
      </c>
      <c r="AE546" s="138">
        <f t="shared" si="399"/>
        <v>1.31E-3</v>
      </c>
      <c r="AF546" s="138">
        <f t="shared" si="400"/>
        <v>1.31E-3</v>
      </c>
      <c r="AG546" s="138">
        <f t="shared" si="401"/>
        <v>1.31E-3</v>
      </c>
      <c r="AH546" s="138">
        <f t="shared" si="402"/>
        <v>1.31E-3</v>
      </c>
      <c r="AI546" s="138">
        <f t="shared" si="403"/>
        <v>1.31E-3</v>
      </c>
      <c r="AJ546" s="138">
        <f t="shared" si="404"/>
        <v>1.31E-3</v>
      </c>
      <c r="AK546" s="138">
        <f t="shared" si="405"/>
        <v>1.31E-3</v>
      </c>
      <c r="AL546" s="138">
        <f t="shared" si="406"/>
        <v>1.3100000000000002E-3</v>
      </c>
      <c r="AM546" s="138">
        <f t="shared" si="407"/>
        <v>1.3149999999999995E-3</v>
      </c>
      <c r="AO546" s="77" t="str">
        <f t="shared" si="364"/>
        <v>DS-6 (DS-3) Temp. Sensitive DS</v>
      </c>
      <c r="AP546" s="78" t="s">
        <v>644</v>
      </c>
      <c r="AQ546" s="77" t="str">
        <f t="shared" si="365"/>
        <v>Rider TS - Interval (uncol rate)</v>
      </c>
      <c r="AR546" s="78" t="str">
        <f t="shared" si="366"/>
        <v>Billing Cycle</v>
      </c>
      <c r="AS546" s="79">
        <f t="shared" si="367"/>
        <v>6</v>
      </c>
      <c r="AT546" s="78">
        <f t="shared" si="368"/>
        <v>0</v>
      </c>
      <c r="AU546" s="78">
        <f t="shared" si="369"/>
        <v>1.34E-3</v>
      </c>
      <c r="AV546" s="78">
        <f t="shared" si="370"/>
        <v>1.34E-3</v>
      </c>
      <c r="AW546" s="78">
        <f t="shared" si="371"/>
        <v>1.34E-3</v>
      </c>
      <c r="AX546" s="78">
        <f t="shared" si="372"/>
        <v>1.34E-3</v>
      </c>
      <c r="AY546" s="78">
        <f t="shared" si="373"/>
        <v>1.34E-3</v>
      </c>
      <c r="AZ546" s="78">
        <f t="shared" si="374"/>
        <v>1.31E-3</v>
      </c>
      <c r="BA546" s="78">
        <f t="shared" si="375"/>
        <v>1.31E-3</v>
      </c>
      <c r="BB546" s="78">
        <f t="shared" si="376"/>
        <v>1.31E-3</v>
      </c>
      <c r="BC546" s="78">
        <f t="shared" si="377"/>
        <v>1.31E-3</v>
      </c>
      <c r="BD546" s="78">
        <f t="shared" si="378"/>
        <v>1.31E-3</v>
      </c>
      <c r="BE546" s="78">
        <f t="shared" si="379"/>
        <v>1.31E-3</v>
      </c>
      <c r="BF546" s="78">
        <f t="shared" si="380"/>
        <v>1.31E-3</v>
      </c>
      <c r="BG546" s="78">
        <f t="shared" si="381"/>
        <v>1.31E-3</v>
      </c>
      <c r="BH546" s="78">
        <f t="shared" si="382"/>
        <v>1.31E-3</v>
      </c>
      <c r="BI546" s="78">
        <f t="shared" si="383"/>
        <v>1.31E-3</v>
      </c>
      <c r="BJ546" s="78">
        <f t="shared" si="384"/>
        <v>1.31E-3</v>
      </c>
      <c r="BK546" s="78">
        <f t="shared" si="385"/>
        <v>1.31E-3</v>
      </c>
      <c r="BL546" s="78">
        <f t="shared" si="386"/>
        <v>1.31E-3</v>
      </c>
      <c r="BM546" s="78">
        <f t="shared" si="387"/>
        <v>1.31E-3</v>
      </c>
      <c r="BN546" s="78">
        <f t="shared" si="388"/>
        <v>1.31E-3</v>
      </c>
      <c r="BO546" s="78">
        <f t="shared" si="389"/>
        <v>1.31E-3</v>
      </c>
      <c r="BP546" s="78">
        <f t="shared" si="390"/>
        <v>1.31E-3</v>
      </c>
      <c r="BQ546" s="78">
        <f t="shared" si="391"/>
        <v>1.31E-3</v>
      </c>
      <c r="BR546" s="78">
        <f t="shared" si="392"/>
        <v>1.31E-3</v>
      </c>
      <c r="BS546" s="77"/>
      <c r="BT546" s="77"/>
    </row>
    <row r="547" spans="1:72" ht="14.1" customHeight="1" x14ac:dyDescent="0.2">
      <c r="A547" s="55" t="str">
        <f t="shared" si="363"/>
        <v>DS-6 (DS-4) Temp. Sensitive DS_Rider TS - Interval (uncol rate)</v>
      </c>
      <c r="B547" s="80" t="s">
        <v>645</v>
      </c>
      <c r="C547" s="71" t="s">
        <v>894</v>
      </c>
      <c r="D547" s="150"/>
      <c r="E547" s="81"/>
      <c r="F547" s="73" t="s">
        <v>649</v>
      </c>
      <c r="G547" s="73">
        <v>0</v>
      </c>
      <c r="H547" s="73">
        <v>6</v>
      </c>
      <c r="I547" s="74" t="s">
        <v>641</v>
      </c>
      <c r="J547" s="75" t="s">
        <v>634</v>
      </c>
      <c r="K547" s="74"/>
      <c r="L547" s="82">
        <v>1.0000000000000001E-5</v>
      </c>
      <c r="M547" s="138">
        <v>1.2999999999999999E-4</v>
      </c>
      <c r="N547" s="138">
        <v>1.2999999999999999E-4</v>
      </c>
      <c r="O547" s="138">
        <v>1.2999999999999999E-4</v>
      </c>
      <c r="P547" s="138">
        <v>1.2999999999999999E-4</v>
      </c>
      <c r="Q547" s="138">
        <v>1.2999999999999999E-4</v>
      </c>
      <c r="R547" s="138">
        <v>1.2E-4</v>
      </c>
      <c r="S547" s="138">
        <v>1.2E-4</v>
      </c>
      <c r="T547" s="138">
        <v>1.2E-4</v>
      </c>
      <c r="U547" s="138">
        <v>1.2E-4</v>
      </c>
      <c r="V547" s="138">
        <v>1.2E-4</v>
      </c>
      <c r="W547" s="138">
        <v>1.2E-4</v>
      </c>
      <c r="X547" s="138">
        <v>1.2E-4</v>
      </c>
      <c r="Y547" s="138">
        <f t="shared" si="393"/>
        <v>1.2E-4</v>
      </c>
      <c r="Z547" s="138">
        <f t="shared" si="394"/>
        <v>1.2E-4</v>
      </c>
      <c r="AA547" s="138">
        <f t="shared" si="395"/>
        <v>1.2E-4</v>
      </c>
      <c r="AB547" s="138">
        <f t="shared" si="396"/>
        <v>1.2E-4</v>
      </c>
      <c r="AC547" s="138">
        <f t="shared" si="397"/>
        <v>1.2E-4</v>
      </c>
      <c r="AD547" s="138">
        <f t="shared" si="398"/>
        <v>1.2E-4</v>
      </c>
      <c r="AE547" s="138">
        <f t="shared" si="399"/>
        <v>1.2E-4</v>
      </c>
      <c r="AF547" s="138">
        <f t="shared" si="400"/>
        <v>1.2E-4</v>
      </c>
      <c r="AG547" s="138">
        <f t="shared" si="401"/>
        <v>1.2E-4</v>
      </c>
      <c r="AH547" s="138">
        <f t="shared" si="402"/>
        <v>1.2E-4</v>
      </c>
      <c r="AI547" s="138">
        <f t="shared" si="403"/>
        <v>1.2E-4</v>
      </c>
      <c r="AJ547" s="138">
        <f t="shared" si="404"/>
        <v>1.2E-4</v>
      </c>
      <c r="AK547" s="138">
        <f t="shared" si="405"/>
        <v>1.2E-4</v>
      </c>
      <c r="AL547" s="138">
        <f t="shared" si="406"/>
        <v>1.2000000000000003E-4</v>
      </c>
      <c r="AM547" s="138">
        <f t="shared" si="407"/>
        <v>1.2166666666666667E-4</v>
      </c>
      <c r="AO547" s="77" t="str">
        <f t="shared" si="364"/>
        <v>DS-6 (DS-4) Temp. Sensitive DS</v>
      </c>
      <c r="AP547" s="78" t="s">
        <v>646</v>
      </c>
      <c r="AQ547" s="77" t="str">
        <f t="shared" si="365"/>
        <v>Rider TS - Interval (uncol rate)</v>
      </c>
      <c r="AR547" s="78" t="str">
        <f t="shared" si="366"/>
        <v>Billing Cycle</v>
      </c>
      <c r="AS547" s="79">
        <f t="shared" si="367"/>
        <v>6</v>
      </c>
      <c r="AT547" s="78">
        <f t="shared" si="368"/>
        <v>0</v>
      </c>
      <c r="AU547" s="78">
        <f t="shared" si="369"/>
        <v>1.2999999999999999E-4</v>
      </c>
      <c r="AV547" s="78">
        <f t="shared" si="370"/>
        <v>1.2999999999999999E-4</v>
      </c>
      <c r="AW547" s="78">
        <f t="shared" si="371"/>
        <v>1.2999999999999999E-4</v>
      </c>
      <c r="AX547" s="78">
        <f t="shared" si="372"/>
        <v>1.2999999999999999E-4</v>
      </c>
      <c r="AY547" s="78">
        <f t="shared" si="373"/>
        <v>1.2999999999999999E-4</v>
      </c>
      <c r="AZ547" s="78">
        <f t="shared" si="374"/>
        <v>1.2E-4</v>
      </c>
      <c r="BA547" s="78">
        <f t="shared" si="375"/>
        <v>1.2E-4</v>
      </c>
      <c r="BB547" s="78">
        <f t="shared" si="376"/>
        <v>1.2E-4</v>
      </c>
      <c r="BC547" s="78">
        <f t="shared" si="377"/>
        <v>1.2E-4</v>
      </c>
      <c r="BD547" s="78">
        <f t="shared" si="378"/>
        <v>1.2E-4</v>
      </c>
      <c r="BE547" s="78">
        <f t="shared" si="379"/>
        <v>1.2E-4</v>
      </c>
      <c r="BF547" s="78">
        <f t="shared" si="380"/>
        <v>1.2E-4</v>
      </c>
      <c r="BG547" s="78">
        <f t="shared" si="381"/>
        <v>1.2E-4</v>
      </c>
      <c r="BH547" s="78">
        <f t="shared" si="382"/>
        <v>1.2E-4</v>
      </c>
      <c r="BI547" s="78">
        <f t="shared" si="383"/>
        <v>1.2E-4</v>
      </c>
      <c r="BJ547" s="78">
        <f t="shared" si="384"/>
        <v>1.2E-4</v>
      </c>
      <c r="BK547" s="78">
        <f t="shared" si="385"/>
        <v>1.2E-4</v>
      </c>
      <c r="BL547" s="78">
        <f t="shared" si="386"/>
        <v>1.2E-4</v>
      </c>
      <c r="BM547" s="78">
        <f t="shared" si="387"/>
        <v>1.2E-4</v>
      </c>
      <c r="BN547" s="78">
        <f t="shared" si="388"/>
        <v>1.2E-4</v>
      </c>
      <c r="BO547" s="78">
        <f t="shared" si="389"/>
        <v>1.2E-4</v>
      </c>
      <c r="BP547" s="78">
        <f t="shared" si="390"/>
        <v>1.2E-4</v>
      </c>
      <c r="BQ547" s="78">
        <f t="shared" si="391"/>
        <v>1.2E-4</v>
      </c>
      <c r="BR547" s="78">
        <f t="shared" si="392"/>
        <v>1.2E-4</v>
      </c>
      <c r="BS547" s="77"/>
      <c r="BT547" s="77"/>
    </row>
    <row r="548" spans="1:72" ht="14.1" customHeight="1" x14ac:dyDescent="0.2">
      <c r="A548" s="55" t="str">
        <f t="shared" si="363"/>
        <v>BGS-1 (Residential)_Rider TS - Non-Interval (overall rate)</v>
      </c>
      <c r="B548" s="80" t="s">
        <v>677</v>
      </c>
      <c r="C548" s="71" t="s">
        <v>895</v>
      </c>
      <c r="D548" s="150" t="s">
        <v>579</v>
      </c>
      <c r="E548" s="81"/>
      <c r="F548" s="73" t="s">
        <v>649</v>
      </c>
      <c r="G548" s="73">
        <v>0</v>
      </c>
      <c r="H548" s="73">
        <v>6</v>
      </c>
      <c r="I548" s="74" t="s">
        <v>641</v>
      </c>
      <c r="J548" s="75" t="s">
        <v>634</v>
      </c>
      <c r="K548" s="74"/>
      <c r="L548" s="82">
        <v>0.02</v>
      </c>
      <c r="M548" s="138">
        <v>0.02</v>
      </c>
      <c r="N548" s="138">
        <v>0.02</v>
      </c>
      <c r="O548" s="138">
        <v>0.02</v>
      </c>
      <c r="P548" s="138">
        <v>0.02</v>
      </c>
      <c r="Q548" s="138">
        <v>0.02</v>
      </c>
      <c r="R548" s="138">
        <v>0.02</v>
      </c>
      <c r="S548" s="138">
        <v>0.02</v>
      </c>
      <c r="T548" s="138">
        <v>0.02</v>
      </c>
      <c r="U548" s="138">
        <v>0.02</v>
      </c>
      <c r="V548" s="138">
        <v>0.02</v>
      </c>
      <c r="W548" s="138">
        <v>0.02</v>
      </c>
      <c r="X548" s="138">
        <v>0.02</v>
      </c>
      <c r="Y548" s="138">
        <f t="shared" si="393"/>
        <v>0.02</v>
      </c>
      <c r="Z548" s="138">
        <f t="shared" si="394"/>
        <v>0.02</v>
      </c>
      <c r="AA548" s="138">
        <f t="shared" si="395"/>
        <v>0.02</v>
      </c>
      <c r="AB548" s="138">
        <f t="shared" si="396"/>
        <v>0.02</v>
      </c>
      <c r="AC548" s="138">
        <f t="shared" si="397"/>
        <v>0.02</v>
      </c>
      <c r="AD548" s="138">
        <f t="shared" si="398"/>
        <v>0.02</v>
      </c>
      <c r="AE548" s="138">
        <f t="shared" si="399"/>
        <v>0.02</v>
      </c>
      <c r="AF548" s="138">
        <f t="shared" si="400"/>
        <v>0.02</v>
      </c>
      <c r="AG548" s="138">
        <f t="shared" si="401"/>
        <v>0.02</v>
      </c>
      <c r="AH548" s="138">
        <f t="shared" si="402"/>
        <v>0.02</v>
      </c>
      <c r="AI548" s="138">
        <f t="shared" si="403"/>
        <v>0.02</v>
      </c>
      <c r="AJ548" s="138">
        <f t="shared" si="404"/>
        <v>0.02</v>
      </c>
      <c r="AK548" s="138">
        <f t="shared" si="405"/>
        <v>0.02</v>
      </c>
      <c r="AL548" s="138">
        <f t="shared" si="406"/>
        <v>1.9999999999999997E-2</v>
      </c>
      <c r="AM548" s="138">
        <f t="shared" si="407"/>
        <v>2.0000000000000007E-2</v>
      </c>
      <c r="AO548" s="77" t="str">
        <f t="shared" si="364"/>
        <v>BGS-1 (Residential)</v>
      </c>
      <c r="AP548" s="78" t="s">
        <v>679</v>
      </c>
      <c r="AQ548" s="77" t="str">
        <f t="shared" si="365"/>
        <v>Rider TS - Non-Interval (overall rate)</v>
      </c>
      <c r="AR548" s="78" t="str">
        <f t="shared" si="366"/>
        <v>Billing Cycle</v>
      </c>
      <c r="AS548" s="79">
        <f t="shared" si="367"/>
        <v>6</v>
      </c>
      <c r="AT548" s="78">
        <f t="shared" si="368"/>
        <v>0</v>
      </c>
      <c r="AU548" s="78">
        <f t="shared" si="369"/>
        <v>0.02</v>
      </c>
      <c r="AV548" s="78">
        <f t="shared" si="370"/>
        <v>0.02</v>
      </c>
      <c r="AW548" s="78">
        <f t="shared" si="371"/>
        <v>0.02</v>
      </c>
      <c r="AX548" s="78">
        <f t="shared" si="372"/>
        <v>0.02</v>
      </c>
      <c r="AY548" s="78">
        <f t="shared" si="373"/>
        <v>0.02</v>
      </c>
      <c r="AZ548" s="78">
        <f t="shared" si="374"/>
        <v>0.02</v>
      </c>
      <c r="BA548" s="78">
        <f t="shared" si="375"/>
        <v>0.02</v>
      </c>
      <c r="BB548" s="78">
        <f t="shared" si="376"/>
        <v>0.02</v>
      </c>
      <c r="BC548" s="78">
        <f t="shared" si="377"/>
        <v>0.02</v>
      </c>
      <c r="BD548" s="78">
        <f t="shared" si="378"/>
        <v>0.02</v>
      </c>
      <c r="BE548" s="78">
        <f t="shared" si="379"/>
        <v>0.02</v>
      </c>
      <c r="BF548" s="78">
        <f t="shared" si="380"/>
        <v>0.02</v>
      </c>
      <c r="BG548" s="78">
        <f t="shared" si="381"/>
        <v>0.02</v>
      </c>
      <c r="BH548" s="78">
        <f t="shared" si="382"/>
        <v>0.02</v>
      </c>
      <c r="BI548" s="78">
        <f t="shared" si="383"/>
        <v>0.02</v>
      </c>
      <c r="BJ548" s="78">
        <f t="shared" si="384"/>
        <v>0.02</v>
      </c>
      <c r="BK548" s="78">
        <f t="shared" si="385"/>
        <v>0.02</v>
      </c>
      <c r="BL548" s="78">
        <f t="shared" si="386"/>
        <v>0.02</v>
      </c>
      <c r="BM548" s="78">
        <f t="shared" si="387"/>
        <v>0.02</v>
      </c>
      <c r="BN548" s="78">
        <f t="shared" si="388"/>
        <v>0.02</v>
      </c>
      <c r="BO548" s="78">
        <f t="shared" si="389"/>
        <v>0.02</v>
      </c>
      <c r="BP548" s="78">
        <f t="shared" si="390"/>
        <v>0.02</v>
      </c>
      <c r="BQ548" s="78">
        <f t="shared" si="391"/>
        <v>0.02</v>
      </c>
      <c r="BR548" s="78">
        <f t="shared" si="392"/>
        <v>0.02</v>
      </c>
      <c r="BS548" s="77"/>
      <c r="BT548" s="77"/>
    </row>
    <row r="549" spans="1:72" ht="14.1" customHeight="1" x14ac:dyDescent="0.2">
      <c r="A549" s="55" t="str">
        <f t="shared" si="363"/>
        <v>BGS-2 (Non-Residential)_Rider TS - Non-Interval (overall rate)</v>
      </c>
      <c r="B549" s="80" t="s">
        <v>685</v>
      </c>
      <c r="C549" s="71" t="s">
        <v>895</v>
      </c>
      <c r="D549" s="150"/>
      <c r="E549" s="81"/>
      <c r="F549" s="73" t="s">
        <v>649</v>
      </c>
      <c r="G549" s="73">
        <v>0</v>
      </c>
      <c r="H549" s="73">
        <v>6</v>
      </c>
      <c r="I549" s="74" t="s">
        <v>641</v>
      </c>
      <c r="J549" s="75" t="s">
        <v>634</v>
      </c>
      <c r="K549" s="74"/>
      <c r="L549" s="82">
        <v>0.02</v>
      </c>
      <c r="M549" s="138">
        <v>2.2720000000000001E-2</v>
      </c>
      <c r="N549" s="138">
        <v>2.2720000000000001E-2</v>
      </c>
      <c r="O549" s="138">
        <v>2.2720000000000001E-2</v>
      </c>
      <c r="P549" s="138">
        <v>2.2720000000000001E-2</v>
      </c>
      <c r="Q549" s="138">
        <v>2.2720000000000001E-2</v>
      </c>
      <c r="R549" s="138">
        <v>0.02</v>
      </c>
      <c r="S549" s="138">
        <v>0.02</v>
      </c>
      <c r="T549" s="138">
        <v>0.02</v>
      </c>
      <c r="U549" s="138">
        <v>0.02</v>
      </c>
      <c r="V549" s="138">
        <v>0.02</v>
      </c>
      <c r="W549" s="138">
        <v>0.02</v>
      </c>
      <c r="X549" s="138">
        <v>0.02</v>
      </c>
      <c r="Y549" s="138">
        <f t="shared" si="393"/>
        <v>0.02</v>
      </c>
      <c r="Z549" s="138">
        <f t="shared" si="394"/>
        <v>0.02</v>
      </c>
      <c r="AA549" s="138">
        <f t="shared" si="395"/>
        <v>0.02</v>
      </c>
      <c r="AB549" s="138">
        <f t="shared" si="396"/>
        <v>0.02</v>
      </c>
      <c r="AC549" s="138">
        <f t="shared" si="397"/>
        <v>0.02</v>
      </c>
      <c r="AD549" s="138">
        <f t="shared" si="398"/>
        <v>0.02</v>
      </c>
      <c r="AE549" s="138">
        <f t="shared" si="399"/>
        <v>0.02</v>
      </c>
      <c r="AF549" s="138">
        <f t="shared" si="400"/>
        <v>0.02</v>
      </c>
      <c r="AG549" s="138">
        <f t="shared" si="401"/>
        <v>0.02</v>
      </c>
      <c r="AH549" s="138">
        <f t="shared" si="402"/>
        <v>0.02</v>
      </c>
      <c r="AI549" s="138">
        <f t="shared" si="403"/>
        <v>0.02</v>
      </c>
      <c r="AJ549" s="138">
        <f t="shared" si="404"/>
        <v>0.02</v>
      </c>
      <c r="AK549" s="138">
        <f t="shared" si="405"/>
        <v>0.02</v>
      </c>
      <c r="AL549" s="138">
        <f t="shared" si="406"/>
        <v>1.9999999999999997E-2</v>
      </c>
      <c r="AM549" s="138">
        <f t="shared" si="407"/>
        <v>2.0453333333333341E-2</v>
      </c>
      <c r="AO549" s="77" t="str">
        <f t="shared" si="364"/>
        <v>BGS-2 (Non-Residential)</v>
      </c>
      <c r="AP549" s="78" t="s">
        <v>687</v>
      </c>
      <c r="AQ549" s="77" t="str">
        <f t="shared" si="365"/>
        <v>Rider TS - Non-Interval (overall rate)</v>
      </c>
      <c r="AR549" s="78" t="str">
        <f t="shared" si="366"/>
        <v>Billing Cycle</v>
      </c>
      <c r="AS549" s="79">
        <f t="shared" si="367"/>
        <v>6</v>
      </c>
      <c r="AT549" s="78">
        <f t="shared" si="368"/>
        <v>0</v>
      </c>
      <c r="AU549" s="78">
        <f t="shared" si="369"/>
        <v>2.2720000000000001E-2</v>
      </c>
      <c r="AV549" s="78">
        <f t="shared" si="370"/>
        <v>2.2720000000000001E-2</v>
      </c>
      <c r="AW549" s="78">
        <f t="shared" si="371"/>
        <v>2.2720000000000001E-2</v>
      </c>
      <c r="AX549" s="78">
        <f t="shared" si="372"/>
        <v>2.2720000000000001E-2</v>
      </c>
      <c r="AY549" s="78">
        <f t="shared" si="373"/>
        <v>2.2720000000000001E-2</v>
      </c>
      <c r="AZ549" s="78">
        <f t="shared" si="374"/>
        <v>0.02</v>
      </c>
      <c r="BA549" s="78">
        <f t="shared" si="375"/>
        <v>0.02</v>
      </c>
      <c r="BB549" s="78">
        <f t="shared" si="376"/>
        <v>0.02</v>
      </c>
      <c r="BC549" s="78">
        <f t="shared" si="377"/>
        <v>0.02</v>
      </c>
      <c r="BD549" s="78">
        <f t="shared" si="378"/>
        <v>0.02</v>
      </c>
      <c r="BE549" s="78">
        <f t="shared" si="379"/>
        <v>0.02</v>
      </c>
      <c r="BF549" s="78">
        <f t="shared" si="380"/>
        <v>0.02</v>
      </c>
      <c r="BG549" s="78">
        <f t="shared" si="381"/>
        <v>0.02</v>
      </c>
      <c r="BH549" s="78">
        <f t="shared" si="382"/>
        <v>0.02</v>
      </c>
      <c r="BI549" s="78">
        <f t="shared" si="383"/>
        <v>0.02</v>
      </c>
      <c r="BJ549" s="78">
        <f t="shared" si="384"/>
        <v>0.02</v>
      </c>
      <c r="BK549" s="78">
        <f t="shared" si="385"/>
        <v>0.02</v>
      </c>
      <c r="BL549" s="78">
        <f t="shared" si="386"/>
        <v>0.02</v>
      </c>
      <c r="BM549" s="78">
        <f t="shared" si="387"/>
        <v>0.02</v>
      </c>
      <c r="BN549" s="78">
        <f t="shared" si="388"/>
        <v>0.02</v>
      </c>
      <c r="BO549" s="78">
        <f t="shared" si="389"/>
        <v>0.02</v>
      </c>
      <c r="BP549" s="78">
        <f t="shared" si="390"/>
        <v>0.02</v>
      </c>
      <c r="BQ549" s="78">
        <f t="shared" si="391"/>
        <v>0.02</v>
      </c>
      <c r="BR549" s="78">
        <f t="shared" si="392"/>
        <v>0.02</v>
      </c>
      <c r="BS549" s="77"/>
      <c r="BT549" s="77"/>
    </row>
    <row r="550" spans="1:72" ht="14.1" customHeight="1" x14ac:dyDescent="0.2">
      <c r="A550" s="55" t="str">
        <f t="shared" si="363"/>
        <v>DS-5 (Lighting Service)_Rider TS - Non-Interval (overall rate)</v>
      </c>
      <c r="B550" s="80" t="s">
        <v>647</v>
      </c>
      <c r="C550" s="71" t="s">
        <v>895</v>
      </c>
      <c r="D550" s="150"/>
      <c r="E550" s="81"/>
      <c r="F550" s="73" t="s">
        <v>649</v>
      </c>
      <c r="G550" s="73">
        <v>0</v>
      </c>
      <c r="H550" s="73">
        <v>6</v>
      </c>
      <c r="I550" s="74" t="s">
        <v>641</v>
      </c>
      <c r="J550" s="75" t="s">
        <v>634</v>
      </c>
      <c r="K550" s="74"/>
      <c r="L550" s="82">
        <v>0.01</v>
      </c>
      <c r="M550" s="138">
        <v>1.3559999999999999E-2</v>
      </c>
      <c r="N550" s="138">
        <v>1.3559999999999999E-2</v>
      </c>
      <c r="O550" s="138">
        <v>1.3559999999999999E-2</v>
      </c>
      <c r="P550" s="138">
        <v>1.3559999999999999E-2</v>
      </c>
      <c r="Q550" s="138">
        <v>1.3559999999999999E-2</v>
      </c>
      <c r="R550" s="138">
        <v>0.01</v>
      </c>
      <c r="S550" s="138">
        <v>0.01</v>
      </c>
      <c r="T550" s="138">
        <v>0.01</v>
      </c>
      <c r="U550" s="138">
        <v>0.01</v>
      </c>
      <c r="V550" s="138">
        <v>0.01</v>
      </c>
      <c r="W550" s="138">
        <v>0.01</v>
      </c>
      <c r="X550" s="138">
        <v>0.01</v>
      </c>
      <c r="Y550" s="138">
        <f t="shared" si="393"/>
        <v>0.01</v>
      </c>
      <c r="Z550" s="138">
        <f t="shared" si="394"/>
        <v>0.01</v>
      </c>
      <c r="AA550" s="138">
        <f t="shared" si="395"/>
        <v>0.01</v>
      </c>
      <c r="AB550" s="138">
        <f t="shared" si="396"/>
        <v>0.01</v>
      </c>
      <c r="AC550" s="138">
        <f t="shared" si="397"/>
        <v>0.01</v>
      </c>
      <c r="AD550" s="138">
        <f t="shared" si="398"/>
        <v>0.01</v>
      </c>
      <c r="AE550" s="138">
        <f t="shared" si="399"/>
        <v>0.01</v>
      </c>
      <c r="AF550" s="138">
        <f t="shared" si="400"/>
        <v>0.01</v>
      </c>
      <c r="AG550" s="138">
        <f t="shared" si="401"/>
        <v>0.01</v>
      </c>
      <c r="AH550" s="138">
        <f t="shared" si="402"/>
        <v>0.01</v>
      </c>
      <c r="AI550" s="138">
        <f t="shared" si="403"/>
        <v>0.01</v>
      </c>
      <c r="AJ550" s="138">
        <f t="shared" si="404"/>
        <v>0.01</v>
      </c>
      <c r="AK550" s="138">
        <f t="shared" si="405"/>
        <v>0.01</v>
      </c>
      <c r="AL550" s="138">
        <f t="shared" si="406"/>
        <v>9.9999999999999985E-3</v>
      </c>
      <c r="AM550" s="138">
        <f t="shared" si="407"/>
        <v>1.0593333333333337E-2</v>
      </c>
      <c r="AO550" s="77" t="str">
        <f t="shared" si="364"/>
        <v>DS-5 (Lighting Service)</v>
      </c>
      <c r="AP550" s="78" t="s">
        <v>650</v>
      </c>
      <c r="AQ550" s="77" t="str">
        <f t="shared" si="365"/>
        <v>Rider TS - Non-Interval (overall rate)</v>
      </c>
      <c r="AR550" s="78" t="str">
        <f t="shared" si="366"/>
        <v>Billing Cycle</v>
      </c>
      <c r="AS550" s="79">
        <f t="shared" si="367"/>
        <v>6</v>
      </c>
      <c r="AT550" s="78">
        <f t="shared" si="368"/>
        <v>0</v>
      </c>
      <c r="AU550" s="78">
        <f t="shared" si="369"/>
        <v>1.3559999999999999E-2</v>
      </c>
      <c r="AV550" s="78">
        <f t="shared" si="370"/>
        <v>1.3559999999999999E-2</v>
      </c>
      <c r="AW550" s="78">
        <f t="shared" si="371"/>
        <v>1.3559999999999999E-2</v>
      </c>
      <c r="AX550" s="78">
        <f t="shared" si="372"/>
        <v>1.3559999999999999E-2</v>
      </c>
      <c r="AY550" s="78">
        <f t="shared" si="373"/>
        <v>1.3559999999999999E-2</v>
      </c>
      <c r="AZ550" s="78">
        <f t="shared" si="374"/>
        <v>0.01</v>
      </c>
      <c r="BA550" s="78">
        <f t="shared" si="375"/>
        <v>0.01</v>
      </c>
      <c r="BB550" s="78">
        <f t="shared" si="376"/>
        <v>0.01</v>
      </c>
      <c r="BC550" s="78">
        <f t="shared" si="377"/>
        <v>0.01</v>
      </c>
      <c r="BD550" s="78">
        <f t="shared" si="378"/>
        <v>0.01</v>
      </c>
      <c r="BE550" s="78">
        <f t="shared" si="379"/>
        <v>0.01</v>
      </c>
      <c r="BF550" s="78">
        <f t="shared" si="380"/>
        <v>0.01</v>
      </c>
      <c r="BG550" s="78">
        <f t="shared" si="381"/>
        <v>0.01</v>
      </c>
      <c r="BH550" s="78">
        <f t="shared" si="382"/>
        <v>0.01</v>
      </c>
      <c r="BI550" s="78">
        <f t="shared" si="383"/>
        <v>0.01</v>
      </c>
      <c r="BJ550" s="78">
        <f t="shared" si="384"/>
        <v>0.01</v>
      </c>
      <c r="BK550" s="78">
        <f t="shared" si="385"/>
        <v>0.01</v>
      </c>
      <c r="BL550" s="78">
        <f t="shared" si="386"/>
        <v>0.01</v>
      </c>
      <c r="BM550" s="78">
        <f t="shared" si="387"/>
        <v>0.01</v>
      </c>
      <c r="BN550" s="78">
        <f t="shared" si="388"/>
        <v>0.01</v>
      </c>
      <c r="BO550" s="78">
        <f t="shared" si="389"/>
        <v>0.01</v>
      </c>
      <c r="BP550" s="78">
        <f t="shared" si="390"/>
        <v>0.01</v>
      </c>
      <c r="BQ550" s="78">
        <f t="shared" si="391"/>
        <v>0.01</v>
      </c>
      <c r="BR550" s="78">
        <f t="shared" si="392"/>
        <v>0.01</v>
      </c>
      <c r="BS550" s="77"/>
      <c r="BT550" s="77"/>
    </row>
    <row r="551" spans="1:72" ht="14.1" customHeight="1" x14ac:dyDescent="0.2">
      <c r="A551" s="55" t="str">
        <f t="shared" si="363"/>
        <v>BGS-1 (Residential)_Rider TS - Non-Interval (uncol rate)</v>
      </c>
      <c r="B551" s="80" t="s">
        <v>677</v>
      </c>
      <c r="C551" s="71" t="s">
        <v>896</v>
      </c>
      <c r="D551" s="150" t="s">
        <v>579</v>
      </c>
      <c r="E551" s="81"/>
      <c r="F551" s="73" t="s">
        <v>649</v>
      </c>
      <c r="G551" s="73">
        <v>0</v>
      </c>
      <c r="H551" s="73">
        <v>6</v>
      </c>
      <c r="I551" s="74" t="s">
        <v>641</v>
      </c>
      <c r="J551" s="75" t="s">
        <v>634</v>
      </c>
      <c r="K551" s="74"/>
      <c r="L551" s="82">
        <v>0</v>
      </c>
      <c r="M551" s="138">
        <v>7.6999999999999996E-4</v>
      </c>
      <c r="N551" s="138">
        <v>7.6999999999999996E-4</v>
      </c>
      <c r="O551" s="138">
        <v>7.6999999999999996E-4</v>
      </c>
      <c r="P551" s="138">
        <v>7.6999999999999996E-4</v>
      </c>
      <c r="Q551" s="138">
        <v>7.6999999999999996E-4</v>
      </c>
      <c r="R551" s="138">
        <v>0</v>
      </c>
      <c r="S551" s="138">
        <v>0</v>
      </c>
      <c r="T551" s="138">
        <v>0</v>
      </c>
      <c r="U551" s="138">
        <v>0</v>
      </c>
      <c r="V551" s="138">
        <v>0</v>
      </c>
      <c r="W551" s="138">
        <v>0</v>
      </c>
      <c r="X551" s="138">
        <v>0</v>
      </c>
      <c r="Y551" s="138">
        <f t="shared" si="393"/>
        <v>0</v>
      </c>
      <c r="Z551" s="138">
        <f t="shared" si="394"/>
        <v>0</v>
      </c>
      <c r="AA551" s="138">
        <f t="shared" si="395"/>
        <v>0</v>
      </c>
      <c r="AB551" s="138">
        <f t="shared" si="396"/>
        <v>0</v>
      </c>
      <c r="AC551" s="138">
        <f t="shared" si="397"/>
        <v>0</v>
      </c>
      <c r="AD551" s="138">
        <f t="shared" si="398"/>
        <v>0</v>
      </c>
      <c r="AE551" s="138">
        <f t="shared" si="399"/>
        <v>0</v>
      </c>
      <c r="AF551" s="138">
        <f t="shared" si="400"/>
        <v>0</v>
      </c>
      <c r="AG551" s="138">
        <f t="shared" si="401"/>
        <v>0</v>
      </c>
      <c r="AH551" s="138">
        <f t="shared" si="402"/>
        <v>0</v>
      </c>
      <c r="AI551" s="138">
        <f t="shared" si="403"/>
        <v>0</v>
      </c>
      <c r="AJ551" s="138">
        <f t="shared" si="404"/>
        <v>0</v>
      </c>
      <c r="AK551" s="138">
        <f t="shared" si="405"/>
        <v>0</v>
      </c>
      <c r="AL551" s="138">
        <f t="shared" si="406"/>
        <v>0</v>
      </c>
      <c r="AM551" s="138">
        <f t="shared" si="407"/>
        <v>1.2833333333333333E-4</v>
      </c>
      <c r="AO551" s="77" t="str">
        <f t="shared" si="364"/>
        <v>BGS-1 (Residential)</v>
      </c>
      <c r="AP551" s="78" t="s">
        <v>679</v>
      </c>
      <c r="AQ551" s="77" t="str">
        <f t="shared" si="365"/>
        <v>Rider TS - Non-Interval (uncol rate)</v>
      </c>
      <c r="AR551" s="78" t="str">
        <f t="shared" si="366"/>
        <v>Billing Cycle</v>
      </c>
      <c r="AS551" s="79">
        <f t="shared" si="367"/>
        <v>6</v>
      </c>
      <c r="AT551" s="78">
        <f t="shared" si="368"/>
        <v>0</v>
      </c>
      <c r="AU551" s="78">
        <f t="shared" si="369"/>
        <v>7.6999999999999996E-4</v>
      </c>
      <c r="AV551" s="78">
        <f t="shared" si="370"/>
        <v>7.6999999999999996E-4</v>
      </c>
      <c r="AW551" s="78">
        <f t="shared" si="371"/>
        <v>7.6999999999999996E-4</v>
      </c>
      <c r="AX551" s="78">
        <f t="shared" si="372"/>
        <v>7.6999999999999996E-4</v>
      </c>
      <c r="AY551" s="78">
        <f t="shared" si="373"/>
        <v>7.6999999999999996E-4</v>
      </c>
      <c r="AZ551" s="78">
        <f t="shared" si="374"/>
        <v>0</v>
      </c>
      <c r="BA551" s="78">
        <f t="shared" si="375"/>
        <v>0</v>
      </c>
      <c r="BB551" s="78">
        <f t="shared" si="376"/>
        <v>0</v>
      </c>
      <c r="BC551" s="78">
        <f t="shared" si="377"/>
        <v>0</v>
      </c>
      <c r="BD551" s="78">
        <f t="shared" si="378"/>
        <v>0</v>
      </c>
      <c r="BE551" s="78">
        <f t="shared" si="379"/>
        <v>0</v>
      </c>
      <c r="BF551" s="78">
        <f t="shared" si="380"/>
        <v>0</v>
      </c>
      <c r="BG551" s="78">
        <f t="shared" si="381"/>
        <v>0</v>
      </c>
      <c r="BH551" s="78">
        <f t="shared" si="382"/>
        <v>0</v>
      </c>
      <c r="BI551" s="78">
        <f t="shared" si="383"/>
        <v>0</v>
      </c>
      <c r="BJ551" s="78">
        <f t="shared" si="384"/>
        <v>0</v>
      </c>
      <c r="BK551" s="78">
        <f t="shared" si="385"/>
        <v>0</v>
      </c>
      <c r="BL551" s="78">
        <f t="shared" si="386"/>
        <v>0</v>
      </c>
      <c r="BM551" s="78">
        <f t="shared" si="387"/>
        <v>0</v>
      </c>
      <c r="BN551" s="78">
        <f t="shared" si="388"/>
        <v>0</v>
      </c>
      <c r="BO551" s="78">
        <f t="shared" si="389"/>
        <v>0</v>
      </c>
      <c r="BP551" s="78">
        <f t="shared" si="390"/>
        <v>0</v>
      </c>
      <c r="BQ551" s="78">
        <f t="shared" si="391"/>
        <v>0</v>
      </c>
      <c r="BR551" s="78">
        <f t="shared" si="392"/>
        <v>0</v>
      </c>
      <c r="BS551" s="77"/>
      <c r="BT551" s="77"/>
    </row>
    <row r="552" spans="1:72" ht="14.1" customHeight="1" x14ac:dyDescent="0.2">
      <c r="A552" s="55" t="str">
        <f t="shared" si="363"/>
        <v>BGS-2 (Non-Residential)_Rider TS - Non-Interval (uncol rate)</v>
      </c>
      <c r="B552" s="80" t="s">
        <v>685</v>
      </c>
      <c r="C552" s="71" t="s">
        <v>896</v>
      </c>
      <c r="D552" s="150"/>
      <c r="E552" s="81"/>
      <c r="F552" s="73" t="s">
        <v>649</v>
      </c>
      <c r="G552" s="73">
        <v>0</v>
      </c>
      <c r="H552" s="73">
        <v>6</v>
      </c>
      <c r="I552" s="74" t="s">
        <v>641</v>
      </c>
      <c r="J552" s="75" t="s">
        <v>634</v>
      </c>
      <c r="K552" s="74"/>
      <c r="L552" s="82">
        <v>-1.0000000000000001E-5</v>
      </c>
      <c r="M552" s="138">
        <v>9.0000000000000006E-5</v>
      </c>
      <c r="N552" s="138">
        <v>9.0000000000000006E-5</v>
      </c>
      <c r="O552" s="138">
        <v>9.0000000000000006E-5</v>
      </c>
      <c r="P552" s="138">
        <v>9.0000000000000006E-5</v>
      </c>
      <c r="Q552" s="138">
        <v>9.0000000000000006E-5</v>
      </c>
      <c r="R552" s="138">
        <v>8.0000000000000007E-5</v>
      </c>
      <c r="S552" s="138">
        <v>8.0000000000000007E-5</v>
      </c>
      <c r="T552" s="138">
        <v>8.0000000000000007E-5</v>
      </c>
      <c r="U552" s="138">
        <v>8.0000000000000007E-5</v>
      </c>
      <c r="V552" s="138">
        <v>8.0000000000000007E-5</v>
      </c>
      <c r="W552" s="138">
        <v>8.0000000000000007E-5</v>
      </c>
      <c r="X552" s="138">
        <v>8.0000000000000007E-5</v>
      </c>
      <c r="Y552" s="138">
        <f t="shared" si="393"/>
        <v>8.0000000000000007E-5</v>
      </c>
      <c r="Z552" s="138">
        <f t="shared" si="394"/>
        <v>8.0000000000000007E-5</v>
      </c>
      <c r="AA552" s="138">
        <f t="shared" si="395"/>
        <v>8.0000000000000007E-5</v>
      </c>
      <c r="AB552" s="138">
        <f t="shared" si="396"/>
        <v>8.0000000000000007E-5</v>
      </c>
      <c r="AC552" s="138">
        <f t="shared" si="397"/>
        <v>8.0000000000000007E-5</v>
      </c>
      <c r="AD552" s="138">
        <f t="shared" si="398"/>
        <v>8.0000000000000007E-5</v>
      </c>
      <c r="AE552" s="138">
        <f t="shared" si="399"/>
        <v>8.0000000000000007E-5</v>
      </c>
      <c r="AF552" s="138">
        <f t="shared" si="400"/>
        <v>8.0000000000000007E-5</v>
      </c>
      <c r="AG552" s="138">
        <f t="shared" si="401"/>
        <v>8.0000000000000007E-5</v>
      </c>
      <c r="AH552" s="138">
        <f t="shared" si="402"/>
        <v>8.0000000000000007E-5</v>
      </c>
      <c r="AI552" s="138">
        <f t="shared" si="403"/>
        <v>8.0000000000000007E-5</v>
      </c>
      <c r="AJ552" s="138">
        <f t="shared" si="404"/>
        <v>8.0000000000000007E-5</v>
      </c>
      <c r="AK552" s="138">
        <f t="shared" si="405"/>
        <v>8.0000000000000007E-5</v>
      </c>
      <c r="AL552" s="138">
        <f t="shared" si="406"/>
        <v>8.0000000000000007E-5</v>
      </c>
      <c r="AM552" s="138">
        <f t="shared" si="407"/>
        <v>8.1666666666666669E-5</v>
      </c>
      <c r="AO552" s="77" t="str">
        <f t="shared" si="364"/>
        <v>BGS-2 (Non-Residential)</v>
      </c>
      <c r="AP552" s="78" t="s">
        <v>687</v>
      </c>
      <c r="AQ552" s="77" t="str">
        <f t="shared" si="365"/>
        <v>Rider TS - Non-Interval (uncol rate)</v>
      </c>
      <c r="AR552" s="78" t="str">
        <f t="shared" si="366"/>
        <v>Billing Cycle</v>
      </c>
      <c r="AS552" s="79">
        <f t="shared" si="367"/>
        <v>6</v>
      </c>
      <c r="AT552" s="78">
        <f t="shared" si="368"/>
        <v>0</v>
      </c>
      <c r="AU552" s="78">
        <f t="shared" si="369"/>
        <v>9.0000000000000006E-5</v>
      </c>
      <c r="AV552" s="78">
        <f t="shared" si="370"/>
        <v>9.0000000000000006E-5</v>
      </c>
      <c r="AW552" s="78">
        <f t="shared" si="371"/>
        <v>9.0000000000000006E-5</v>
      </c>
      <c r="AX552" s="78">
        <f t="shared" si="372"/>
        <v>9.0000000000000006E-5</v>
      </c>
      <c r="AY552" s="78">
        <f t="shared" si="373"/>
        <v>9.0000000000000006E-5</v>
      </c>
      <c r="AZ552" s="78">
        <f t="shared" si="374"/>
        <v>8.0000000000000007E-5</v>
      </c>
      <c r="BA552" s="78">
        <f t="shared" si="375"/>
        <v>8.0000000000000007E-5</v>
      </c>
      <c r="BB552" s="78">
        <f t="shared" si="376"/>
        <v>8.0000000000000007E-5</v>
      </c>
      <c r="BC552" s="78">
        <f t="shared" si="377"/>
        <v>8.0000000000000007E-5</v>
      </c>
      <c r="BD552" s="78">
        <f t="shared" si="378"/>
        <v>8.0000000000000007E-5</v>
      </c>
      <c r="BE552" s="78">
        <f t="shared" si="379"/>
        <v>8.0000000000000007E-5</v>
      </c>
      <c r="BF552" s="78">
        <f t="shared" si="380"/>
        <v>8.0000000000000007E-5</v>
      </c>
      <c r="BG552" s="78">
        <f t="shared" si="381"/>
        <v>8.0000000000000007E-5</v>
      </c>
      <c r="BH552" s="78">
        <f t="shared" si="382"/>
        <v>8.0000000000000007E-5</v>
      </c>
      <c r="BI552" s="78">
        <f t="shared" si="383"/>
        <v>8.0000000000000007E-5</v>
      </c>
      <c r="BJ552" s="78">
        <f t="shared" si="384"/>
        <v>8.0000000000000007E-5</v>
      </c>
      <c r="BK552" s="78">
        <f t="shared" si="385"/>
        <v>8.0000000000000007E-5</v>
      </c>
      <c r="BL552" s="78">
        <f t="shared" si="386"/>
        <v>8.0000000000000007E-5</v>
      </c>
      <c r="BM552" s="78">
        <f t="shared" si="387"/>
        <v>8.0000000000000007E-5</v>
      </c>
      <c r="BN552" s="78">
        <f t="shared" si="388"/>
        <v>8.0000000000000007E-5</v>
      </c>
      <c r="BO552" s="78">
        <f t="shared" si="389"/>
        <v>8.0000000000000007E-5</v>
      </c>
      <c r="BP552" s="78">
        <f t="shared" si="390"/>
        <v>8.0000000000000007E-5</v>
      </c>
      <c r="BQ552" s="78">
        <f t="shared" si="391"/>
        <v>8.0000000000000007E-5</v>
      </c>
      <c r="BR552" s="78">
        <f t="shared" si="392"/>
        <v>8.0000000000000007E-5</v>
      </c>
      <c r="BS552" s="77"/>
      <c r="BT552" s="77"/>
    </row>
    <row r="553" spans="1:72" ht="14.1" customHeight="1" x14ac:dyDescent="0.2">
      <c r="A553" s="55" t="str">
        <f t="shared" si="363"/>
        <v>DS-5 (Lighting Service)_Rider TS - Non-Interval (uncol rate)</v>
      </c>
      <c r="B553" s="80" t="s">
        <v>647</v>
      </c>
      <c r="C553" s="71" t="s">
        <v>896</v>
      </c>
      <c r="D553" s="150"/>
      <c r="E553" s="81"/>
      <c r="F553" s="73" t="s">
        <v>649</v>
      </c>
      <c r="G553" s="73">
        <v>0</v>
      </c>
      <c r="H553" s="73">
        <v>6</v>
      </c>
      <c r="I553" s="74" t="s">
        <v>641</v>
      </c>
      <c r="J553" s="75" t="s">
        <v>634</v>
      </c>
      <c r="K553" s="74"/>
      <c r="L553" s="82">
        <v>0</v>
      </c>
      <c r="M553" s="138">
        <v>6.0000000000000002E-5</v>
      </c>
      <c r="N553" s="138">
        <v>6.0000000000000002E-5</v>
      </c>
      <c r="O553" s="138">
        <v>6.0000000000000002E-5</v>
      </c>
      <c r="P553" s="138">
        <v>6.0000000000000002E-5</v>
      </c>
      <c r="Q553" s="138">
        <v>6.0000000000000002E-5</v>
      </c>
      <c r="R553" s="138">
        <v>0</v>
      </c>
      <c r="S553" s="138">
        <v>0</v>
      </c>
      <c r="T553" s="138">
        <v>0</v>
      </c>
      <c r="U553" s="138">
        <v>0</v>
      </c>
      <c r="V553" s="138">
        <v>0</v>
      </c>
      <c r="W553" s="138">
        <v>0</v>
      </c>
      <c r="X553" s="138">
        <v>0</v>
      </c>
      <c r="Y553" s="138">
        <f t="shared" si="393"/>
        <v>0</v>
      </c>
      <c r="Z553" s="138">
        <f t="shared" si="394"/>
        <v>0</v>
      </c>
      <c r="AA553" s="138">
        <f t="shared" si="395"/>
        <v>0</v>
      </c>
      <c r="AB553" s="138">
        <f t="shared" si="396"/>
        <v>0</v>
      </c>
      <c r="AC553" s="138">
        <f t="shared" si="397"/>
        <v>0</v>
      </c>
      <c r="AD553" s="138">
        <f t="shared" si="398"/>
        <v>0</v>
      </c>
      <c r="AE553" s="138">
        <f t="shared" si="399"/>
        <v>0</v>
      </c>
      <c r="AF553" s="138">
        <f t="shared" si="400"/>
        <v>0</v>
      </c>
      <c r="AG553" s="138">
        <f t="shared" si="401"/>
        <v>0</v>
      </c>
      <c r="AH553" s="138">
        <f t="shared" si="402"/>
        <v>0</v>
      </c>
      <c r="AI553" s="138">
        <f t="shared" si="403"/>
        <v>0</v>
      </c>
      <c r="AJ553" s="138">
        <f t="shared" si="404"/>
        <v>0</v>
      </c>
      <c r="AK553" s="138">
        <f t="shared" si="405"/>
        <v>0</v>
      </c>
      <c r="AL553" s="138">
        <f t="shared" si="406"/>
        <v>0</v>
      </c>
      <c r="AM553" s="138">
        <f t="shared" si="407"/>
        <v>1.0000000000000001E-5</v>
      </c>
      <c r="AO553" s="77" t="str">
        <f t="shared" si="364"/>
        <v>DS-5 (Lighting Service)</v>
      </c>
      <c r="AP553" s="78" t="s">
        <v>650</v>
      </c>
      <c r="AQ553" s="77" t="str">
        <f t="shared" si="365"/>
        <v>Rider TS - Non-Interval (uncol rate)</v>
      </c>
      <c r="AR553" s="78" t="str">
        <f t="shared" si="366"/>
        <v>Billing Cycle</v>
      </c>
      <c r="AS553" s="79">
        <f t="shared" si="367"/>
        <v>6</v>
      </c>
      <c r="AT553" s="78">
        <f t="shared" si="368"/>
        <v>0</v>
      </c>
      <c r="AU553" s="78">
        <f t="shared" si="369"/>
        <v>6.0000000000000002E-5</v>
      </c>
      <c r="AV553" s="78">
        <f t="shared" si="370"/>
        <v>6.0000000000000002E-5</v>
      </c>
      <c r="AW553" s="78">
        <f t="shared" si="371"/>
        <v>6.0000000000000002E-5</v>
      </c>
      <c r="AX553" s="78">
        <f t="shared" si="372"/>
        <v>6.0000000000000002E-5</v>
      </c>
      <c r="AY553" s="78">
        <f t="shared" si="373"/>
        <v>6.0000000000000002E-5</v>
      </c>
      <c r="AZ553" s="78">
        <f t="shared" si="374"/>
        <v>0</v>
      </c>
      <c r="BA553" s="78">
        <f t="shared" si="375"/>
        <v>0</v>
      </c>
      <c r="BB553" s="78">
        <f t="shared" si="376"/>
        <v>0</v>
      </c>
      <c r="BC553" s="78">
        <f t="shared" si="377"/>
        <v>0</v>
      </c>
      <c r="BD553" s="78">
        <f t="shared" si="378"/>
        <v>0</v>
      </c>
      <c r="BE553" s="78">
        <f t="shared" si="379"/>
        <v>0</v>
      </c>
      <c r="BF553" s="78">
        <f t="shared" si="380"/>
        <v>0</v>
      </c>
      <c r="BG553" s="78">
        <f t="shared" si="381"/>
        <v>0</v>
      </c>
      <c r="BH553" s="78">
        <f t="shared" si="382"/>
        <v>0</v>
      </c>
      <c r="BI553" s="78">
        <f t="shared" si="383"/>
        <v>0</v>
      </c>
      <c r="BJ553" s="78">
        <f t="shared" si="384"/>
        <v>0</v>
      </c>
      <c r="BK553" s="78">
        <f t="shared" si="385"/>
        <v>0</v>
      </c>
      <c r="BL553" s="78">
        <f t="shared" si="386"/>
        <v>0</v>
      </c>
      <c r="BM553" s="78">
        <f t="shared" si="387"/>
        <v>0</v>
      </c>
      <c r="BN553" s="78">
        <f t="shared" si="388"/>
        <v>0</v>
      </c>
      <c r="BO553" s="78">
        <f t="shared" si="389"/>
        <v>0</v>
      </c>
      <c r="BP553" s="78">
        <f t="shared" si="390"/>
        <v>0</v>
      </c>
      <c r="BQ553" s="78">
        <f t="shared" si="391"/>
        <v>0</v>
      </c>
      <c r="BR553" s="78">
        <f t="shared" si="392"/>
        <v>0</v>
      </c>
      <c r="BS553" s="77"/>
      <c r="BT553" s="77"/>
    </row>
    <row r="554" spans="1:72" ht="14.1" customHeight="1" x14ac:dyDescent="0.2">
      <c r="A554" s="55" t="str">
        <f t="shared" si="363"/>
        <v>DS-1 (Residential)_Rider UCB/POR - Program Charge</v>
      </c>
      <c r="B554" s="80" t="s">
        <v>90</v>
      </c>
      <c r="C554" s="83" t="s">
        <v>897</v>
      </c>
      <c r="D554" s="150" t="s">
        <v>557</v>
      </c>
      <c r="E554" s="81"/>
      <c r="F554" s="73" t="s">
        <v>649</v>
      </c>
      <c r="G554" s="73">
        <v>0</v>
      </c>
      <c r="H554" s="73">
        <v>6</v>
      </c>
      <c r="I554" s="74" t="s">
        <v>641</v>
      </c>
      <c r="J554" s="75" t="s">
        <v>634</v>
      </c>
      <c r="K554" s="74"/>
      <c r="L554" s="82">
        <v>-0.72</v>
      </c>
      <c r="M554" s="138">
        <v>0</v>
      </c>
      <c r="N554" s="138">
        <v>0</v>
      </c>
      <c r="O554" s="138">
        <v>0</v>
      </c>
      <c r="P554" s="138">
        <v>0.64</v>
      </c>
      <c r="Q554" s="138">
        <v>0.64</v>
      </c>
      <c r="R554" s="138">
        <v>0.64</v>
      </c>
      <c r="S554" s="138">
        <v>0.64</v>
      </c>
      <c r="T554" s="138">
        <v>0.64</v>
      </c>
      <c r="U554" s="138">
        <v>0.64</v>
      </c>
      <c r="V554" s="138">
        <v>0.64</v>
      </c>
      <c r="W554" s="138">
        <v>0.64</v>
      </c>
      <c r="X554" s="138">
        <v>0.64</v>
      </c>
      <c r="Y554" s="138">
        <f t="shared" si="393"/>
        <v>0.64</v>
      </c>
      <c r="Z554" s="138">
        <f t="shared" si="394"/>
        <v>0.64</v>
      </c>
      <c r="AA554" s="138">
        <f t="shared" si="395"/>
        <v>0.64</v>
      </c>
      <c r="AB554" s="138">
        <f t="shared" si="396"/>
        <v>0.64</v>
      </c>
      <c r="AC554" s="138">
        <f t="shared" si="397"/>
        <v>0.64</v>
      </c>
      <c r="AD554" s="138">
        <f t="shared" si="398"/>
        <v>0.64</v>
      </c>
      <c r="AE554" s="138">
        <f t="shared" si="399"/>
        <v>0.64</v>
      </c>
      <c r="AF554" s="138">
        <f t="shared" si="400"/>
        <v>0.64</v>
      </c>
      <c r="AG554" s="138">
        <f t="shared" si="401"/>
        <v>0.64</v>
      </c>
      <c r="AH554" s="138">
        <f t="shared" si="402"/>
        <v>0.64</v>
      </c>
      <c r="AI554" s="138">
        <f t="shared" si="403"/>
        <v>0.64</v>
      </c>
      <c r="AJ554" s="138">
        <f t="shared" si="404"/>
        <v>0.64</v>
      </c>
      <c r="AK554" s="138">
        <f t="shared" si="405"/>
        <v>0.64</v>
      </c>
      <c r="AL554" s="138">
        <f t="shared" si="406"/>
        <v>0.6399999999999999</v>
      </c>
      <c r="AM554" s="138">
        <f t="shared" si="407"/>
        <v>0.58666666666666678</v>
      </c>
      <c r="AO554" s="77" t="str">
        <f t="shared" si="364"/>
        <v>DS-1 (Residential)</v>
      </c>
      <c r="AP554" s="78" t="s">
        <v>662</v>
      </c>
      <c r="AQ554" s="77" t="str">
        <f t="shared" si="365"/>
        <v>Rider UCB/POR - Program Charge</v>
      </c>
      <c r="AR554" s="78" t="str">
        <f t="shared" si="366"/>
        <v>Billing Cycle</v>
      </c>
      <c r="AS554" s="79">
        <f t="shared" si="367"/>
        <v>6</v>
      </c>
      <c r="AT554" s="78">
        <f t="shared" si="368"/>
        <v>-1</v>
      </c>
      <c r="AU554" s="78">
        <f t="shared" si="369"/>
        <v>0</v>
      </c>
      <c r="AV554" s="78">
        <f t="shared" si="370"/>
        <v>0</v>
      </c>
      <c r="AW554" s="78">
        <f t="shared" si="371"/>
        <v>0</v>
      </c>
      <c r="AX554" s="78">
        <f t="shared" si="372"/>
        <v>0.64</v>
      </c>
      <c r="AY554" s="78">
        <f t="shared" si="373"/>
        <v>0.64</v>
      </c>
      <c r="AZ554" s="78">
        <f t="shared" si="374"/>
        <v>0.64</v>
      </c>
      <c r="BA554" s="78">
        <f t="shared" si="375"/>
        <v>0.64</v>
      </c>
      <c r="BB554" s="78">
        <f t="shared" si="376"/>
        <v>0.64</v>
      </c>
      <c r="BC554" s="78">
        <f t="shared" si="377"/>
        <v>0.64</v>
      </c>
      <c r="BD554" s="78">
        <f t="shared" si="378"/>
        <v>0.64</v>
      </c>
      <c r="BE554" s="78">
        <f t="shared" si="379"/>
        <v>0.64</v>
      </c>
      <c r="BF554" s="78">
        <f t="shared" si="380"/>
        <v>0.64</v>
      </c>
      <c r="BG554" s="78">
        <f t="shared" si="381"/>
        <v>0.64</v>
      </c>
      <c r="BH554" s="78">
        <f t="shared" si="382"/>
        <v>0.64</v>
      </c>
      <c r="BI554" s="78">
        <f t="shared" si="383"/>
        <v>0.64</v>
      </c>
      <c r="BJ554" s="78">
        <f t="shared" si="384"/>
        <v>0.64</v>
      </c>
      <c r="BK554" s="78">
        <f t="shared" si="385"/>
        <v>0.64</v>
      </c>
      <c r="BL554" s="78">
        <f t="shared" si="386"/>
        <v>0.64</v>
      </c>
      <c r="BM554" s="78">
        <f t="shared" si="387"/>
        <v>0.64</v>
      </c>
      <c r="BN554" s="78">
        <f t="shared" si="388"/>
        <v>0.64</v>
      </c>
      <c r="BO554" s="78">
        <f t="shared" si="389"/>
        <v>0.64</v>
      </c>
      <c r="BP554" s="78">
        <f t="shared" si="390"/>
        <v>0.64</v>
      </c>
      <c r="BQ554" s="78">
        <f t="shared" si="391"/>
        <v>0.64</v>
      </c>
      <c r="BR554" s="78">
        <f t="shared" si="392"/>
        <v>0.64</v>
      </c>
      <c r="BS554" s="77"/>
      <c r="BT554" s="77"/>
    </row>
    <row r="555" spans="1:72" ht="14.1" customHeight="1" x14ac:dyDescent="0.2">
      <c r="A555" s="55" t="str">
        <f t="shared" si="363"/>
        <v>DS-2 (Small General Service)_Rider UCB/POR - Program Charge</v>
      </c>
      <c r="B555" s="80" t="s">
        <v>665</v>
      </c>
      <c r="C555" s="83" t="s">
        <v>897</v>
      </c>
      <c r="D555" s="150"/>
      <c r="E555" s="81"/>
      <c r="F555" s="73" t="s">
        <v>649</v>
      </c>
      <c r="G555" s="73">
        <v>0</v>
      </c>
      <c r="H555" s="73">
        <v>6</v>
      </c>
      <c r="I555" s="74" t="s">
        <v>641</v>
      </c>
      <c r="J555" s="75" t="s">
        <v>634</v>
      </c>
      <c r="K555" s="74"/>
      <c r="L555" s="82">
        <v>-0.72</v>
      </c>
      <c r="M555" s="138">
        <v>0</v>
      </c>
      <c r="N555" s="138">
        <v>0</v>
      </c>
      <c r="O555" s="138">
        <v>0</v>
      </c>
      <c r="P555" s="138">
        <v>0.64</v>
      </c>
      <c r="Q555" s="138">
        <v>0.64</v>
      </c>
      <c r="R555" s="138">
        <v>0.64</v>
      </c>
      <c r="S555" s="138">
        <v>0.64</v>
      </c>
      <c r="T555" s="138">
        <v>0.64</v>
      </c>
      <c r="U555" s="138">
        <v>0.64</v>
      </c>
      <c r="V555" s="138">
        <v>0.64</v>
      </c>
      <c r="W555" s="138">
        <v>0.64</v>
      </c>
      <c r="X555" s="138">
        <v>0.64</v>
      </c>
      <c r="Y555" s="138">
        <f t="shared" si="393"/>
        <v>0.64</v>
      </c>
      <c r="Z555" s="138">
        <f t="shared" si="394"/>
        <v>0.64</v>
      </c>
      <c r="AA555" s="138">
        <f t="shared" si="395"/>
        <v>0.64</v>
      </c>
      <c r="AB555" s="138">
        <f t="shared" si="396"/>
        <v>0.64</v>
      </c>
      <c r="AC555" s="138">
        <f t="shared" si="397"/>
        <v>0.64</v>
      </c>
      <c r="AD555" s="138">
        <f t="shared" si="398"/>
        <v>0.64</v>
      </c>
      <c r="AE555" s="138">
        <f t="shared" si="399"/>
        <v>0.64</v>
      </c>
      <c r="AF555" s="138">
        <f t="shared" si="400"/>
        <v>0.64</v>
      </c>
      <c r="AG555" s="138">
        <f t="shared" si="401"/>
        <v>0.64</v>
      </c>
      <c r="AH555" s="138">
        <f t="shared" si="402"/>
        <v>0.64</v>
      </c>
      <c r="AI555" s="138">
        <f t="shared" si="403"/>
        <v>0.64</v>
      </c>
      <c r="AJ555" s="138">
        <f t="shared" si="404"/>
        <v>0.64</v>
      </c>
      <c r="AK555" s="138">
        <f t="shared" si="405"/>
        <v>0.64</v>
      </c>
      <c r="AL555" s="138">
        <f t="shared" si="406"/>
        <v>0.6399999999999999</v>
      </c>
      <c r="AM555" s="138">
        <f t="shared" si="407"/>
        <v>0.58666666666666678</v>
      </c>
      <c r="AO555" s="77" t="str">
        <f t="shared" si="364"/>
        <v>DS-2 (Small General Service)</v>
      </c>
      <c r="AP555" s="78" t="s">
        <v>664</v>
      </c>
      <c r="AQ555" s="77" t="str">
        <f t="shared" si="365"/>
        <v>Rider UCB/POR - Program Charge</v>
      </c>
      <c r="AR555" s="78" t="str">
        <f t="shared" si="366"/>
        <v>Billing Cycle</v>
      </c>
      <c r="AS555" s="79">
        <f t="shared" si="367"/>
        <v>6</v>
      </c>
      <c r="AT555" s="78">
        <f t="shared" si="368"/>
        <v>-1</v>
      </c>
      <c r="AU555" s="78">
        <f t="shared" si="369"/>
        <v>0</v>
      </c>
      <c r="AV555" s="78">
        <f t="shared" si="370"/>
        <v>0</v>
      </c>
      <c r="AW555" s="78">
        <f t="shared" si="371"/>
        <v>0</v>
      </c>
      <c r="AX555" s="78">
        <f t="shared" si="372"/>
        <v>0.64</v>
      </c>
      <c r="AY555" s="78">
        <f t="shared" si="373"/>
        <v>0.64</v>
      </c>
      <c r="AZ555" s="78">
        <f t="shared" si="374"/>
        <v>0.64</v>
      </c>
      <c r="BA555" s="78">
        <f t="shared" si="375"/>
        <v>0.64</v>
      </c>
      <c r="BB555" s="78">
        <f t="shared" si="376"/>
        <v>0.64</v>
      </c>
      <c r="BC555" s="78">
        <f t="shared" si="377"/>
        <v>0.64</v>
      </c>
      <c r="BD555" s="78">
        <f t="shared" si="378"/>
        <v>0.64</v>
      </c>
      <c r="BE555" s="78">
        <f t="shared" si="379"/>
        <v>0.64</v>
      </c>
      <c r="BF555" s="78">
        <f t="shared" si="380"/>
        <v>0.64</v>
      </c>
      <c r="BG555" s="78">
        <f t="shared" si="381"/>
        <v>0.64</v>
      </c>
      <c r="BH555" s="78">
        <f t="shared" si="382"/>
        <v>0.64</v>
      </c>
      <c r="BI555" s="78">
        <f t="shared" si="383"/>
        <v>0.64</v>
      </c>
      <c r="BJ555" s="78">
        <f t="shared" si="384"/>
        <v>0.64</v>
      </c>
      <c r="BK555" s="78">
        <f t="shared" si="385"/>
        <v>0.64</v>
      </c>
      <c r="BL555" s="78">
        <f t="shared" si="386"/>
        <v>0.64</v>
      </c>
      <c r="BM555" s="78">
        <f t="shared" si="387"/>
        <v>0.64</v>
      </c>
      <c r="BN555" s="78">
        <f t="shared" si="388"/>
        <v>0.64</v>
      </c>
      <c r="BO555" s="78">
        <f t="shared" si="389"/>
        <v>0.64</v>
      </c>
      <c r="BP555" s="78">
        <f t="shared" si="390"/>
        <v>0.64</v>
      </c>
      <c r="BQ555" s="78">
        <f t="shared" si="391"/>
        <v>0.64</v>
      </c>
      <c r="BR555" s="78">
        <f t="shared" si="392"/>
        <v>0.64</v>
      </c>
      <c r="BS555" s="77"/>
      <c r="BT555" s="77"/>
    </row>
    <row r="556" spans="1:72" ht="14.1" customHeight="1" x14ac:dyDescent="0.2">
      <c r="A556" s="55" t="str">
        <f t="shared" si="363"/>
        <v>DS-3 (General Delivery Service)_Rider UCB/POR - Program Charge</v>
      </c>
      <c r="B556" s="80" t="s">
        <v>666</v>
      </c>
      <c r="C556" s="83" t="s">
        <v>897</v>
      </c>
      <c r="D556" s="150"/>
      <c r="E556" s="81"/>
      <c r="F556" s="73" t="s">
        <v>649</v>
      </c>
      <c r="G556" s="73">
        <v>0</v>
      </c>
      <c r="H556" s="73">
        <v>6</v>
      </c>
      <c r="I556" s="74" t="s">
        <v>641</v>
      </c>
      <c r="J556" s="75" t="s">
        <v>634</v>
      </c>
      <c r="K556" s="74"/>
      <c r="L556" s="82">
        <v>-0.72</v>
      </c>
      <c r="M556" s="138">
        <v>0</v>
      </c>
      <c r="N556" s="138">
        <v>0</v>
      </c>
      <c r="O556" s="138">
        <v>0</v>
      </c>
      <c r="P556" s="138">
        <v>0.64</v>
      </c>
      <c r="Q556" s="138">
        <v>0.64</v>
      </c>
      <c r="R556" s="138">
        <v>0.64</v>
      </c>
      <c r="S556" s="138">
        <v>0.64</v>
      </c>
      <c r="T556" s="138">
        <v>0.64</v>
      </c>
      <c r="U556" s="138">
        <v>0.64</v>
      </c>
      <c r="V556" s="138">
        <v>0.64</v>
      </c>
      <c r="W556" s="138">
        <v>0.64</v>
      </c>
      <c r="X556" s="138">
        <v>0.64</v>
      </c>
      <c r="Y556" s="138">
        <f t="shared" si="393"/>
        <v>0.64</v>
      </c>
      <c r="Z556" s="138">
        <f t="shared" si="394"/>
        <v>0.64</v>
      </c>
      <c r="AA556" s="138">
        <f t="shared" si="395"/>
        <v>0.64</v>
      </c>
      <c r="AB556" s="138">
        <f t="shared" si="396"/>
        <v>0.64</v>
      </c>
      <c r="AC556" s="138">
        <f t="shared" si="397"/>
        <v>0.64</v>
      </c>
      <c r="AD556" s="138">
        <f t="shared" si="398"/>
        <v>0.64</v>
      </c>
      <c r="AE556" s="138">
        <f t="shared" si="399"/>
        <v>0.64</v>
      </c>
      <c r="AF556" s="138">
        <f t="shared" si="400"/>
        <v>0.64</v>
      </c>
      <c r="AG556" s="138">
        <f t="shared" si="401"/>
        <v>0.64</v>
      </c>
      <c r="AH556" s="138">
        <f t="shared" si="402"/>
        <v>0.64</v>
      </c>
      <c r="AI556" s="138">
        <f t="shared" si="403"/>
        <v>0.64</v>
      </c>
      <c r="AJ556" s="138">
        <f t="shared" si="404"/>
        <v>0.64</v>
      </c>
      <c r="AK556" s="138">
        <f t="shared" si="405"/>
        <v>0.64</v>
      </c>
      <c r="AL556" s="138">
        <f t="shared" si="406"/>
        <v>0.6399999999999999</v>
      </c>
      <c r="AM556" s="138">
        <f t="shared" si="407"/>
        <v>0.58666666666666678</v>
      </c>
      <c r="AO556" s="77" t="str">
        <f t="shared" si="364"/>
        <v>DS-3 (General Delivery Service)</v>
      </c>
      <c r="AP556" s="78" t="s">
        <v>667</v>
      </c>
      <c r="AQ556" s="77" t="str">
        <f t="shared" si="365"/>
        <v>Rider UCB/POR - Program Charge</v>
      </c>
      <c r="AR556" s="78" t="str">
        <f t="shared" si="366"/>
        <v>Billing Cycle</v>
      </c>
      <c r="AS556" s="79">
        <f t="shared" si="367"/>
        <v>6</v>
      </c>
      <c r="AT556" s="78">
        <f t="shared" si="368"/>
        <v>-1</v>
      </c>
      <c r="AU556" s="78">
        <f t="shared" si="369"/>
        <v>0</v>
      </c>
      <c r="AV556" s="78">
        <f t="shared" si="370"/>
        <v>0</v>
      </c>
      <c r="AW556" s="78">
        <f t="shared" si="371"/>
        <v>0</v>
      </c>
      <c r="AX556" s="78">
        <f t="shared" si="372"/>
        <v>0.64</v>
      </c>
      <c r="AY556" s="78">
        <f t="shared" si="373"/>
        <v>0.64</v>
      </c>
      <c r="AZ556" s="78">
        <f t="shared" si="374"/>
        <v>0.64</v>
      </c>
      <c r="BA556" s="78">
        <f t="shared" si="375"/>
        <v>0.64</v>
      </c>
      <c r="BB556" s="78">
        <f t="shared" si="376"/>
        <v>0.64</v>
      </c>
      <c r="BC556" s="78">
        <f t="shared" si="377"/>
        <v>0.64</v>
      </c>
      <c r="BD556" s="78">
        <f t="shared" si="378"/>
        <v>0.64</v>
      </c>
      <c r="BE556" s="78">
        <f t="shared" si="379"/>
        <v>0.64</v>
      </c>
      <c r="BF556" s="78">
        <f t="shared" si="380"/>
        <v>0.64</v>
      </c>
      <c r="BG556" s="78">
        <f t="shared" si="381"/>
        <v>0.64</v>
      </c>
      <c r="BH556" s="78">
        <f t="shared" si="382"/>
        <v>0.64</v>
      </c>
      <c r="BI556" s="78">
        <f t="shared" si="383"/>
        <v>0.64</v>
      </c>
      <c r="BJ556" s="78">
        <f t="shared" si="384"/>
        <v>0.64</v>
      </c>
      <c r="BK556" s="78">
        <f t="shared" si="385"/>
        <v>0.64</v>
      </c>
      <c r="BL556" s="78">
        <f t="shared" si="386"/>
        <v>0.64</v>
      </c>
      <c r="BM556" s="78">
        <f t="shared" si="387"/>
        <v>0.64</v>
      </c>
      <c r="BN556" s="78">
        <f t="shared" si="388"/>
        <v>0.64</v>
      </c>
      <c r="BO556" s="78">
        <f t="shared" si="389"/>
        <v>0.64</v>
      </c>
      <c r="BP556" s="78">
        <f t="shared" si="390"/>
        <v>0.64</v>
      </c>
      <c r="BQ556" s="78">
        <f t="shared" si="391"/>
        <v>0.64</v>
      </c>
      <c r="BR556" s="78">
        <f t="shared" si="392"/>
        <v>0.64</v>
      </c>
      <c r="BS556" s="77"/>
      <c r="BT556" s="77"/>
    </row>
    <row r="557" spans="1:72" ht="14.1" customHeight="1" x14ac:dyDescent="0.2">
      <c r="A557" s="55" t="str">
        <f t="shared" si="363"/>
        <v>DS-5 (Lighting Service)_Rider UCB/POR - Program Charge</v>
      </c>
      <c r="B557" s="80" t="s">
        <v>647</v>
      </c>
      <c r="C557" s="71" t="s">
        <v>897</v>
      </c>
      <c r="D557" s="150"/>
      <c r="E557" s="81"/>
      <c r="F557" s="73" t="s">
        <v>649</v>
      </c>
      <c r="G557" s="73">
        <v>0</v>
      </c>
      <c r="H557" s="73">
        <v>6</v>
      </c>
      <c r="I557" s="74" t="s">
        <v>641</v>
      </c>
      <c r="J557" s="75" t="s">
        <v>634</v>
      </c>
      <c r="K557" s="74"/>
      <c r="L557" s="82">
        <v>-0.72</v>
      </c>
      <c r="M557" s="138">
        <v>0</v>
      </c>
      <c r="N557" s="138">
        <v>0</v>
      </c>
      <c r="O557" s="138">
        <v>0</v>
      </c>
      <c r="P557" s="138">
        <v>0.64</v>
      </c>
      <c r="Q557" s="138">
        <v>0.64</v>
      </c>
      <c r="R557" s="138">
        <v>0.64</v>
      </c>
      <c r="S557" s="138">
        <v>0.64</v>
      </c>
      <c r="T557" s="138">
        <v>0.64</v>
      </c>
      <c r="U557" s="138">
        <v>0.64</v>
      </c>
      <c r="V557" s="138">
        <v>0.64</v>
      </c>
      <c r="W557" s="138">
        <v>0.64</v>
      </c>
      <c r="X557" s="138">
        <v>0.64</v>
      </c>
      <c r="Y557" s="138">
        <f t="shared" si="393"/>
        <v>0.64</v>
      </c>
      <c r="Z557" s="138">
        <f t="shared" si="394"/>
        <v>0.64</v>
      </c>
      <c r="AA557" s="138">
        <f t="shared" si="395"/>
        <v>0.64</v>
      </c>
      <c r="AB557" s="138">
        <f t="shared" si="396"/>
        <v>0.64</v>
      </c>
      <c r="AC557" s="138">
        <f t="shared" si="397"/>
        <v>0.64</v>
      </c>
      <c r="AD557" s="138">
        <f t="shared" si="398"/>
        <v>0.64</v>
      </c>
      <c r="AE557" s="138">
        <f t="shared" si="399"/>
        <v>0.64</v>
      </c>
      <c r="AF557" s="138">
        <f t="shared" si="400"/>
        <v>0.64</v>
      </c>
      <c r="AG557" s="138">
        <f t="shared" si="401"/>
        <v>0.64</v>
      </c>
      <c r="AH557" s="138">
        <f t="shared" si="402"/>
        <v>0.64</v>
      </c>
      <c r="AI557" s="138">
        <f t="shared" si="403"/>
        <v>0.64</v>
      </c>
      <c r="AJ557" s="138">
        <f t="shared" si="404"/>
        <v>0.64</v>
      </c>
      <c r="AK557" s="138">
        <f t="shared" si="405"/>
        <v>0.64</v>
      </c>
      <c r="AL557" s="138">
        <f t="shared" si="406"/>
        <v>0.6399999999999999</v>
      </c>
      <c r="AM557" s="138">
        <f t="shared" si="407"/>
        <v>0.58666666666666678</v>
      </c>
      <c r="AO557" s="77" t="str">
        <f t="shared" si="364"/>
        <v>DS-5 (Lighting Service)</v>
      </c>
      <c r="AP557" s="78" t="s">
        <v>650</v>
      </c>
      <c r="AQ557" s="77" t="str">
        <f t="shared" si="365"/>
        <v>Rider UCB/POR - Program Charge</v>
      </c>
      <c r="AR557" s="78" t="str">
        <f t="shared" si="366"/>
        <v>Billing Cycle</v>
      </c>
      <c r="AS557" s="79">
        <f t="shared" si="367"/>
        <v>6</v>
      </c>
      <c r="AT557" s="78">
        <f t="shared" si="368"/>
        <v>-1</v>
      </c>
      <c r="AU557" s="78">
        <f t="shared" si="369"/>
        <v>0</v>
      </c>
      <c r="AV557" s="78">
        <f t="shared" si="370"/>
        <v>0</v>
      </c>
      <c r="AW557" s="78">
        <f t="shared" si="371"/>
        <v>0</v>
      </c>
      <c r="AX557" s="78">
        <f t="shared" si="372"/>
        <v>0.64</v>
      </c>
      <c r="AY557" s="78">
        <f t="shared" si="373"/>
        <v>0.64</v>
      </c>
      <c r="AZ557" s="78">
        <f t="shared" si="374"/>
        <v>0.64</v>
      </c>
      <c r="BA557" s="78">
        <f t="shared" si="375"/>
        <v>0.64</v>
      </c>
      <c r="BB557" s="78">
        <f t="shared" si="376"/>
        <v>0.64</v>
      </c>
      <c r="BC557" s="78">
        <f t="shared" si="377"/>
        <v>0.64</v>
      </c>
      <c r="BD557" s="78">
        <f t="shared" si="378"/>
        <v>0.64</v>
      </c>
      <c r="BE557" s="78">
        <f t="shared" si="379"/>
        <v>0.64</v>
      </c>
      <c r="BF557" s="78">
        <f t="shared" si="380"/>
        <v>0.64</v>
      </c>
      <c r="BG557" s="78">
        <f t="shared" si="381"/>
        <v>0.64</v>
      </c>
      <c r="BH557" s="78">
        <f t="shared" si="382"/>
        <v>0.64</v>
      </c>
      <c r="BI557" s="78">
        <f t="shared" si="383"/>
        <v>0.64</v>
      </c>
      <c r="BJ557" s="78">
        <f t="shared" si="384"/>
        <v>0.64</v>
      </c>
      <c r="BK557" s="78">
        <f t="shared" si="385"/>
        <v>0.64</v>
      </c>
      <c r="BL557" s="78">
        <f t="shared" si="386"/>
        <v>0.64</v>
      </c>
      <c r="BM557" s="78">
        <f t="shared" si="387"/>
        <v>0.64</v>
      </c>
      <c r="BN557" s="78">
        <f t="shared" si="388"/>
        <v>0.64</v>
      </c>
      <c r="BO557" s="78">
        <f t="shared" si="389"/>
        <v>0.64</v>
      </c>
      <c r="BP557" s="78">
        <f t="shared" si="390"/>
        <v>0.64</v>
      </c>
      <c r="BQ557" s="78">
        <f t="shared" si="391"/>
        <v>0.64</v>
      </c>
      <c r="BR557" s="78">
        <f t="shared" si="392"/>
        <v>0.64</v>
      </c>
      <c r="BS557" s="77"/>
      <c r="BT557" s="77"/>
    </row>
    <row r="558" spans="1:72" ht="14.1" customHeight="1" x14ac:dyDescent="0.2">
      <c r="A558" s="55" t="str">
        <f t="shared" si="363"/>
        <v>DS-6 (DS-3) Temp. Sensitive DS_Rider UCB/POR - Program Charge</v>
      </c>
      <c r="B558" s="80" t="s">
        <v>643</v>
      </c>
      <c r="C558" s="83" t="s">
        <v>897</v>
      </c>
      <c r="D558" s="150"/>
      <c r="E558" s="81"/>
      <c r="F558" s="73" t="s">
        <v>649</v>
      </c>
      <c r="G558" s="73">
        <v>0</v>
      </c>
      <c r="H558" s="73">
        <v>6</v>
      </c>
      <c r="I558" s="74" t="s">
        <v>641</v>
      </c>
      <c r="J558" s="75" t="s">
        <v>634</v>
      </c>
      <c r="K558" s="74"/>
      <c r="L558" s="82">
        <v>-0.72</v>
      </c>
      <c r="M558" s="138">
        <v>0</v>
      </c>
      <c r="N558" s="138">
        <v>0</v>
      </c>
      <c r="O558" s="138">
        <v>0</v>
      </c>
      <c r="P558" s="138">
        <v>0.64</v>
      </c>
      <c r="Q558" s="138">
        <v>0.64</v>
      </c>
      <c r="R558" s="138">
        <v>0.64</v>
      </c>
      <c r="S558" s="138">
        <v>0.64</v>
      </c>
      <c r="T558" s="138">
        <v>0.64</v>
      </c>
      <c r="U558" s="138">
        <v>0.64</v>
      </c>
      <c r="V558" s="138">
        <v>0.64</v>
      </c>
      <c r="W558" s="138">
        <v>0.64</v>
      </c>
      <c r="X558" s="138">
        <v>0.64</v>
      </c>
      <c r="Y558" s="138">
        <f t="shared" si="393"/>
        <v>0.64</v>
      </c>
      <c r="Z558" s="138">
        <f t="shared" si="394"/>
        <v>0.64</v>
      </c>
      <c r="AA558" s="138">
        <f t="shared" si="395"/>
        <v>0.64</v>
      </c>
      <c r="AB558" s="138">
        <f t="shared" si="396"/>
        <v>0.64</v>
      </c>
      <c r="AC558" s="138">
        <f t="shared" si="397"/>
        <v>0.64</v>
      </c>
      <c r="AD558" s="138">
        <f t="shared" si="398"/>
        <v>0.64</v>
      </c>
      <c r="AE558" s="138">
        <f t="shared" si="399"/>
        <v>0.64</v>
      </c>
      <c r="AF558" s="138">
        <f t="shared" si="400"/>
        <v>0.64</v>
      </c>
      <c r="AG558" s="138">
        <f t="shared" si="401"/>
        <v>0.64</v>
      </c>
      <c r="AH558" s="138">
        <f t="shared" si="402"/>
        <v>0.64</v>
      </c>
      <c r="AI558" s="138">
        <f t="shared" si="403"/>
        <v>0.64</v>
      </c>
      <c r="AJ558" s="138">
        <f t="shared" si="404"/>
        <v>0.64</v>
      </c>
      <c r="AK558" s="138">
        <f t="shared" si="405"/>
        <v>0.64</v>
      </c>
      <c r="AL558" s="138">
        <f t="shared" si="406"/>
        <v>0.6399999999999999</v>
      </c>
      <c r="AM558" s="138">
        <f t="shared" si="407"/>
        <v>0.58666666666666678</v>
      </c>
      <c r="AO558" s="77" t="str">
        <f t="shared" si="364"/>
        <v>DS-6 (DS-3) Temp. Sensitive DS</v>
      </c>
      <c r="AP558" s="78" t="s">
        <v>644</v>
      </c>
      <c r="AQ558" s="77" t="str">
        <f t="shared" si="365"/>
        <v>Rider UCB/POR - Program Charge</v>
      </c>
      <c r="AR558" s="78" t="str">
        <f t="shared" si="366"/>
        <v>Billing Cycle</v>
      </c>
      <c r="AS558" s="79">
        <f t="shared" si="367"/>
        <v>6</v>
      </c>
      <c r="AT558" s="78">
        <f t="shared" si="368"/>
        <v>-1</v>
      </c>
      <c r="AU558" s="78">
        <f t="shared" si="369"/>
        <v>0</v>
      </c>
      <c r="AV558" s="78">
        <f t="shared" si="370"/>
        <v>0</v>
      </c>
      <c r="AW558" s="78">
        <f t="shared" si="371"/>
        <v>0</v>
      </c>
      <c r="AX558" s="78">
        <f t="shared" si="372"/>
        <v>0.64</v>
      </c>
      <c r="AY558" s="78">
        <f t="shared" si="373"/>
        <v>0.64</v>
      </c>
      <c r="AZ558" s="78">
        <f t="shared" si="374"/>
        <v>0.64</v>
      </c>
      <c r="BA558" s="78">
        <f t="shared" si="375"/>
        <v>0.64</v>
      </c>
      <c r="BB558" s="78">
        <f t="shared" si="376"/>
        <v>0.64</v>
      </c>
      <c r="BC558" s="78">
        <f t="shared" si="377"/>
        <v>0.64</v>
      </c>
      <c r="BD558" s="78">
        <f t="shared" si="378"/>
        <v>0.64</v>
      </c>
      <c r="BE558" s="78">
        <f t="shared" si="379"/>
        <v>0.64</v>
      </c>
      <c r="BF558" s="78">
        <f t="shared" si="380"/>
        <v>0.64</v>
      </c>
      <c r="BG558" s="78">
        <f t="shared" si="381"/>
        <v>0.64</v>
      </c>
      <c r="BH558" s="78">
        <f t="shared" si="382"/>
        <v>0.64</v>
      </c>
      <c r="BI558" s="78">
        <f t="shared" si="383"/>
        <v>0.64</v>
      </c>
      <c r="BJ558" s="78">
        <f t="shared" si="384"/>
        <v>0.64</v>
      </c>
      <c r="BK558" s="78">
        <f t="shared" si="385"/>
        <v>0.64</v>
      </c>
      <c r="BL558" s="78">
        <f t="shared" si="386"/>
        <v>0.64</v>
      </c>
      <c r="BM558" s="78">
        <f t="shared" si="387"/>
        <v>0.64</v>
      </c>
      <c r="BN558" s="78">
        <f t="shared" si="388"/>
        <v>0.64</v>
      </c>
      <c r="BO558" s="78">
        <f t="shared" si="389"/>
        <v>0.64</v>
      </c>
      <c r="BP558" s="78">
        <f t="shared" si="390"/>
        <v>0.64</v>
      </c>
      <c r="BQ558" s="78">
        <f t="shared" si="391"/>
        <v>0.64</v>
      </c>
      <c r="BR558" s="78">
        <f t="shared" si="392"/>
        <v>0.64</v>
      </c>
      <c r="BS558" s="77"/>
      <c r="BT558" s="77"/>
    </row>
    <row r="559" spans="1:72" ht="14.1" customHeight="1" x14ac:dyDescent="0.2">
      <c r="A559" s="55" t="str">
        <f t="shared" si="363"/>
        <v>GDS-1 (Residential)_Rider VBA - (Volume Balancing Adjustment)</v>
      </c>
      <c r="B559" s="80" t="s">
        <v>95</v>
      </c>
      <c r="C559" s="83" t="s">
        <v>898</v>
      </c>
      <c r="D559" s="150" t="s">
        <v>604</v>
      </c>
      <c r="E559" s="81"/>
      <c r="F559" s="73" t="s">
        <v>649</v>
      </c>
      <c r="G559" s="73">
        <v>0</v>
      </c>
      <c r="H559" s="73">
        <v>6</v>
      </c>
      <c r="I559" s="74" t="s">
        <v>641</v>
      </c>
      <c r="J559" s="75" t="s">
        <v>634</v>
      </c>
      <c r="K559" s="74"/>
      <c r="L559" s="82">
        <v>-4.4000000000000003E-3</v>
      </c>
      <c r="M559" s="138">
        <v>0</v>
      </c>
      <c r="N559" s="138">
        <v>0</v>
      </c>
      <c r="O559" s="138">
        <v>0</v>
      </c>
      <c r="P559" s="138">
        <v>0.16350000000000001</v>
      </c>
      <c r="Q559" s="138">
        <v>0.16350000000000001</v>
      </c>
      <c r="R559" s="138">
        <v>0.16350000000000001</v>
      </c>
      <c r="S559" s="138">
        <v>0.16350000000000001</v>
      </c>
      <c r="T559" s="138">
        <v>0.16350000000000001</v>
      </c>
      <c r="U559" s="138">
        <v>0.16350000000000001</v>
      </c>
      <c r="V559" s="138">
        <v>0.16350000000000001</v>
      </c>
      <c r="W559" s="138">
        <v>0.16350000000000001</v>
      </c>
      <c r="X559" s="138">
        <v>0.16350000000000001</v>
      </c>
      <c r="Y559" s="138">
        <f t="shared" si="393"/>
        <v>0.16350000000000001</v>
      </c>
      <c r="Z559" s="138">
        <f t="shared" si="394"/>
        <v>0.16350000000000001</v>
      </c>
      <c r="AA559" s="138">
        <f t="shared" si="395"/>
        <v>0.16350000000000001</v>
      </c>
      <c r="AB559" s="138">
        <f t="shared" si="396"/>
        <v>0.16350000000000001</v>
      </c>
      <c r="AC559" s="138">
        <f t="shared" si="397"/>
        <v>0.16350000000000001</v>
      </c>
      <c r="AD559" s="138">
        <f t="shared" si="398"/>
        <v>0.16350000000000001</v>
      </c>
      <c r="AE559" s="138">
        <f t="shared" si="399"/>
        <v>0.16350000000000001</v>
      </c>
      <c r="AF559" s="138">
        <f t="shared" si="400"/>
        <v>0.16350000000000001</v>
      </c>
      <c r="AG559" s="138">
        <f t="shared" si="401"/>
        <v>0.16350000000000001</v>
      </c>
      <c r="AH559" s="138">
        <f t="shared" si="402"/>
        <v>0.16350000000000001</v>
      </c>
      <c r="AI559" s="138">
        <f t="shared" si="403"/>
        <v>0.16350000000000001</v>
      </c>
      <c r="AJ559" s="138">
        <f t="shared" si="404"/>
        <v>0.16350000000000001</v>
      </c>
      <c r="AK559" s="138">
        <f t="shared" si="405"/>
        <v>0.16350000000000001</v>
      </c>
      <c r="AL559" s="138">
        <f t="shared" si="406"/>
        <v>0.16350000000000001</v>
      </c>
      <c r="AM559" s="138">
        <f t="shared" si="407"/>
        <v>0.14987500000000001</v>
      </c>
      <c r="AO559" s="77" t="str">
        <f t="shared" si="364"/>
        <v>GDS-1 (Residential)</v>
      </c>
      <c r="AP559" s="78" t="s">
        <v>668</v>
      </c>
      <c r="AQ559" s="77" t="str">
        <f t="shared" si="365"/>
        <v>Rider VBA - (Volume Balancing Adjustment)</v>
      </c>
      <c r="AR559" s="78" t="str">
        <f t="shared" si="366"/>
        <v>Billing Cycle</v>
      </c>
      <c r="AS559" s="79">
        <f t="shared" si="367"/>
        <v>6</v>
      </c>
      <c r="AT559" s="78">
        <f t="shared" si="368"/>
        <v>0</v>
      </c>
      <c r="AU559" s="78">
        <f t="shared" si="369"/>
        <v>0</v>
      </c>
      <c r="AV559" s="78">
        <f t="shared" si="370"/>
        <v>0</v>
      </c>
      <c r="AW559" s="78">
        <f t="shared" si="371"/>
        <v>0</v>
      </c>
      <c r="AX559" s="78">
        <f t="shared" si="372"/>
        <v>0.16350000000000001</v>
      </c>
      <c r="AY559" s="78">
        <f t="shared" si="373"/>
        <v>0.16350000000000001</v>
      </c>
      <c r="AZ559" s="78">
        <f t="shared" si="374"/>
        <v>0.16350000000000001</v>
      </c>
      <c r="BA559" s="78">
        <f t="shared" si="375"/>
        <v>0.16350000000000001</v>
      </c>
      <c r="BB559" s="78">
        <f t="shared" si="376"/>
        <v>0.16350000000000001</v>
      </c>
      <c r="BC559" s="78">
        <f t="shared" si="377"/>
        <v>0.16350000000000001</v>
      </c>
      <c r="BD559" s="78">
        <f t="shared" si="378"/>
        <v>0.16350000000000001</v>
      </c>
      <c r="BE559" s="78">
        <f t="shared" si="379"/>
        <v>0.16350000000000001</v>
      </c>
      <c r="BF559" s="78">
        <f t="shared" si="380"/>
        <v>0.16350000000000001</v>
      </c>
      <c r="BG559" s="78">
        <f t="shared" si="381"/>
        <v>0.16350000000000001</v>
      </c>
      <c r="BH559" s="78">
        <f t="shared" si="382"/>
        <v>0.16350000000000001</v>
      </c>
      <c r="BI559" s="78">
        <f t="shared" si="383"/>
        <v>0.16350000000000001</v>
      </c>
      <c r="BJ559" s="78">
        <f t="shared" si="384"/>
        <v>0.16350000000000001</v>
      </c>
      <c r="BK559" s="78">
        <f t="shared" si="385"/>
        <v>0.16350000000000001</v>
      </c>
      <c r="BL559" s="78">
        <f t="shared" si="386"/>
        <v>0.16350000000000001</v>
      </c>
      <c r="BM559" s="78">
        <f t="shared" si="387"/>
        <v>0.16350000000000001</v>
      </c>
      <c r="BN559" s="78">
        <f t="shared" si="388"/>
        <v>0.16350000000000001</v>
      </c>
      <c r="BO559" s="78">
        <f t="shared" si="389"/>
        <v>0.16350000000000001</v>
      </c>
      <c r="BP559" s="78">
        <f t="shared" si="390"/>
        <v>0.16350000000000001</v>
      </c>
      <c r="BQ559" s="78">
        <f t="shared" si="391"/>
        <v>0.16350000000000001</v>
      </c>
      <c r="BR559" s="78">
        <f t="shared" si="392"/>
        <v>0.16350000000000001</v>
      </c>
      <c r="BS559" s="77"/>
      <c r="BT559" s="77"/>
    </row>
    <row r="560" spans="1:72" ht="14.1" customHeight="1" x14ac:dyDescent="0.2">
      <c r="A560" s="55" t="str">
        <f t="shared" si="363"/>
        <v>GDS-2 (Small General Delivery)_Rider VBA - (Volume Balancing Adjustment)</v>
      </c>
      <c r="B560" s="80" t="s">
        <v>669</v>
      </c>
      <c r="C560" s="83" t="s">
        <v>898</v>
      </c>
      <c r="D560" s="150"/>
      <c r="E560" s="81"/>
      <c r="F560" s="73" t="s">
        <v>649</v>
      </c>
      <c r="G560" s="73">
        <v>0</v>
      </c>
      <c r="H560" s="73">
        <v>6</v>
      </c>
      <c r="I560" s="74" t="s">
        <v>641</v>
      </c>
      <c r="J560" s="75" t="s">
        <v>634</v>
      </c>
      <c r="K560" s="74"/>
      <c r="L560" s="82">
        <v>8.9999999999999998E-4</v>
      </c>
      <c r="M560" s="138">
        <v>0</v>
      </c>
      <c r="N560" s="138">
        <v>0</v>
      </c>
      <c r="O560" s="138">
        <v>0</v>
      </c>
      <c r="P560" s="138">
        <v>0.13159999999999999</v>
      </c>
      <c r="Q560" s="138">
        <v>0.13159999999999999</v>
      </c>
      <c r="R560" s="138">
        <v>0.13159999999999999</v>
      </c>
      <c r="S560" s="138">
        <v>0.13159999999999999</v>
      </c>
      <c r="T560" s="138">
        <v>0.13159999999999999</v>
      </c>
      <c r="U560" s="138">
        <v>0.13159999999999999</v>
      </c>
      <c r="V560" s="138">
        <v>0.13159999999999999</v>
      </c>
      <c r="W560" s="138">
        <v>0.13159999999999999</v>
      </c>
      <c r="X560" s="138">
        <v>0.13159999999999999</v>
      </c>
      <c r="Y560" s="138">
        <f t="shared" si="393"/>
        <v>0.13159999999999999</v>
      </c>
      <c r="Z560" s="138">
        <f t="shared" si="394"/>
        <v>0.13159999999999999</v>
      </c>
      <c r="AA560" s="138">
        <f t="shared" si="395"/>
        <v>0.13159999999999999</v>
      </c>
      <c r="AB560" s="138">
        <f t="shared" si="396"/>
        <v>0.13159999999999999</v>
      </c>
      <c r="AC560" s="138">
        <f t="shared" si="397"/>
        <v>0.13159999999999999</v>
      </c>
      <c r="AD560" s="138">
        <f t="shared" si="398"/>
        <v>0.13159999999999999</v>
      </c>
      <c r="AE560" s="138">
        <f t="shared" si="399"/>
        <v>0.13159999999999999</v>
      </c>
      <c r="AF560" s="138">
        <f t="shared" si="400"/>
        <v>0.13159999999999999</v>
      </c>
      <c r="AG560" s="138">
        <f t="shared" si="401"/>
        <v>0.13159999999999999</v>
      </c>
      <c r="AH560" s="138">
        <f t="shared" si="402"/>
        <v>0.13159999999999999</v>
      </c>
      <c r="AI560" s="138">
        <f t="shared" si="403"/>
        <v>0.13159999999999999</v>
      </c>
      <c r="AJ560" s="138">
        <f t="shared" si="404"/>
        <v>0.13159999999999999</v>
      </c>
      <c r="AK560" s="138">
        <f t="shared" si="405"/>
        <v>0.13159999999999999</v>
      </c>
      <c r="AL560" s="138">
        <f t="shared" si="406"/>
        <v>0.13159999999999997</v>
      </c>
      <c r="AM560" s="138">
        <f t="shared" si="407"/>
        <v>0.12063333333333336</v>
      </c>
      <c r="AO560" s="77" t="str">
        <f t="shared" si="364"/>
        <v>GDS-2 (Small General Delivery)</v>
      </c>
      <c r="AP560" s="78" t="s">
        <v>670</v>
      </c>
      <c r="AQ560" s="77" t="str">
        <f t="shared" si="365"/>
        <v>Rider VBA - (Volume Balancing Adjustment)</v>
      </c>
      <c r="AR560" s="78" t="str">
        <f t="shared" si="366"/>
        <v>Billing Cycle</v>
      </c>
      <c r="AS560" s="79">
        <f t="shared" si="367"/>
        <v>6</v>
      </c>
      <c r="AT560" s="78">
        <f t="shared" si="368"/>
        <v>0</v>
      </c>
      <c r="AU560" s="78">
        <f t="shared" si="369"/>
        <v>0</v>
      </c>
      <c r="AV560" s="78">
        <f t="shared" si="370"/>
        <v>0</v>
      </c>
      <c r="AW560" s="78">
        <f t="shared" si="371"/>
        <v>0</v>
      </c>
      <c r="AX560" s="78">
        <f t="shared" si="372"/>
        <v>0.13159999999999999</v>
      </c>
      <c r="AY560" s="78">
        <f t="shared" si="373"/>
        <v>0.13159999999999999</v>
      </c>
      <c r="AZ560" s="78">
        <f t="shared" si="374"/>
        <v>0.13159999999999999</v>
      </c>
      <c r="BA560" s="78">
        <f t="shared" si="375"/>
        <v>0.13159999999999999</v>
      </c>
      <c r="BB560" s="78">
        <f t="shared" si="376"/>
        <v>0.13159999999999999</v>
      </c>
      <c r="BC560" s="78">
        <f t="shared" si="377"/>
        <v>0.13159999999999999</v>
      </c>
      <c r="BD560" s="78">
        <f t="shared" si="378"/>
        <v>0.13159999999999999</v>
      </c>
      <c r="BE560" s="78">
        <f t="shared" si="379"/>
        <v>0.13159999999999999</v>
      </c>
      <c r="BF560" s="78">
        <f t="shared" si="380"/>
        <v>0.13159999999999999</v>
      </c>
      <c r="BG560" s="78">
        <f t="shared" si="381"/>
        <v>0.13159999999999999</v>
      </c>
      <c r="BH560" s="78">
        <f t="shared" si="382"/>
        <v>0.13159999999999999</v>
      </c>
      <c r="BI560" s="78">
        <f t="shared" si="383"/>
        <v>0.13159999999999999</v>
      </c>
      <c r="BJ560" s="78">
        <f t="shared" si="384"/>
        <v>0.13159999999999999</v>
      </c>
      <c r="BK560" s="78">
        <f t="shared" si="385"/>
        <v>0.13159999999999999</v>
      </c>
      <c r="BL560" s="78">
        <f t="shared" si="386"/>
        <v>0.13159999999999999</v>
      </c>
      <c r="BM560" s="78">
        <f t="shared" si="387"/>
        <v>0.13159999999999999</v>
      </c>
      <c r="BN560" s="78">
        <f t="shared" si="388"/>
        <v>0.13159999999999999</v>
      </c>
      <c r="BO560" s="78">
        <f t="shared" si="389"/>
        <v>0.13159999999999999</v>
      </c>
      <c r="BP560" s="78">
        <f t="shared" si="390"/>
        <v>0.13159999999999999</v>
      </c>
      <c r="BQ560" s="78">
        <f t="shared" si="391"/>
        <v>0.13159999999999999</v>
      </c>
      <c r="BR560" s="78">
        <f t="shared" si="392"/>
        <v>0.13159999999999999</v>
      </c>
      <c r="BS560" s="77"/>
      <c r="BT560" s="77"/>
    </row>
    <row r="561" spans="1:72" ht="14.1" customHeight="1" x14ac:dyDescent="0.2">
      <c r="A561" s="55" t="str">
        <f t="shared" si="363"/>
        <v>GDS-1 (Residential)_Rider VITA (Variable Income Tax Adjustment)</v>
      </c>
      <c r="B561" s="80" t="s">
        <v>95</v>
      </c>
      <c r="C561" s="83" t="s">
        <v>899</v>
      </c>
      <c r="D561" s="150" t="s">
        <v>900</v>
      </c>
      <c r="E561" s="81"/>
      <c r="F561" s="73" t="s">
        <v>649</v>
      </c>
      <c r="G561" s="73">
        <v>0</v>
      </c>
      <c r="H561" s="73">
        <v>6</v>
      </c>
      <c r="I561" s="74" t="s">
        <v>641</v>
      </c>
      <c r="J561" s="75" t="s">
        <v>634</v>
      </c>
      <c r="K561" s="74"/>
      <c r="L561" s="82">
        <v>0</v>
      </c>
      <c r="M561" s="138">
        <v>0</v>
      </c>
      <c r="N561" s="138">
        <v>0</v>
      </c>
      <c r="O561" s="138">
        <v>0</v>
      </c>
      <c r="P561" s="138">
        <v>0</v>
      </c>
      <c r="Q561" s="138">
        <v>0</v>
      </c>
      <c r="R561" s="138">
        <v>0</v>
      </c>
      <c r="S561" s="138">
        <v>0</v>
      </c>
      <c r="T561" s="138">
        <v>0</v>
      </c>
      <c r="U561" s="138">
        <v>0</v>
      </c>
      <c r="V561" s="138">
        <v>0</v>
      </c>
      <c r="W561" s="138">
        <v>0</v>
      </c>
      <c r="X561" s="138">
        <v>0</v>
      </c>
      <c r="Y561" s="138">
        <f t="shared" si="393"/>
        <v>0</v>
      </c>
      <c r="Z561" s="138">
        <f t="shared" si="394"/>
        <v>0</v>
      </c>
      <c r="AA561" s="138">
        <f t="shared" si="395"/>
        <v>0</v>
      </c>
      <c r="AB561" s="138">
        <f t="shared" si="396"/>
        <v>0</v>
      </c>
      <c r="AC561" s="138">
        <f t="shared" si="397"/>
        <v>0</v>
      </c>
      <c r="AD561" s="138">
        <f t="shared" si="398"/>
        <v>0</v>
      </c>
      <c r="AE561" s="138">
        <f t="shared" si="399"/>
        <v>0</v>
      </c>
      <c r="AF561" s="138">
        <f t="shared" si="400"/>
        <v>0</v>
      </c>
      <c r="AG561" s="138">
        <f t="shared" si="401"/>
        <v>0</v>
      </c>
      <c r="AH561" s="138">
        <f t="shared" si="402"/>
        <v>0</v>
      </c>
      <c r="AI561" s="138">
        <f t="shared" si="403"/>
        <v>0</v>
      </c>
      <c r="AJ561" s="138">
        <f t="shared" si="404"/>
        <v>0</v>
      </c>
      <c r="AK561" s="138">
        <f t="shared" si="405"/>
        <v>0</v>
      </c>
      <c r="AL561" s="138">
        <f t="shared" si="406"/>
        <v>0</v>
      </c>
      <c r="AM561" s="138">
        <f t="shared" si="407"/>
        <v>0</v>
      </c>
      <c r="AO561" s="77" t="str">
        <f t="shared" si="364"/>
        <v>GDS-1 (Residential)</v>
      </c>
      <c r="AP561" s="78" t="s">
        <v>668</v>
      </c>
      <c r="AQ561" s="77" t="str">
        <f t="shared" si="365"/>
        <v>Rider VITA (Variable Income Tax Adjustment)</v>
      </c>
      <c r="AR561" s="78" t="str">
        <f t="shared" si="366"/>
        <v>Billing Cycle</v>
      </c>
      <c r="AS561" s="79">
        <f t="shared" si="367"/>
        <v>6</v>
      </c>
      <c r="AT561" s="78">
        <f t="shared" si="368"/>
        <v>0</v>
      </c>
      <c r="AU561" s="78">
        <f t="shared" si="369"/>
        <v>0</v>
      </c>
      <c r="AV561" s="78">
        <f t="shared" si="370"/>
        <v>0</v>
      </c>
      <c r="AW561" s="78">
        <f t="shared" si="371"/>
        <v>0</v>
      </c>
      <c r="AX561" s="78">
        <f t="shared" si="372"/>
        <v>0</v>
      </c>
      <c r="AY561" s="78">
        <f t="shared" si="373"/>
        <v>0</v>
      </c>
      <c r="AZ561" s="78">
        <f t="shared" si="374"/>
        <v>0</v>
      </c>
      <c r="BA561" s="78">
        <f t="shared" si="375"/>
        <v>0</v>
      </c>
      <c r="BB561" s="78">
        <f t="shared" si="376"/>
        <v>0</v>
      </c>
      <c r="BC561" s="78">
        <f t="shared" si="377"/>
        <v>0</v>
      </c>
      <c r="BD561" s="78">
        <f t="shared" si="378"/>
        <v>0</v>
      </c>
      <c r="BE561" s="78">
        <f t="shared" si="379"/>
        <v>0</v>
      </c>
      <c r="BF561" s="78">
        <f t="shared" si="380"/>
        <v>0</v>
      </c>
      <c r="BG561" s="78">
        <f t="shared" si="381"/>
        <v>0</v>
      </c>
      <c r="BH561" s="78">
        <f t="shared" si="382"/>
        <v>0</v>
      </c>
      <c r="BI561" s="78">
        <f t="shared" si="383"/>
        <v>0</v>
      </c>
      <c r="BJ561" s="78">
        <f t="shared" si="384"/>
        <v>0</v>
      </c>
      <c r="BK561" s="78">
        <f t="shared" si="385"/>
        <v>0</v>
      </c>
      <c r="BL561" s="78">
        <f t="shared" si="386"/>
        <v>0</v>
      </c>
      <c r="BM561" s="78">
        <f t="shared" si="387"/>
        <v>0</v>
      </c>
      <c r="BN561" s="78">
        <f t="shared" si="388"/>
        <v>0</v>
      </c>
      <c r="BO561" s="78">
        <f t="shared" si="389"/>
        <v>0</v>
      </c>
      <c r="BP561" s="78">
        <f t="shared" si="390"/>
        <v>0</v>
      </c>
      <c r="BQ561" s="78">
        <f t="shared" si="391"/>
        <v>0</v>
      </c>
      <c r="BR561" s="78">
        <f t="shared" si="392"/>
        <v>0</v>
      </c>
      <c r="BS561" s="77"/>
      <c r="BT561" s="77"/>
    </row>
    <row r="562" spans="1:72" ht="14.1" customHeight="1" x14ac:dyDescent="0.2">
      <c r="A562" s="55" t="str">
        <f t="shared" si="363"/>
        <v>GDS-2 (Small General Delivery)_Rider VITA (Variable Income Tax Adjustment)</v>
      </c>
      <c r="B562" s="80" t="s">
        <v>669</v>
      </c>
      <c r="C562" s="83" t="s">
        <v>899</v>
      </c>
      <c r="D562" s="150"/>
      <c r="E562" s="81"/>
      <c r="F562" s="73" t="s">
        <v>649</v>
      </c>
      <c r="G562" s="73">
        <v>0</v>
      </c>
      <c r="H562" s="73">
        <v>6</v>
      </c>
      <c r="I562" s="74" t="s">
        <v>641</v>
      </c>
      <c r="J562" s="75" t="s">
        <v>634</v>
      </c>
      <c r="K562" s="74"/>
      <c r="L562" s="82">
        <v>0</v>
      </c>
      <c r="M562" s="138">
        <v>0</v>
      </c>
      <c r="N562" s="138">
        <v>0</v>
      </c>
      <c r="O562" s="138">
        <v>0</v>
      </c>
      <c r="P562" s="138">
        <v>0</v>
      </c>
      <c r="Q562" s="138">
        <v>0</v>
      </c>
      <c r="R562" s="138">
        <v>0</v>
      </c>
      <c r="S562" s="138">
        <v>0</v>
      </c>
      <c r="T562" s="138">
        <v>0</v>
      </c>
      <c r="U562" s="138">
        <v>0</v>
      </c>
      <c r="V562" s="138">
        <v>0</v>
      </c>
      <c r="W562" s="138">
        <v>0</v>
      </c>
      <c r="X562" s="138">
        <v>0</v>
      </c>
      <c r="Y562" s="138">
        <f t="shared" si="393"/>
        <v>0</v>
      </c>
      <c r="Z562" s="138">
        <f t="shared" si="394"/>
        <v>0</v>
      </c>
      <c r="AA562" s="138">
        <f t="shared" si="395"/>
        <v>0</v>
      </c>
      <c r="AB562" s="138">
        <f t="shared" si="396"/>
        <v>0</v>
      </c>
      <c r="AC562" s="138">
        <f t="shared" si="397"/>
        <v>0</v>
      </c>
      <c r="AD562" s="138">
        <f t="shared" si="398"/>
        <v>0</v>
      </c>
      <c r="AE562" s="138">
        <f t="shared" si="399"/>
        <v>0</v>
      </c>
      <c r="AF562" s="138">
        <f t="shared" si="400"/>
        <v>0</v>
      </c>
      <c r="AG562" s="138">
        <f t="shared" si="401"/>
        <v>0</v>
      </c>
      <c r="AH562" s="138">
        <f t="shared" si="402"/>
        <v>0</v>
      </c>
      <c r="AI562" s="138">
        <f t="shared" si="403"/>
        <v>0</v>
      </c>
      <c r="AJ562" s="138">
        <f t="shared" si="404"/>
        <v>0</v>
      </c>
      <c r="AK562" s="138">
        <f t="shared" si="405"/>
        <v>0</v>
      </c>
      <c r="AL562" s="138">
        <f t="shared" si="406"/>
        <v>0</v>
      </c>
      <c r="AM562" s="138">
        <f t="shared" si="407"/>
        <v>0</v>
      </c>
      <c r="AO562" s="77" t="str">
        <f t="shared" si="364"/>
        <v>GDS-2 (Small General Delivery)</v>
      </c>
      <c r="AP562" s="78" t="s">
        <v>670</v>
      </c>
      <c r="AQ562" s="77" t="str">
        <f t="shared" si="365"/>
        <v>Rider VITA (Variable Income Tax Adjustment)</v>
      </c>
      <c r="AR562" s="78" t="str">
        <f t="shared" si="366"/>
        <v>Billing Cycle</v>
      </c>
      <c r="AS562" s="79">
        <f t="shared" si="367"/>
        <v>6</v>
      </c>
      <c r="AT562" s="78">
        <f t="shared" si="368"/>
        <v>0</v>
      </c>
      <c r="AU562" s="78">
        <f t="shared" si="369"/>
        <v>0</v>
      </c>
      <c r="AV562" s="78">
        <f t="shared" si="370"/>
        <v>0</v>
      </c>
      <c r="AW562" s="78">
        <f t="shared" si="371"/>
        <v>0</v>
      </c>
      <c r="AX562" s="78">
        <f t="shared" si="372"/>
        <v>0</v>
      </c>
      <c r="AY562" s="78">
        <f t="shared" si="373"/>
        <v>0</v>
      </c>
      <c r="AZ562" s="78">
        <f t="shared" si="374"/>
        <v>0</v>
      </c>
      <c r="BA562" s="78">
        <f t="shared" si="375"/>
        <v>0</v>
      </c>
      <c r="BB562" s="78">
        <f t="shared" si="376"/>
        <v>0</v>
      </c>
      <c r="BC562" s="78">
        <f t="shared" si="377"/>
        <v>0</v>
      </c>
      <c r="BD562" s="78">
        <f t="shared" si="378"/>
        <v>0</v>
      </c>
      <c r="BE562" s="78">
        <f t="shared" si="379"/>
        <v>0</v>
      </c>
      <c r="BF562" s="78">
        <f t="shared" si="380"/>
        <v>0</v>
      </c>
      <c r="BG562" s="78">
        <f t="shared" si="381"/>
        <v>0</v>
      </c>
      <c r="BH562" s="78">
        <f t="shared" si="382"/>
        <v>0</v>
      </c>
      <c r="BI562" s="78">
        <f t="shared" si="383"/>
        <v>0</v>
      </c>
      <c r="BJ562" s="78">
        <f t="shared" si="384"/>
        <v>0</v>
      </c>
      <c r="BK562" s="78">
        <f t="shared" si="385"/>
        <v>0</v>
      </c>
      <c r="BL562" s="78">
        <f t="shared" si="386"/>
        <v>0</v>
      </c>
      <c r="BM562" s="78">
        <f t="shared" si="387"/>
        <v>0</v>
      </c>
      <c r="BN562" s="78">
        <f t="shared" si="388"/>
        <v>0</v>
      </c>
      <c r="BO562" s="78">
        <f t="shared" si="389"/>
        <v>0</v>
      </c>
      <c r="BP562" s="78">
        <f t="shared" si="390"/>
        <v>0</v>
      </c>
      <c r="BQ562" s="78">
        <f t="shared" si="391"/>
        <v>0</v>
      </c>
      <c r="BR562" s="78">
        <f t="shared" si="392"/>
        <v>0</v>
      </c>
      <c r="BS562" s="77"/>
      <c r="BT562" s="77"/>
    </row>
    <row r="563" spans="1:72" ht="14.1" customHeight="1" x14ac:dyDescent="0.2">
      <c r="A563" s="55" t="str">
        <f t="shared" si="363"/>
        <v>GDS-3 (Intermediate General Delivery)_Rider VITA (Variable Income Tax Adjustment)</v>
      </c>
      <c r="B563" s="80" t="s">
        <v>671</v>
      </c>
      <c r="C563" s="83" t="s">
        <v>899</v>
      </c>
      <c r="D563" s="150"/>
      <c r="E563" s="81"/>
      <c r="F563" s="73" t="s">
        <v>649</v>
      </c>
      <c r="G563" s="73">
        <v>0</v>
      </c>
      <c r="H563" s="73">
        <v>6</v>
      </c>
      <c r="I563" s="74" t="s">
        <v>641</v>
      </c>
      <c r="J563" s="75" t="s">
        <v>634</v>
      </c>
      <c r="K563" s="74"/>
      <c r="L563" s="82">
        <v>0</v>
      </c>
      <c r="M563" s="138">
        <v>0</v>
      </c>
      <c r="N563" s="138">
        <v>0</v>
      </c>
      <c r="O563" s="138">
        <v>0</v>
      </c>
      <c r="P563" s="138">
        <v>0</v>
      </c>
      <c r="Q563" s="138">
        <v>0</v>
      </c>
      <c r="R563" s="138">
        <v>0</v>
      </c>
      <c r="S563" s="138">
        <v>0</v>
      </c>
      <c r="T563" s="138">
        <v>0</v>
      </c>
      <c r="U563" s="138">
        <v>0</v>
      </c>
      <c r="V563" s="138">
        <v>0</v>
      </c>
      <c r="W563" s="138">
        <v>0</v>
      </c>
      <c r="X563" s="138">
        <v>0</v>
      </c>
      <c r="Y563" s="138">
        <f t="shared" si="393"/>
        <v>0</v>
      </c>
      <c r="Z563" s="138">
        <f t="shared" si="394"/>
        <v>0</v>
      </c>
      <c r="AA563" s="138">
        <f t="shared" si="395"/>
        <v>0</v>
      </c>
      <c r="AB563" s="138">
        <f t="shared" si="396"/>
        <v>0</v>
      </c>
      <c r="AC563" s="138">
        <f t="shared" si="397"/>
        <v>0</v>
      </c>
      <c r="AD563" s="138">
        <f t="shared" si="398"/>
        <v>0</v>
      </c>
      <c r="AE563" s="138">
        <f t="shared" si="399"/>
        <v>0</v>
      </c>
      <c r="AF563" s="138">
        <f t="shared" si="400"/>
        <v>0</v>
      </c>
      <c r="AG563" s="138">
        <f t="shared" si="401"/>
        <v>0</v>
      </c>
      <c r="AH563" s="138">
        <f t="shared" si="402"/>
        <v>0</v>
      </c>
      <c r="AI563" s="138">
        <f t="shared" si="403"/>
        <v>0</v>
      </c>
      <c r="AJ563" s="138">
        <f t="shared" si="404"/>
        <v>0</v>
      </c>
      <c r="AK563" s="138">
        <f t="shared" si="405"/>
        <v>0</v>
      </c>
      <c r="AL563" s="138">
        <f t="shared" si="406"/>
        <v>0</v>
      </c>
      <c r="AM563" s="138">
        <f t="shared" si="407"/>
        <v>0</v>
      </c>
      <c r="AO563" s="77" t="str">
        <f t="shared" si="364"/>
        <v>GDS-3 (Intermediate General Delivery)</v>
      </c>
      <c r="AP563" s="78" t="s">
        <v>672</v>
      </c>
      <c r="AQ563" s="77" t="str">
        <f t="shared" si="365"/>
        <v>Rider VITA (Variable Income Tax Adjustment)</v>
      </c>
      <c r="AR563" s="78" t="str">
        <f t="shared" si="366"/>
        <v>Billing Cycle</v>
      </c>
      <c r="AS563" s="79">
        <f t="shared" si="367"/>
        <v>6</v>
      </c>
      <c r="AT563" s="78">
        <f t="shared" si="368"/>
        <v>0</v>
      </c>
      <c r="AU563" s="78">
        <f t="shared" si="369"/>
        <v>0</v>
      </c>
      <c r="AV563" s="78">
        <f t="shared" si="370"/>
        <v>0</v>
      </c>
      <c r="AW563" s="78">
        <f t="shared" si="371"/>
        <v>0</v>
      </c>
      <c r="AX563" s="78">
        <f t="shared" si="372"/>
        <v>0</v>
      </c>
      <c r="AY563" s="78">
        <f t="shared" si="373"/>
        <v>0</v>
      </c>
      <c r="AZ563" s="78">
        <f t="shared" si="374"/>
        <v>0</v>
      </c>
      <c r="BA563" s="78">
        <f t="shared" si="375"/>
        <v>0</v>
      </c>
      <c r="BB563" s="78">
        <f t="shared" si="376"/>
        <v>0</v>
      </c>
      <c r="BC563" s="78">
        <f t="shared" si="377"/>
        <v>0</v>
      </c>
      <c r="BD563" s="78">
        <f t="shared" si="378"/>
        <v>0</v>
      </c>
      <c r="BE563" s="78">
        <f t="shared" si="379"/>
        <v>0</v>
      </c>
      <c r="BF563" s="78">
        <f t="shared" si="380"/>
        <v>0</v>
      </c>
      <c r="BG563" s="78">
        <f t="shared" si="381"/>
        <v>0</v>
      </c>
      <c r="BH563" s="78">
        <f t="shared" si="382"/>
        <v>0</v>
      </c>
      <c r="BI563" s="78">
        <f t="shared" si="383"/>
        <v>0</v>
      </c>
      <c r="BJ563" s="78">
        <f t="shared" si="384"/>
        <v>0</v>
      </c>
      <c r="BK563" s="78">
        <f t="shared" si="385"/>
        <v>0</v>
      </c>
      <c r="BL563" s="78">
        <f t="shared" si="386"/>
        <v>0</v>
      </c>
      <c r="BM563" s="78">
        <f t="shared" si="387"/>
        <v>0</v>
      </c>
      <c r="BN563" s="78">
        <f t="shared" si="388"/>
        <v>0</v>
      </c>
      <c r="BO563" s="78">
        <f t="shared" si="389"/>
        <v>0</v>
      </c>
      <c r="BP563" s="78">
        <f t="shared" si="390"/>
        <v>0</v>
      </c>
      <c r="BQ563" s="78">
        <f t="shared" si="391"/>
        <v>0</v>
      </c>
      <c r="BR563" s="78">
        <f t="shared" si="392"/>
        <v>0</v>
      </c>
      <c r="BS563" s="77"/>
      <c r="BT563" s="77"/>
    </row>
    <row r="564" spans="1:72" ht="14.1" customHeight="1" x14ac:dyDescent="0.2">
      <c r="A564" s="55" t="str">
        <f t="shared" si="363"/>
        <v>GDS-4 (Large General Delivery)_Rider VITA (Variable Income Tax Adjustment)</v>
      </c>
      <c r="B564" s="80" t="s">
        <v>673</v>
      </c>
      <c r="C564" s="83" t="s">
        <v>899</v>
      </c>
      <c r="D564" s="150"/>
      <c r="E564" s="81"/>
      <c r="F564" s="73" t="s">
        <v>649</v>
      </c>
      <c r="G564" s="73">
        <v>0</v>
      </c>
      <c r="H564" s="73">
        <v>6</v>
      </c>
      <c r="I564" s="74" t="s">
        <v>641</v>
      </c>
      <c r="J564" s="75" t="s">
        <v>634</v>
      </c>
      <c r="K564" s="74"/>
      <c r="L564" s="82">
        <v>0</v>
      </c>
      <c r="M564" s="138">
        <v>0</v>
      </c>
      <c r="N564" s="138">
        <v>0</v>
      </c>
      <c r="O564" s="138">
        <v>0</v>
      </c>
      <c r="P564" s="138">
        <v>0</v>
      </c>
      <c r="Q564" s="138">
        <v>0</v>
      </c>
      <c r="R564" s="138">
        <v>0</v>
      </c>
      <c r="S564" s="138">
        <v>0</v>
      </c>
      <c r="T564" s="138">
        <v>0</v>
      </c>
      <c r="U564" s="138">
        <v>0</v>
      </c>
      <c r="V564" s="138">
        <v>0</v>
      </c>
      <c r="W564" s="138">
        <v>0</v>
      </c>
      <c r="X564" s="138">
        <v>0</v>
      </c>
      <c r="Y564" s="138">
        <f t="shared" si="393"/>
        <v>0</v>
      </c>
      <c r="Z564" s="138">
        <f t="shared" si="394"/>
        <v>0</v>
      </c>
      <c r="AA564" s="138">
        <f t="shared" si="395"/>
        <v>0</v>
      </c>
      <c r="AB564" s="138">
        <f t="shared" si="396"/>
        <v>0</v>
      </c>
      <c r="AC564" s="138">
        <f t="shared" si="397"/>
        <v>0</v>
      </c>
      <c r="AD564" s="138">
        <f t="shared" si="398"/>
        <v>0</v>
      </c>
      <c r="AE564" s="138">
        <f t="shared" si="399"/>
        <v>0</v>
      </c>
      <c r="AF564" s="138">
        <f t="shared" si="400"/>
        <v>0</v>
      </c>
      <c r="AG564" s="138">
        <f t="shared" si="401"/>
        <v>0</v>
      </c>
      <c r="AH564" s="138">
        <f t="shared" si="402"/>
        <v>0</v>
      </c>
      <c r="AI564" s="138">
        <f t="shared" si="403"/>
        <v>0</v>
      </c>
      <c r="AJ564" s="138">
        <f t="shared" si="404"/>
        <v>0</v>
      </c>
      <c r="AK564" s="138">
        <f t="shared" si="405"/>
        <v>0</v>
      </c>
      <c r="AL564" s="138">
        <f t="shared" si="406"/>
        <v>0</v>
      </c>
      <c r="AM564" s="138">
        <f t="shared" si="407"/>
        <v>0</v>
      </c>
      <c r="AO564" s="77" t="str">
        <f t="shared" si="364"/>
        <v>GDS-4 (Large General Delivery)</v>
      </c>
      <c r="AP564" s="78" t="s">
        <v>674</v>
      </c>
      <c r="AQ564" s="77" t="str">
        <f t="shared" si="365"/>
        <v>Rider VITA (Variable Income Tax Adjustment)</v>
      </c>
      <c r="AR564" s="78" t="str">
        <f t="shared" si="366"/>
        <v>Billing Cycle</v>
      </c>
      <c r="AS564" s="79">
        <f t="shared" si="367"/>
        <v>6</v>
      </c>
      <c r="AT564" s="78">
        <f t="shared" si="368"/>
        <v>0</v>
      </c>
      <c r="AU564" s="78">
        <f t="shared" si="369"/>
        <v>0</v>
      </c>
      <c r="AV564" s="78">
        <f t="shared" si="370"/>
        <v>0</v>
      </c>
      <c r="AW564" s="78">
        <f t="shared" si="371"/>
        <v>0</v>
      </c>
      <c r="AX564" s="78">
        <f t="shared" si="372"/>
        <v>0</v>
      </c>
      <c r="AY564" s="78">
        <f t="shared" si="373"/>
        <v>0</v>
      </c>
      <c r="AZ564" s="78">
        <f t="shared" si="374"/>
        <v>0</v>
      </c>
      <c r="BA564" s="78">
        <f t="shared" si="375"/>
        <v>0</v>
      </c>
      <c r="BB564" s="78">
        <f t="shared" si="376"/>
        <v>0</v>
      </c>
      <c r="BC564" s="78">
        <f t="shared" si="377"/>
        <v>0</v>
      </c>
      <c r="BD564" s="78">
        <f t="shared" si="378"/>
        <v>0</v>
      </c>
      <c r="BE564" s="78">
        <f t="shared" si="379"/>
        <v>0</v>
      </c>
      <c r="BF564" s="78">
        <f t="shared" si="380"/>
        <v>0</v>
      </c>
      <c r="BG564" s="78">
        <f t="shared" si="381"/>
        <v>0</v>
      </c>
      <c r="BH564" s="78">
        <f t="shared" si="382"/>
        <v>0</v>
      </c>
      <c r="BI564" s="78">
        <f t="shared" si="383"/>
        <v>0</v>
      </c>
      <c r="BJ564" s="78">
        <f t="shared" si="384"/>
        <v>0</v>
      </c>
      <c r="BK564" s="78">
        <f t="shared" si="385"/>
        <v>0</v>
      </c>
      <c r="BL564" s="78">
        <f t="shared" si="386"/>
        <v>0</v>
      </c>
      <c r="BM564" s="78">
        <f t="shared" si="387"/>
        <v>0</v>
      </c>
      <c r="BN564" s="78">
        <f t="shared" si="388"/>
        <v>0</v>
      </c>
      <c r="BO564" s="78">
        <f t="shared" si="389"/>
        <v>0</v>
      </c>
      <c r="BP564" s="78">
        <f t="shared" si="390"/>
        <v>0</v>
      </c>
      <c r="BQ564" s="78">
        <f t="shared" si="391"/>
        <v>0</v>
      </c>
      <c r="BR564" s="78">
        <f t="shared" si="392"/>
        <v>0</v>
      </c>
      <c r="BS564" s="77"/>
      <c r="BT564" s="77"/>
    </row>
    <row r="565" spans="1:72" ht="14.1" customHeight="1" x14ac:dyDescent="0.2">
      <c r="A565" s="55" t="str">
        <f t="shared" si="363"/>
        <v>GDS-5 (Seasonal)_Rider VITA (Variable Income Tax Adjustment)</v>
      </c>
      <c r="B565" s="80" t="s">
        <v>675</v>
      </c>
      <c r="C565" s="83" t="s">
        <v>899</v>
      </c>
      <c r="D565" s="150"/>
      <c r="E565" s="81"/>
      <c r="F565" s="73" t="s">
        <v>649</v>
      </c>
      <c r="G565" s="73">
        <v>0</v>
      </c>
      <c r="H565" s="73">
        <v>6</v>
      </c>
      <c r="I565" s="74" t="s">
        <v>641</v>
      </c>
      <c r="J565" s="75" t="s">
        <v>634</v>
      </c>
      <c r="K565" s="74"/>
      <c r="L565" s="82">
        <v>0</v>
      </c>
      <c r="M565" s="138">
        <v>0</v>
      </c>
      <c r="N565" s="138">
        <v>0</v>
      </c>
      <c r="O565" s="138">
        <v>0</v>
      </c>
      <c r="P565" s="138">
        <v>0</v>
      </c>
      <c r="Q565" s="138">
        <v>0</v>
      </c>
      <c r="R565" s="138">
        <v>0</v>
      </c>
      <c r="S565" s="138">
        <v>0</v>
      </c>
      <c r="T565" s="138">
        <v>0</v>
      </c>
      <c r="U565" s="138">
        <v>0</v>
      </c>
      <c r="V565" s="138">
        <v>0</v>
      </c>
      <c r="W565" s="138">
        <v>0</v>
      </c>
      <c r="X565" s="138">
        <v>0</v>
      </c>
      <c r="Y565" s="138">
        <f t="shared" si="393"/>
        <v>0</v>
      </c>
      <c r="Z565" s="138">
        <f t="shared" si="394"/>
        <v>0</v>
      </c>
      <c r="AA565" s="138">
        <f t="shared" si="395"/>
        <v>0</v>
      </c>
      <c r="AB565" s="138">
        <f t="shared" si="396"/>
        <v>0</v>
      </c>
      <c r="AC565" s="138">
        <f t="shared" si="397"/>
        <v>0</v>
      </c>
      <c r="AD565" s="138">
        <f t="shared" si="398"/>
        <v>0</v>
      </c>
      <c r="AE565" s="138">
        <f t="shared" si="399"/>
        <v>0</v>
      </c>
      <c r="AF565" s="138">
        <f t="shared" si="400"/>
        <v>0</v>
      </c>
      <c r="AG565" s="138">
        <f t="shared" si="401"/>
        <v>0</v>
      </c>
      <c r="AH565" s="138">
        <f t="shared" si="402"/>
        <v>0</v>
      </c>
      <c r="AI565" s="138">
        <f t="shared" si="403"/>
        <v>0</v>
      </c>
      <c r="AJ565" s="138">
        <f t="shared" si="404"/>
        <v>0</v>
      </c>
      <c r="AK565" s="138">
        <f t="shared" si="405"/>
        <v>0</v>
      </c>
      <c r="AL565" s="138">
        <f t="shared" si="406"/>
        <v>0</v>
      </c>
      <c r="AM565" s="138">
        <f t="shared" si="407"/>
        <v>0</v>
      </c>
      <c r="AO565" s="77" t="str">
        <f t="shared" si="364"/>
        <v>GDS-5 (Seasonal)</v>
      </c>
      <c r="AP565" s="78" t="s">
        <v>676</v>
      </c>
      <c r="AQ565" s="77" t="str">
        <f t="shared" si="365"/>
        <v>Rider VITA (Variable Income Tax Adjustment)</v>
      </c>
      <c r="AR565" s="78" t="str">
        <f t="shared" si="366"/>
        <v>Billing Cycle</v>
      </c>
      <c r="AS565" s="79">
        <f t="shared" si="367"/>
        <v>6</v>
      </c>
      <c r="AT565" s="78">
        <f t="shared" si="368"/>
        <v>0</v>
      </c>
      <c r="AU565" s="78">
        <f t="shared" si="369"/>
        <v>0</v>
      </c>
      <c r="AV565" s="78">
        <f t="shared" si="370"/>
        <v>0</v>
      </c>
      <c r="AW565" s="78">
        <f t="shared" si="371"/>
        <v>0</v>
      </c>
      <c r="AX565" s="78">
        <f t="shared" si="372"/>
        <v>0</v>
      </c>
      <c r="AY565" s="78">
        <f t="shared" si="373"/>
        <v>0</v>
      </c>
      <c r="AZ565" s="78">
        <f t="shared" si="374"/>
        <v>0</v>
      </c>
      <c r="BA565" s="78">
        <f t="shared" si="375"/>
        <v>0</v>
      </c>
      <c r="BB565" s="78">
        <f t="shared" si="376"/>
        <v>0</v>
      </c>
      <c r="BC565" s="78">
        <f t="shared" si="377"/>
        <v>0</v>
      </c>
      <c r="BD565" s="78">
        <f t="shared" si="378"/>
        <v>0</v>
      </c>
      <c r="BE565" s="78">
        <f t="shared" si="379"/>
        <v>0</v>
      </c>
      <c r="BF565" s="78">
        <f t="shared" si="380"/>
        <v>0</v>
      </c>
      <c r="BG565" s="78">
        <f t="shared" si="381"/>
        <v>0</v>
      </c>
      <c r="BH565" s="78">
        <f t="shared" si="382"/>
        <v>0</v>
      </c>
      <c r="BI565" s="78">
        <f t="shared" si="383"/>
        <v>0</v>
      </c>
      <c r="BJ565" s="78">
        <f t="shared" si="384"/>
        <v>0</v>
      </c>
      <c r="BK565" s="78">
        <f t="shared" si="385"/>
        <v>0</v>
      </c>
      <c r="BL565" s="78">
        <f t="shared" si="386"/>
        <v>0</v>
      </c>
      <c r="BM565" s="78">
        <f t="shared" si="387"/>
        <v>0</v>
      </c>
      <c r="BN565" s="78">
        <f t="shared" si="388"/>
        <v>0</v>
      </c>
      <c r="BO565" s="78">
        <f t="shared" si="389"/>
        <v>0</v>
      </c>
      <c r="BP565" s="78">
        <f t="shared" si="390"/>
        <v>0</v>
      </c>
      <c r="BQ565" s="78">
        <f t="shared" si="391"/>
        <v>0</v>
      </c>
      <c r="BR565" s="78">
        <f t="shared" si="392"/>
        <v>0</v>
      </c>
      <c r="BS565" s="77"/>
      <c r="BT565" s="77"/>
    </row>
    <row r="566" spans="1:72" ht="14.1" customHeight="1" x14ac:dyDescent="0.2">
      <c r="A566" s="55" t="str">
        <f t="shared" si="363"/>
        <v xml:space="preserve">RTP-1 (Residential)_RTP Supplier Charge Non-Summer  - +800 </v>
      </c>
      <c r="B566" s="80" t="s">
        <v>828</v>
      </c>
      <c r="C566" s="71" t="s">
        <v>901</v>
      </c>
      <c r="D566" s="150"/>
      <c r="E566" s="81"/>
      <c r="F566" s="73" t="s">
        <v>640</v>
      </c>
      <c r="G566" s="73">
        <v>0</v>
      </c>
      <c r="H566" s="73">
        <v>6</v>
      </c>
      <c r="I566" s="74" t="s">
        <v>641</v>
      </c>
      <c r="J566" s="75" t="s">
        <v>634</v>
      </c>
      <c r="K566" s="74"/>
      <c r="L566" s="82">
        <v>0</v>
      </c>
      <c r="M566" s="138">
        <v>0</v>
      </c>
      <c r="N566" s="138">
        <v>0</v>
      </c>
      <c r="O566" s="138">
        <v>0</v>
      </c>
      <c r="P566" s="138">
        <v>0</v>
      </c>
      <c r="Q566" s="138">
        <v>0</v>
      </c>
      <c r="R566" s="138">
        <v>0</v>
      </c>
      <c r="S566" s="138">
        <v>0</v>
      </c>
      <c r="T566" s="138">
        <v>0</v>
      </c>
      <c r="U566" s="138">
        <v>0</v>
      </c>
      <c r="V566" s="138">
        <v>0</v>
      </c>
      <c r="W566" s="138">
        <v>0</v>
      </c>
      <c r="X566" s="138">
        <v>0</v>
      </c>
      <c r="Y566" s="138">
        <f t="shared" si="393"/>
        <v>0</v>
      </c>
      <c r="Z566" s="138">
        <f t="shared" si="394"/>
        <v>0</v>
      </c>
      <c r="AA566" s="138">
        <f t="shared" si="395"/>
        <v>0</v>
      </c>
      <c r="AB566" s="138">
        <f t="shared" si="396"/>
        <v>0</v>
      </c>
      <c r="AC566" s="138">
        <f t="shared" si="397"/>
        <v>0</v>
      </c>
      <c r="AD566" s="138">
        <f t="shared" si="398"/>
        <v>0</v>
      </c>
      <c r="AE566" s="138">
        <f t="shared" si="399"/>
        <v>0</v>
      </c>
      <c r="AF566" s="138">
        <f t="shared" si="400"/>
        <v>0</v>
      </c>
      <c r="AG566" s="138">
        <f t="shared" si="401"/>
        <v>0</v>
      </c>
      <c r="AH566" s="138">
        <f t="shared" si="402"/>
        <v>0</v>
      </c>
      <c r="AI566" s="138">
        <f t="shared" si="403"/>
        <v>0</v>
      </c>
      <c r="AJ566" s="138">
        <f t="shared" si="404"/>
        <v>0</v>
      </c>
      <c r="AK566" s="138">
        <f t="shared" si="405"/>
        <v>0</v>
      </c>
      <c r="AL566" s="138">
        <f t="shared" si="406"/>
        <v>0</v>
      </c>
      <c r="AM566" s="138">
        <f t="shared" si="407"/>
        <v>0</v>
      </c>
      <c r="AO566" s="77" t="str">
        <f t="shared" si="364"/>
        <v>RTP-1 (Residential)</v>
      </c>
      <c r="AP566" s="78" t="s">
        <v>829</v>
      </c>
      <c r="AQ566" s="77" t="str">
        <f t="shared" si="365"/>
        <v xml:space="preserve">RTP Supplier Charge Non-Summer  - +800 </v>
      </c>
      <c r="AR566" s="78" t="str">
        <f t="shared" si="366"/>
        <v>Prorated</v>
      </c>
      <c r="AS566" s="79">
        <f t="shared" si="367"/>
        <v>6</v>
      </c>
      <c r="AT566" s="78">
        <f t="shared" si="368"/>
        <v>0</v>
      </c>
      <c r="AU566" s="78">
        <f t="shared" si="369"/>
        <v>0</v>
      </c>
      <c r="AV566" s="78">
        <f t="shared" si="370"/>
        <v>0</v>
      </c>
      <c r="AW566" s="78">
        <f t="shared" si="371"/>
        <v>0</v>
      </c>
      <c r="AX566" s="78">
        <f t="shared" si="372"/>
        <v>0</v>
      </c>
      <c r="AY566" s="78">
        <f t="shared" si="373"/>
        <v>0</v>
      </c>
      <c r="AZ566" s="78">
        <f t="shared" si="374"/>
        <v>0</v>
      </c>
      <c r="BA566" s="78">
        <f t="shared" si="375"/>
        <v>0</v>
      </c>
      <c r="BB566" s="78">
        <f t="shared" si="376"/>
        <v>0</v>
      </c>
      <c r="BC566" s="78">
        <f t="shared" si="377"/>
        <v>0</v>
      </c>
      <c r="BD566" s="78">
        <f t="shared" si="378"/>
        <v>0</v>
      </c>
      <c r="BE566" s="78">
        <f t="shared" si="379"/>
        <v>0</v>
      </c>
      <c r="BF566" s="78">
        <f t="shared" si="380"/>
        <v>0</v>
      </c>
      <c r="BG566" s="78">
        <f t="shared" si="381"/>
        <v>0</v>
      </c>
      <c r="BH566" s="78">
        <f t="shared" si="382"/>
        <v>0</v>
      </c>
      <c r="BI566" s="78">
        <f t="shared" si="383"/>
        <v>0</v>
      </c>
      <c r="BJ566" s="78">
        <f t="shared" si="384"/>
        <v>0</v>
      </c>
      <c r="BK566" s="78">
        <f t="shared" si="385"/>
        <v>0</v>
      </c>
      <c r="BL566" s="78">
        <f t="shared" si="386"/>
        <v>0</v>
      </c>
      <c r="BM566" s="78">
        <f t="shared" si="387"/>
        <v>0</v>
      </c>
      <c r="BN566" s="78">
        <f t="shared" si="388"/>
        <v>0</v>
      </c>
      <c r="BO566" s="78">
        <f t="shared" si="389"/>
        <v>0</v>
      </c>
      <c r="BP566" s="78">
        <f t="shared" si="390"/>
        <v>0</v>
      </c>
      <c r="BQ566" s="78">
        <f t="shared" si="391"/>
        <v>0</v>
      </c>
      <c r="BR566" s="78">
        <f t="shared" si="392"/>
        <v>0</v>
      </c>
      <c r="BS566" s="77"/>
      <c r="BT566" s="77"/>
    </row>
    <row r="567" spans="1:72" ht="14.1" customHeight="1" x14ac:dyDescent="0.2">
      <c r="A567" s="55" t="str">
        <f t="shared" si="363"/>
        <v>RTP-2 (Non-Residential)_RTP Supplier Charge Non-Summer - All kWh</v>
      </c>
      <c r="B567" s="80" t="s">
        <v>830</v>
      </c>
      <c r="C567" s="71" t="s">
        <v>902</v>
      </c>
      <c r="D567" s="150"/>
      <c r="E567" s="81"/>
      <c r="F567" s="73" t="s">
        <v>640</v>
      </c>
      <c r="G567" s="73">
        <v>0</v>
      </c>
      <c r="H567" s="73">
        <v>6</v>
      </c>
      <c r="I567" s="74" t="s">
        <v>641</v>
      </c>
      <c r="J567" s="75" t="s">
        <v>634</v>
      </c>
      <c r="K567" s="74"/>
      <c r="L567" s="82">
        <v>0</v>
      </c>
      <c r="M567" s="138">
        <v>0</v>
      </c>
      <c r="N567" s="138">
        <v>0</v>
      </c>
      <c r="O567" s="138">
        <v>0</v>
      </c>
      <c r="P567" s="138">
        <v>0</v>
      </c>
      <c r="Q567" s="138">
        <v>0</v>
      </c>
      <c r="R567" s="138">
        <v>0</v>
      </c>
      <c r="S567" s="138">
        <v>0</v>
      </c>
      <c r="T567" s="138">
        <v>0</v>
      </c>
      <c r="U567" s="138">
        <v>0</v>
      </c>
      <c r="V567" s="138">
        <v>0</v>
      </c>
      <c r="W567" s="138">
        <v>0</v>
      </c>
      <c r="X567" s="138">
        <v>0</v>
      </c>
      <c r="Y567" s="138">
        <f t="shared" si="393"/>
        <v>0</v>
      </c>
      <c r="Z567" s="138">
        <f t="shared" si="394"/>
        <v>0</v>
      </c>
      <c r="AA567" s="138">
        <f t="shared" si="395"/>
        <v>0</v>
      </c>
      <c r="AB567" s="138">
        <f t="shared" si="396"/>
        <v>0</v>
      </c>
      <c r="AC567" s="138">
        <f t="shared" si="397"/>
        <v>0</v>
      </c>
      <c r="AD567" s="138">
        <f t="shared" si="398"/>
        <v>0</v>
      </c>
      <c r="AE567" s="138">
        <f t="shared" si="399"/>
        <v>0</v>
      </c>
      <c r="AF567" s="138">
        <f t="shared" si="400"/>
        <v>0</v>
      </c>
      <c r="AG567" s="138">
        <f t="shared" si="401"/>
        <v>0</v>
      </c>
      <c r="AH567" s="138">
        <f t="shared" si="402"/>
        <v>0</v>
      </c>
      <c r="AI567" s="138">
        <f t="shared" si="403"/>
        <v>0</v>
      </c>
      <c r="AJ567" s="138">
        <f t="shared" si="404"/>
        <v>0</v>
      </c>
      <c r="AK567" s="138">
        <f t="shared" si="405"/>
        <v>0</v>
      </c>
      <c r="AL567" s="138">
        <f t="shared" si="406"/>
        <v>0</v>
      </c>
      <c r="AM567" s="138">
        <f t="shared" si="407"/>
        <v>0</v>
      </c>
      <c r="AO567" s="77" t="str">
        <f t="shared" si="364"/>
        <v>RTP-2 (Non-Residential)</v>
      </c>
      <c r="AP567" s="78" t="s">
        <v>831</v>
      </c>
      <c r="AQ567" s="77" t="str">
        <f t="shared" si="365"/>
        <v>RTP Supplier Charge Non-Summer - All kWh</v>
      </c>
      <c r="AR567" s="78" t="str">
        <f t="shared" si="366"/>
        <v>Prorated</v>
      </c>
      <c r="AS567" s="79">
        <f t="shared" si="367"/>
        <v>6</v>
      </c>
      <c r="AT567" s="78">
        <f t="shared" si="368"/>
        <v>0</v>
      </c>
      <c r="AU567" s="78">
        <f t="shared" si="369"/>
        <v>0</v>
      </c>
      <c r="AV567" s="78">
        <f t="shared" si="370"/>
        <v>0</v>
      </c>
      <c r="AW567" s="78">
        <f t="shared" si="371"/>
        <v>0</v>
      </c>
      <c r="AX567" s="78">
        <f t="shared" si="372"/>
        <v>0</v>
      </c>
      <c r="AY567" s="78">
        <f t="shared" si="373"/>
        <v>0</v>
      </c>
      <c r="AZ567" s="78">
        <f t="shared" si="374"/>
        <v>0</v>
      </c>
      <c r="BA567" s="78">
        <f t="shared" si="375"/>
        <v>0</v>
      </c>
      <c r="BB567" s="78">
        <f t="shared" si="376"/>
        <v>0</v>
      </c>
      <c r="BC567" s="78">
        <f t="shared" si="377"/>
        <v>0</v>
      </c>
      <c r="BD567" s="78">
        <f t="shared" si="378"/>
        <v>0</v>
      </c>
      <c r="BE567" s="78">
        <f t="shared" si="379"/>
        <v>0</v>
      </c>
      <c r="BF567" s="78">
        <f t="shared" si="380"/>
        <v>0</v>
      </c>
      <c r="BG567" s="78">
        <f t="shared" si="381"/>
        <v>0</v>
      </c>
      <c r="BH567" s="78">
        <f t="shared" si="382"/>
        <v>0</v>
      </c>
      <c r="BI567" s="78">
        <f t="shared" si="383"/>
        <v>0</v>
      </c>
      <c r="BJ567" s="78">
        <f t="shared" si="384"/>
        <v>0</v>
      </c>
      <c r="BK567" s="78">
        <f t="shared" si="385"/>
        <v>0</v>
      </c>
      <c r="BL567" s="78">
        <f t="shared" si="386"/>
        <v>0</v>
      </c>
      <c r="BM567" s="78">
        <f t="shared" si="387"/>
        <v>0</v>
      </c>
      <c r="BN567" s="78">
        <f t="shared" si="388"/>
        <v>0</v>
      </c>
      <c r="BO567" s="78">
        <f t="shared" si="389"/>
        <v>0</v>
      </c>
      <c r="BP567" s="78">
        <f t="shared" si="390"/>
        <v>0</v>
      </c>
      <c r="BQ567" s="78">
        <f t="shared" si="391"/>
        <v>0</v>
      </c>
      <c r="BR567" s="78">
        <f t="shared" si="392"/>
        <v>0</v>
      </c>
      <c r="BS567" s="77"/>
      <c r="BT567" s="77"/>
    </row>
    <row r="568" spans="1:72" ht="14.1" customHeight="1" x14ac:dyDescent="0.2">
      <c r="A568" s="55" t="str">
        <f t="shared" si="363"/>
        <v>RTP-1 (Residential)_RTP Supplier Charge Non-Summer 0-800 kWh</v>
      </c>
      <c r="B568" s="80" t="s">
        <v>828</v>
      </c>
      <c r="C568" s="71" t="s">
        <v>903</v>
      </c>
      <c r="D568" s="150"/>
      <c r="E568" s="86"/>
      <c r="F568" s="73" t="s">
        <v>640</v>
      </c>
      <c r="G568" s="73">
        <v>0</v>
      </c>
      <c r="H568" s="73">
        <v>6</v>
      </c>
      <c r="I568" s="74" t="s">
        <v>641</v>
      </c>
      <c r="J568" s="75" t="s">
        <v>634</v>
      </c>
      <c r="K568" s="74"/>
      <c r="L568" s="82">
        <v>1.17E-3</v>
      </c>
      <c r="M568" s="138">
        <v>1.17E-3</v>
      </c>
      <c r="N568" s="138">
        <v>1.17E-3</v>
      </c>
      <c r="O568" s="138">
        <v>1.17E-3</v>
      </c>
      <c r="P568" s="138">
        <v>1.17E-3</v>
      </c>
      <c r="Q568" s="138">
        <v>1.17E-3</v>
      </c>
      <c r="R568" s="138">
        <v>2.2300000000000002E-3</v>
      </c>
      <c r="S568" s="138">
        <v>2.2300000000000002E-3</v>
      </c>
      <c r="T568" s="138">
        <v>2.2300000000000002E-3</v>
      </c>
      <c r="U568" s="138">
        <v>2.2300000000000002E-3</v>
      </c>
      <c r="V568" s="138">
        <v>2.2300000000000002E-3</v>
      </c>
      <c r="W568" s="138">
        <v>2.2300000000000002E-3</v>
      </c>
      <c r="X568" s="138">
        <v>2.2300000000000002E-3</v>
      </c>
      <c r="Y568" s="138">
        <f t="shared" si="393"/>
        <v>2.2300000000000002E-3</v>
      </c>
      <c r="Z568" s="138">
        <f t="shared" si="394"/>
        <v>2.2300000000000002E-3</v>
      </c>
      <c r="AA568" s="138">
        <f t="shared" si="395"/>
        <v>2.2300000000000002E-3</v>
      </c>
      <c r="AB568" s="138">
        <f t="shared" si="396"/>
        <v>2.2300000000000002E-3</v>
      </c>
      <c r="AC568" s="138">
        <f t="shared" si="397"/>
        <v>2.2300000000000002E-3</v>
      </c>
      <c r="AD568" s="138">
        <f t="shared" si="398"/>
        <v>2.2300000000000002E-3</v>
      </c>
      <c r="AE568" s="138">
        <f t="shared" si="399"/>
        <v>2.2300000000000002E-3</v>
      </c>
      <c r="AF568" s="138">
        <f t="shared" si="400"/>
        <v>2.2300000000000002E-3</v>
      </c>
      <c r="AG568" s="138">
        <f t="shared" si="401"/>
        <v>2.2300000000000002E-3</v>
      </c>
      <c r="AH568" s="138">
        <f t="shared" si="402"/>
        <v>2.2300000000000002E-3</v>
      </c>
      <c r="AI568" s="138">
        <f t="shared" si="403"/>
        <v>2.2300000000000002E-3</v>
      </c>
      <c r="AJ568" s="138">
        <f t="shared" si="404"/>
        <v>2.2300000000000002E-3</v>
      </c>
      <c r="AK568" s="138">
        <f t="shared" si="405"/>
        <v>2.2300000000000002E-3</v>
      </c>
      <c r="AL568" s="138">
        <f t="shared" si="406"/>
        <v>2.2299999999999998E-3</v>
      </c>
      <c r="AM568" s="138">
        <f t="shared" si="407"/>
        <v>2.0533333333333341E-3</v>
      </c>
      <c r="AO568" s="77" t="str">
        <f t="shared" si="364"/>
        <v>RTP-1 (Residential)</v>
      </c>
      <c r="AP568" s="78" t="s">
        <v>829</v>
      </c>
      <c r="AQ568" s="77" t="str">
        <f t="shared" si="365"/>
        <v>RTP Supplier Charge Non-Summer 0-800 kWh</v>
      </c>
      <c r="AR568" s="78" t="str">
        <f t="shared" si="366"/>
        <v>Prorated</v>
      </c>
      <c r="AS568" s="79">
        <f t="shared" si="367"/>
        <v>6</v>
      </c>
      <c r="AT568" s="78">
        <f t="shared" si="368"/>
        <v>0</v>
      </c>
      <c r="AU568" s="78">
        <f t="shared" si="369"/>
        <v>1.17E-3</v>
      </c>
      <c r="AV568" s="78">
        <f t="shared" si="370"/>
        <v>1.17E-3</v>
      </c>
      <c r="AW568" s="78">
        <f t="shared" si="371"/>
        <v>1.17E-3</v>
      </c>
      <c r="AX568" s="78">
        <f t="shared" si="372"/>
        <v>1.17E-3</v>
      </c>
      <c r="AY568" s="78">
        <f t="shared" si="373"/>
        <v>1.17E-3</v>
      </c>
      <c r="AZ568" s="78">
        <f t="shared" si="374"/>
        <v>2.2300000000000002E-3</v>
      </c>
      <c r="BA568" s="78">
        <f t="shared" si="375"/>
        <v>2.2300000000000002E-3</v>
      </c>
      <c r="BB568" s="78">
        <f t="shared" si="376"/>
        <v>2.2300000000000002E-3</v>
      </c>
      <c r="BC568" s="78">
        <f t="shared" si="377"/>
        <v>2.2300000000000002E-3</v>
      </c>
      <c r="BD568" s="78">
        <f t="shared" si="378"/>
        <v>2.2300000000000002E-3</v>
      </c>
      <c r="BE568" s="78">
        <f t="shared" si="379"/>
        <v>2.2300000000000002E-3</v>
      </c>
      <c r="BF568" s="78">
        <f t="shared" si="380"/>
        <v>2.2300000000000002E-3</v>
      </c>
      <c r="BG568" s="78">
        <f t="shared" si="381"/>
        <v>2.2300000000000002E-3</v>
      </c>
      <c r="BH568" s="78">
        <f t="shared" si="382"/>
        <v>2.2300000000000002E-3</v>
      </c>
      <c r="BI568" s="78">
        <f t="shared" si="383"/>
        <v>2.2300000000000002E-3</v>
      </c>
      <c r="BJ568" s="78">
        <f t="shared" si="384"/>
        <v>2.2300000000000002E-3</v>
      </c>
      <c r="BK568" s="78">
        <f t="shared" si="385"/>
        <v>2.2300000000000002E-3</v>
      </c>
      <c r="BL568" s="78">
        <f t="shared" si="386"/>
        <v>2.2300000000000002E-3</v>
      </c>
      <c r="BM568" s="78">
        <f t="shared" si="387"/>
        <v>2.2300000000000002E-3</v>
      </c>
      <c r="BN568" s="78">
        <f t="shared" si="388"/>
        <v>2.2300000000000002E-3</v>
      </c>
      <c r="BO568" s="78">
        <f t="shared" si="389"/>
        <v>2.2300000000000002E-3</v>
      </c>
      <c r="BP568" s="78">
        <f t="shared" si="390"/>
        <v>2.2300000000000002E-3</v>
      </c>
      <c r="BQ568" s="78">
        <f t="shared" si="391"/>
        <v>2.2300000000000002E-3</v>
      </c>
      <c r="BR568" s="78">
        <f t="shared" si="392"/>
        <v>2.2300000000000002E-3</v>
      </c>
      <c r="BS568" s="77"/>
      <c r="BT568" s="77"/>
    </row>
    <row r="569" spans="1:72" ht="14.1" customHeight="1" x14ac:dyDescent="0.2">
      <c r="A569" s="55" t="str">
        <f t="shared" si="363"/>
        <v>RTP-1 (Residential)_RTP Supplier Charge Summer - All kWh</v>
      </c>
      <c r="B569" s="80" t="s">
        <v>828</v>
      </c>
      <c r="C569" s="71" t="s">
        <v>904</v>
      </c>
      <c r="D569" s="150"/>
      <c r="E569" s="81"/>
      <c r="F569" s="73" t="s">
        <v>640</v>
      </c>
      <c r="G569" s="73">
        <v>0</v>
      </c>
      <c r="H569" s="73">
        <v>6</v>
      </c>
      <c r="I569" s="74" t="s">
        <v>641</v>
      </c>
      <c r="J569" s="75" t="s">
        <v>634</v>
      </c>
      <c r="K569" s="74"/>
      <c r="L569" s="82">
        <v>0</v>
      </c>
      <c r="M569" s="138">
        <v>0</v>
      </c>
      <c r="N569" s="138">
        <v>0</v>
      </c>
      <c r="O569" s="138">
        <v>0</v>
      </c>
      <c r="P569" s="138">
        <v>0</v>
      </c>
      <c r="Q569" s="138">
        <v>0</v>
      </c>
      <c r="R569" s="138">
        <v>0</v>
      </c>
      <c r="S569" s="138">
        <v>0</v>
      </c>
      <c r="T569" s="138">
        <v>0</v>
      </c>
      <c r="U569" s="138">
        <v>0</v>
      </c>
      <c r="V569" s="138">
        <v>0</v>
      </c>
      <c r="W569" s="138">
        <v>0</v>
      </c>
      <c r="X569" s="138">
        <v>0</v>
      </c>
      <c r="Y569" s="138">
        <f t="shared" si="393"/>
        <v>0</v>
      </c>
      <c r="Z569" s="138">
        <f t="shared" si="394"/>
        <v>0</v>
      </c>
      <c r="AA569" s="138">
        <f t="shared" si="395"/>
        <v>0</v>
      </c>
      <c r="AB569" s="138">
        <f t="shared" si="396"/>
        <v>0</v>
      </c>
      <c r="AC569" s="138">
        <f t="shared" si="397"/>
        <v>0</v>
      </c>
      <c r="AD569" s="138">
        <f t="shared" si="398"/>
        <v>0</v>
      </c>
      <c r="AE569" s="138">
        <f t="shared" si="399"/>
        <v>0</v>
      </c>
      <c r="AF569" s="138">
        <f t="shared" si="400"/>
        <v>0</v>
      </c>
      <c r="AG569" s="138">
        <f t="shared" si="401"/>
        <v>0</v>
      </c>
      <c r="AH569" s="138">
        <f t="shared" si="402"/>
        <v>0</v>
      </c>
      <c r="AI569" s="138">
        <f t="shared" si="403"/>
        <v>0</v>
      </c>
      <c r="AJ569" s="138">
        <f t="shared" si="404"/>
        <v>0</v>
      </c>
      <c r="AK569" s="138">
        <f t="shared" si="405"/>
        <v>0</v>
      </c>
      <c r="AL569" s="138">
        <f t="shared" si="406"/>
        <v>0</v>
      </c>
      <c r="AM569" s="138">
        <f t="shared" si="407"/>
        <v>0</v>
      </c>
      <c r="AO569" s="77" t="str">
        <f t="shared" si="364"/>
        <v>RTP-1 (Residential)</v>
      </c>
      <c r="AP569" s="78" t="s">
        <v>829</v>
      </c>
      <c r="AQ569" s="77" t="str">
        <f t="shared" si="365"/>
        <v>RTP Supplier Charge Summer - All kWh</v>
      </c>
      <c r="AR569" s="78" t="str">
        <f t="shared" si="366"/>
        <v>Prorated</v>
      </c>
      <c r="AS569" s="79">
        <f t="shared" si="367"/>
        <v>6</v>
      </c>
      <c r="AT569" s="78">
        <f t="shared" si="368"/>
        <v>0</v>
      </c>
      <c r="AU569" s="78">
        <f t="shared" si="369"/>
        <v>0</v>
      </c>
      <c r="AV569" s="78">
        <f t="shared" si="370"/>
        <v>0</v>
      </c>
      <c r="AW569" s="78">
        <f t="shared" si="371"/>
        <v>0</v>
      </c>
      <c r="AX569" s="78">
        <f t="shared" si="372"/>
        <v>0</v>
      </c>
      <c r="AY569" s="78">
        <f t="shared" si="373"/>
        <v>0</v>
      </c>
      <c r="AZ569" s="78">
        <f t="shared" si="374"/>
        <v>0</v>
      </c>
      <c r="BA569" s="78">
        <f t="shared" si="375"/>
        <v>0</v>
      </c>
      <c r="BB569" s="78">
        <f t="shared" si="376"/>
        <v>0</v>
      </c>
      <c r="BC569" s="78">
        <f t="shared" si="377"/>
        <v>0</v>
      </c>
      <c r="BD569" s="78">
        <f t="shared" si="378"/>
        <v>0</v>
      </c>
      <c r="BE569" s="78">
        <f t="shared" si="379"/>
        <v>0</v>
      </c>
      <c r="BF569" s="78">
        <f t="shared" si="380"/>
        <v>0</v>
      </c>
      <c r="BG569" s="78">
        <f t="shared" si="381"/>
        <v>0</v>
      </c>
      <c r="BH569" s="78">
        <f t="shared" si="382"/>
        <v>0</v>
      </c>
      <c r="BI569" s="78">
        <f t="shared" si="383"/>
        <v>0</v>
      </c>
      <c r="BJ569" s="78">
        <f t="shared" si="384"/>
        <v>0</v>
      </c>
      <c r="BK569" s="78">
        <f t="shared" si="385"/>
        <v>0</v>
      </c>
      <c r="BL569" s="78">
        <f t="shared" si="386"/>
        <v>0</v>
      </c>
      <c r="BM569" s="78">
        <f t="shared" si="387"/>
        <v>0</v>
      </c>
      <c r="BN569" s="78">
        <f t="shared" si="388"/>
        <v>0</v>
      </c>
      <c r="BO569" s="78">
        <f t="shared" si="389"/>
        <v>0</v>
      </c>
      <c r="BP569" s="78">
        <f t="shared" si="390"/>
        <v>0</v>
      </c>
      <c r="BQ569" s="78">
        <f t="shared" si="391"/>
        <v>0</v>
      </c>
      <c r="BR569" s="78">
        <f t="shared" si="392"/>
        <v>0</v>
      </c>
      <c r="BS569" s="77"/>
      <c r="BT569" s="77"/>
    </row>
    <row r="570" spans="1:72" ht="14.1" customHeight="1" x14ac:dyDescent="0.2">
      <c r="A570" s="55" t="str">
        <f t="shared" si="363"/>
        <v>RTP-2 (Non-Residential)_RTP Supplier Charge Summer - All kWh</v>
      </c>
      <c r="B570" s="80" t="s">
        <v>830</v>
      </c>
      <c r="C570" s="71" t="s">
        <v>904</v>
      </c>
      <c r="D570" s="150"/>
      <c r="E570" s="81"/>
      <c r="F570" s="73" t="s">
        <v>640</v>
      </c>
      <c r="G570" s="73">
        <v>0</v>
      </c>
      <c r="H570" s="73">
        <v>6</v>
      </c>
      <c r="I570" s="74" t="s">
        <v>641</v>
      </c>
      <c r="J570" s="75" t="s">
        <v>634</v>
      </c>
      <c r="K570" s="74"/>
      <c r="L570" s="82">
        <v>0</v>
      </c>
      <c r="M570" s="138">
        <v>0</v>
      </c>
      <c r="N570" s="138">
        <v>0</v>
      </c>
      <c r="O570" s="138">
        <v>0</v>
      </c>
      <c r="P570" s="138">
        <v>0</v>
      </c>
      <c r="Q570" s="138">
        <v>0</v>
      </c>
      <c r="R570" s="138">
        <v>0</v>
      </c>
      <c r="S570" s="138">
        <v>0</v>
      </c>
      <c r="T570" s="138">
        <v>0</v>
      </c>
      <c r="U570" s="138">
        <v>0</v>
      </c>
      <c r="V570" s="138">
        <v>0</v>
      </c>
      <c r="W570" s="138">
        <v>0</v>
      </c>
      <c r="X570" s="138">
        <v>0</v>
      </c>
      <c r="Y570" s="138">
        <f t="shared" si="393"/>
        <v>0</v>
      </c>
      <c r="Z570" s="138">
        <f t="shared" si="394"/>
        <v>0</v>
      </c>
      <c r="AA570" s="138">
        <f t="shared" si="395"/>
        <v>0</v>
      </c>
      <c r="AB570" s="138">
        <f t="shared" si="396"/>
        <v>0</v>
      </c>
      <c r="AC570" s="138">
        <f t="shared" si="397"/>
        <v>0</v>
      </c>
      <c r="AD570" s="138">
        <f t="shared" si="398"/>
        <v>0</v>
      </c>
      <c r="AE570" s="138">
        <f t="shared" si="399"/>
        <v>0</v>
      </c>
      <c r="AF570" s="138">
        <f t="shared" si="400"/>
        <v>0</v>
      </c>
      <c r="AG570" s="138">
        <f t="shared" si="401"/>
        <v>0</v>
      </c>
      <c r="AH570" s="138">
        <f t="shared" si="402"/>
        <v>0</v>
      </c>
      <c r="AI570" s="138">
        <f t="shared" si="403"/>
        <v>0</v>
      </c>
      <c r="AJ570" s="138">
        <f t="shared" si="404"/>
        <v>0</v>
      </c>
      <c r="AK570" s="138">
        <f t="shared" si="405"/>
        <v>0</v>
      </c>
      <c r="AL570" s="138">
        <f t="shared" si="406"/>
        <v>0</v>
      </c>
      <c r="AM570" s="138">
        <f t="shared" si="407"/>
        <v>0</v>
      </c>
      <c r="AO570" s="77" t="str">
        <f t="shared" si="364"/>
        <v>RTP-2 (Non-Residential)</v>
      </c>
      <c r="AP570" s="78" t="s">
        <v>831</v>
      </c>
      <c r="AQ570" s="77" t="str">
        <f t="shared" si="365"/>
        <v>RTP Supplier Charge Summer - All kWh</v>
      </c>
      <c r="AR570" s="78" t="str">
        <f t="shared" si="366"/>
        <v>Prorated</v>
      </c>
      <c r="AS570" s="79">
        <f t="shared" si="367"/>
        <v>6</v>
      </c>
      <c r="AT570" s="78">
        <f t="shared" si="368"/>
        <v>0</v>
      </c>
      <c r="AU570" s="78">
        <f t="shared" si="369"/>
        <v>0</v>
      </c>
      <c r="AV570" s="78">
        <f t="shared" si="370"/>
        <v>0</v>
      </c>
      <c r="AW570" s="78">
        <f t="shared" si="371"/>
        <v>0</v>
      </c>
      <c r="AX570" s="78">
        <f t="shared" si="372"/>
        <v>0</v>
      </c>
      <c r="AY570" s="78">
        <f t="shared" si="373"/>
        <v>0</v>
      </c>
      <c r="AZ570" s="78">
        <f t="shared" si="374"/>
        <v>0</v>
      </c>
      <c r="BA570" s="78">
        <f t="shared" si="375"/>
        <v>0</v>
      </c>
      <c r="BB570" s="78">
        <f t="shared" si="376"/>
        <v>0</v>
      </c>
      <c r="BC570" s="78">
        <f t="shared" si="377"/>
        <v>0</v>
      </c>
      <c r="BD570" s="78">
        <f t="shared" si="378"/>
        <v>0</v>
      </c>
      <c r="BE570" s="78">
        <f t="shared" si="379"/>
        <v>0</v>
      </c>
      <c r="BF570" s="78">
        <f t="shared" si="380"/>
        <v>0</v>
      </c>
      <c r="BG570" s="78">
        <f t="shared" si="381"/>
        <v>0</v>
      </c>
      <c r="BH570" s="78">
        <f t="shared" si="382"/>
        <v>0</v>
      </c>
      <c r="BI570" s="78">
        <f t="shared" si="383"/>
        <v>0</v>
      </c>
      <c r="BJ570" s="78">
        <f t="shared" si="384"/>
        <v>0</v>
      </c>
      <c r="BK570" s="78">
        <f t="shared" si="385"/>
        <v>0</v>
      </c>
      <c r="BL570" s="78">
        <f t="shared" si="386"/>
        <v>0</v>
      </c>
      <c r="BM570" s="78">
        <f t="shared" si="387"/>
        <v>0</v>
      </c>
      <c r="BN570" s="78">
        <f t="shared" si="388"/>
        <v>0</v>
      </c>
      <c r="BO570" s="78">
        <f t="shared" si="389"/>
        <v>0</v>
      </c>
      <c r="BP570" s="78">
        <f t="shared" si="390"/>
        <v>0</v>
      </c>
      <c r="BQ570" s="78">
        <f t="shared" si="391"/>
        <v>0</v>
      </c>
      <c r="BR570" s="78">
        <f t="shared" si="392"/>
        <v>0</v>
      </c>
      <c r="BS570" s="77"/>
      <c r="BT570" s="77"/>
    </row>
    <row r="571" spans="1:72" ht="14.1" customHeight="1" x14ac:dyDescent="0.2">
      <c r="A571" s="55" t="str">
        <f t="shared" si="363"/>
        <v>DS-3 (General Delivery Service)_Supply Balancing Adjustment</v>
      </c>
      <c r="B571" s="80" t="s">
        <v>666</v>
      </c>
      <c r="C571" s="71" t="s">
        <v>905</v>
      </c>
      <c r="D571" s="150"/>
      <c r="E571" s="81"/>
      <c r="F571" s="73" t="s">
        <v>640</v>
      </c>
      <c r="G571" s="73">
        <v>0</v>
      </c>
      <c r="H571" s="73">
        <v>6</v>
      </c>
      <c r="I571" s="74" t="s">
        <v>641</v>
      </c>
      <c r="J571" s="75" t="s">
        <v>634</v>
      </c>
      <c r="K571" s="74"/>
      <c r="L571" s="82">
        <v>2.0200000000000001E-3</v>
      </c>
      <c r="M571" s="138">
        <v>-2.0600000000000002E-3</v>
      </c>
      <c r="N571" s="138">
        <v>-2.6199999999999999E-3</v>
      </c>
      <c r="O571" s="138">
        <v>-7.2000000000000005E-4</v>
      </c>
      <c r="P571" s="138">
        <v>-1.16E-3</v>
      </c>
      <c r="Q571" s="138">
        <v>1.0000000000000001E-5</v>
      </c>
      <c r="R571" s="138">
        <v>-8.0999999999999996E-4</v>
      </c>
      <c r="S571" s="138">
        <v>-1.5100000000000001E-3</v>
      </c>
      <c r="T571" s="138">
        <v>-1.06E-3</v>
      </c>
      <c r="U571" s="138">
        <v>-4.0999999999999999E-4</v>
      </c>
      <c r="V571" s="138">
        <v>-2.0000000000000001E-4</v>
      </c>
      <c r="W571" s="138">
        <v>-2.0000000000000001E-4</v>
      </c>
      <c r="X571" s="138">
        <v>-2.0000000000000001E-4</v>
      </c>
      <c r="Y571" s="138">
        <f t="shared" si="393"/>
        <v>-2.0000000000000001E-4</v>
      </c>
      <c r="Z571" s="138">
        <f t="shared" si="394"/>
        <v>-2.0000000000000001E-4</v>
      </c>
      <c r="AA571" s="138">
        <f t="shared" si="395"/>
        <v>-2.0000000000000001E-4</v>
      </c>
      <c r="AB571" s="138">
        <f t="shared" si="396"/>
        <v>-2.0000000000000001E-4</v>
      </c>
      <c r="AC571" s="138">
        <f t="shared" si="397"/>
        <v>-2.0000000000000001E-4</v>
      </c>
      <c r="AD571" s="138">
        <f t="shared" si="398"/>
        <v>-2.0000000000000001E-4</v>
      </c>
      <c r="AE571" s="138">
        <f t="shared" si="399"/>
        <v>-2.0000000000000001E-4</v>
      </c>
      <c r="AF571" s="138">
        <f t="shared" si="400"/>
        <v>-2.0000000000000001E-4</v>
      </c>
      <c r="AG571" s="138">
        <f t="shared" si="401"/>
        <v>-2.0000000000000001E-4</v>
      </c>
      <c r="AH571" s="138">
        <f t="shared" si="402"/>
        <v>-2.0000000000000001E-4</v>
      </c>
      <c r="AI571" s="138">
        <f t="shared" si="403"/>
        <v>-2.0000000000000001E-4</v>
      </c>
      <c r="AJ571" s="138">
        <f t="shared" si="404"/>
        <v>-2.0000000000000001E-4</v>
      </c>
      <c r="AK571" s="138">
        <f t="shared" si="405"/>
        <v>-2.0000000000000001E-4</v>
      </c>
      <c r="AL571" s="138">
        <f t="shared" si="406"/>
        <v>-2.0000000000000006E-4</v>
      </c>
      <c r="AM571" s="138">
        <f t="shared" si="407"/>
        <v>-4.783333333333337E-4</v>
      </c>
      <c r="AO571" s="77" t="str">
        <f t="shared" si="364"/>
        <v>DS-3 (General Delivery Service)</v>
      </c>
      <c r="AP571" s="78" t="s">
        <v>667</v>
      </c>
      <c r="AQ571" s="77" t="str">
        <f t="shared" si="365"/>
        <v>Supply Balancing Adjustment</v>
      </c>
      <c r="AR571" s="78" t="str">
        <f t="shared" si="366"/>
        <v>Prorated</v>
      </c>
      <c r="AS571" s="79">
        <f t="shared" si="367"/>
        <v>6</v>
      </c>
      <c r="AT571" s="78">
        <f t="shared" si="368"/>
        <v>0</v>
      </c>
      <c r="AU571" s="78">
        <f t="shared" si="369"/>
        <v>-2.0600000000000002E-3</v>
      </c>
      <c r="AV571" s="78">
        <f t="shared" si="370"/>
        <v>-2.6199999999999999E-3</v>
      </c>
      <c r="AW571" s="78">
        <f t="shared" si="371"/>
        <v>-7.2000000000000005E-4</v>
      </c>
      <c r="AX571" s="78">
        <f t="shared" si="372"/>
        <v>-1.16E-3</v>
      </c>
      <c r="AY571" s="78">
        <f t="shared" si="373"/>
        <v>1.0000000000000001E-5</v>
      </c>
      <c r="AZ571" s="78">
        <f t="shared" si="374"/>
        <v>-8.0999999999999996E-4</v>
      </c>
      <c r="BA571" s="78">
        <f t="shared" si="375"/>
        <v>-1.5100000000000001E-3</v>
      </c>
      <c r="BB571" s="78">
        <f t="shared" si="376"/>
        <v>-1.06E-3</v>
      </c>
      <c r="BC571" s="78">
        <f t="shared" si="377"/>
        <v>-4.0999999999999999E-4</v>
      </c>
      <c r="BD571" s="78">
        <f t="shared" si="378"/>
        <v>-2.0000000000000001E-4</v>
      </c>
      <c r="BE571" s="78">
        <f t="shared" si="379"/>
        <v>-2.0000000000000001E-4</v>
      </c>
      <c r="BF571" s="78">
        <f t="shared" si="380"/>
        <v>-2.0000000000000001E-4</v>
      </c>
      <c r="BG571" s="78">
        <f t="shared" si="381"/>
        <v>-2.0000000000000001E-4</v>
      </c>
      <c r="BH571" s="78">
        <f t="shared" si="382"/>
        <v>-2.0000000000000001E-4</v>
      </c>
      <c r="BI571" s="78">
        <f t="shared" si="383"/>
        <v>-2.0000000000000001E-4</v>
      </c>
      <c r="BJ571" s="78">
        <f t="shared" si="384"/>
        <v>-2.0000000000000001E-4</v>
      </c>
      <c r="BK571" s="78">
        <f t="shared" si="385"/>
        <v>-2.0000000000000001E-4</v>
      </c>
      <c r="BL571" s="78">
        <f t="shared" si="386"/>
        <v>-2.0000000000000001E-4</v>
      </c>
      <c r="BM571" s="78">
        <f t="shared" si="387"/>
        <v>-2.0000000000000001E-4</v>
      </c>
      <c r="BN571" s="78">
        <f t="shared" si="388"/>
        <v>-2.0000000000000001E-4</v>
      </c>
      <c r="BO571" s="78">
        <f t="shared" si="389"/>
        <v>-2.0000000000000001E-4</v>
      </c>
      <c r="BP571" s="78">
        <f t="shared" si="390"/>
        <v>-2.0000000000000001E-4</v>
      </c>
      <c r="BQ571" s="78">
        <f t="shared" si="391"/>
        <v>-2.0000000000000001E-4</v>
      </c>
      <c r="BR571" s="78">
        <f t="shared" si="392"/>
        <v>-2.0000000000000001E-4</v>
      </c>
      <c r="BS571" s="77"/>
      <c r="BT571" s="77"/>
    </row>
    <row r="572" spans="1:72" ht="14.1" customHeight="1" x14ac:dyDescent="0.2">
      <c r="A572" s="55" t="str">
        <f t="shared" si="363"/>
        <v>DS-4 (Large General Service)_Supply Balancing Adjustment</v>
      </c>
      <c r="B572" s="80" t="s">
        <v>639</v>
      </c>
      <c r="C572" s="71" t="s">
        <v>905</v>
      </c>
      <c r="D572" s="150"/>
      <c r="E572" s="81"/>
      <c r="F572" s="73" t="s">
        <v>640</v>
      </c>
      <c r="G572" s="73">
        <v>0</v>
      </c>
      <c r="H572" s="73">
        <v>6</v>
      </c>
      <c r="I572" s="74" t="s">
        <v>641</v>
      </c>
      <c r="J572" s="75" t="s">
        <v>634</v>
      </c>
      <c r="K572" s="74"/>
      <c r="L572" s="82">
        <v>2.0200000000000001E-3</v>
      </c>
      <c r="M572" s="138">
        <v>-2.0600000000000002E-3</v>
      </c>
      <c r="N572" s="138">
        <v>-2.6199999999999999E-3</v>
      </c>
      <c r="O572" s="138">
        <v>-7.2000000000000005E-4</v>
      </c>
      <c r="P572" s="138">
        <v>-1.16E-3</v>
      </c>
      <c r="Q572" s="138">
        <v>1.0000000000000001E-5</v>
      </c>
      <c r="R572" s="138">
        <v>-8.0999999999999996E-4</v>
      </c>
      <c r="S572" s="138">
        <v>-1.5100000000000001E-3</v>
      </c>
      <c r="T572" s="138">
        <v>-1.06E-3</v>
      </c>
      <c r="U572" s="138">
        <v>-4.0999999999999999E-4</v>
      </c>
      <c r="V572" s="138">
        <v>-2.0000000000000001E-4</v>
      </c>
      <c r="W572" s="138">
        <v>-2.0000000000000001E-4</v>
      </c>
      <c r="X572" s="138">
        <v>-2.0000000000000001E-4</v>
      </c>
      <c r="Y572" s="138">
        <f t="shared" si="393"/>
        <v>-2.0000000000000001E-4</v>
      </c>
      <c r="Z572" s="138">
        <f t="shared" si="394"/>
        <v>-2.0000000000000001E-4</v>
      </c>
      <c r="AA572" s="138">
        <f t="shared" si="395"/>
        <v>-2.0000000000000001E-4</v>
      </c>
      <c r="AB572" s="138">
        <f t="shared" si="396"/>
        <v>-2.0000000000000001E-4</v>
      </c>
      <c r="AC572" s="138">
        <f t="shared" si="397"/>
        <v>-2.0000000000000001E-4</v>
      </c>
      <c r="AD572" s="138">
        <f t="shared" si="398"/>
        <v>-2.0000000000000001E-4</v>
      </c>
      <c r="AE572" s="138">
        <f t="shared" si="399"/>
        <v>-2.0000000000000001E-4</v>
      </c>
      <c r="AF572" s="138">
        <f t="shared" si="400"/>
        <v>-2.0000000000000001E-4</v>
      </c>
      <c r="AG572" s="138">
        <f t="shared" si="401"/>
        <v>-2.0000000000000001E-4</v>
      </c>
      <c r="AH572" s="138">
        <f t="shared" si="402"/>
        <v>-2.0000000000000001E-4</v>
      </c>
      <c r="AI572" s="138">
        <f t="shared" si="403"/>
        <v>-2.0000000000000001E-4</v>
      </c>
      <c r="AJ572" s="138">
        <f t="shared" si="404"/>
        <v>-2.0000000000000001E-4</v>
      </c>
      <c r="AK572" s="138">
        <f t="shared" si="405"/>
        <v>-2.0000000000000001E-4</v>
      </c>
      <c r="AL572" s="138">
        <f t="shared" si="406"/>
        <v>-2.0000000000000006E-4</v>
      </c>
      <c r="AM572" s="138">
        <f t="shared" si="407"/>
        <v>-4.783333333333337E-4</v>
      </c>
      <c r="AO572" s="77" t="str">
        <f t="shared" si="364"/>
        <v>DS-4 (Large General Service)</v>
      </c>
      <c r="AP572" s="78" t="s">
        <v>642</v>
      </c>
      <c r="AQ572" s="77" t="str">
        <f t="shared" si="365"/>
        <v>Supply Balancing Adjustment</v>
      </c>
      <c r="AR572" s="78" t="str">
        <f t="shared" si="366"/>
        <v>Prorated</v>
      </c>
      <c r="AS572" s="79">
        <f t="shared" si="367"/>
        <v>6</v>
      </c>
      <c r="AT572" s="78">
        <f t="shared" si="368"/>
        <v>0</v>
      </c>
      <c r="AU572" s="78">
        <f t="shared" si="369"/>
        <v>-2.0600000000000002E-3</v>
      </c>
      <c r="AV572" s="78">
        <f t="shared" si="370"/>
        <v>-2.6199999999999999E-3</v>
      </c>
      <c r="AW572" s="78">
        <f t="shared" si="371"/>
        <v>-7.2000000000000005E-4</v>
      </c>
      <c r="AX572" s="78">
        <f t="shared" si="372"/>
        <v>-1.16E-3</v>
      </c>
      <c r="AY572" s="78">
        <f t="shared" si="373"/>
        <v>1.0000000000000001E-5</v>
      </c>
      <c r="AZ572" s="78">
        <f t="shared" si="374"/>
        <v>-8.0999999999999996E-4</v>
      </c>
      <c r="BA572" s="78">
        <f t="shared" si="375"/>
        <v>-1.5100000000000001E-3</v>
      </c>
      <c r="BB572" s="78">
        <f t="shared" si="376"/>
        <v>-1.06E-3</v>
      </c>
      <c r="BC572" s="78">
        <f t="shared" si="377"/>
        <v>-4.0999999999999999E-4</v>
      </c>
      <c r="BD572" s="78">
        <f t="shared" si="378"/>
        <v>-2.0000000000000001E-4</v>
      </c>
      <c r="BE572" s="78">
        <f t="shared" si="379"/>
        <v>-2.0000000000000001E-4</v>
      </c>
      <c r="BF572" s="78">
        <f t="shared" si="380"/>
        <v>-2.0000000000000001E-4</v>
      </c>
      <c r="BG572" s="78">
        <f t="shared" si="381"/>
        <v>-2.0000000000000001E-4</v>
      </c>
      <c r="BH572" s="78">
        <f t="shared" si="382"/>
        <v>-2.0000000000000001E-4</v>
      </c>
      <c r="BI572" s="78">
        <f t="shared" si="383"/>
        <v>-2.0000000000000001E-4</v>
      </c>
      <c r="BJ572" s="78">
        <f t="shared" si="384"/>
        <v>-2.0000000000000001E-4</v>
      </c>
      <c r="BK572" s="78">
        <f t="shared" si="385"/>
        <v>-2.0000000000000001E-4</v>
      </c>
      <c r="BL572" s="78">
        <f t="shared" si="386"/>
        <v>-2.0000000000000001E-4</v>
      </c>
      <c r="BM572" s="78">
        <f t="shared" si="387"/>
        <v>-2.0000000000000001E-4</v>
      </c>
      <c r="BN572" s="78">
        <f t="shared" si="388"/>
        <v>-2.0000000000000001E-4</v>
      </c>
      <c r="BO572" s="78">
        <f t="shared" si="389"/>
        <v>-2.0000000000000001E-4</v>
      </c>
      <c r="BP572" s="78">
        <f t="shared" si="390"/>
        <v>-2.0000000000000001E-4</v>
      </c>
      <c r="BQ572" s="78">
        <f t="shared" si="391"/>
        <v>-2.0000000000000001E-4</v>
      </c>
      <c r="BR572" s="78">
        <f t="shared" si="392"/>
        <v>-2.0000000000000001E-4</v>
      </c>
      <c r="BS572" s="77"/>
      <c r="BT572" s="77"/>
    </row>
    <row r="573" spans="1:72" ht="14.1" customHeight="1" x14ac:dyDescent="0.2">
      <c r="A573" s="55" t="str">
        <f t="shared" si="363"/>
        <v>DS-6 (DS-3) Temp. Sensitive DS_Supply Balancing Adjustment</v>
      </c>
      <c r="B573" s="80" t="s">
        <v>643</v>
      </c>
      <c r="C573" s="71" t="s">
        <v>905</v>
      </c>
      <c r="D573" s="150"/>
      <c r="E573" s="81"/>
      <c r="F573" s="73" t="s">
        <v>640</v>
      </c>
      <c r="G573" s="73">
        <v>0</v>
      </c>
      <c r="H573" s="73">
        <v>6</v>
      </c>
      <c r="I573" s="74" t="s">
        <v>641</v>
      </c>
      <c r="J573" s="75" t="s">
        <v>634</v>
      </c>
      <c r="K573" s="74"/>
      <c r="L573" s="82">
        <v>2.0200000000000001E-3</v>
      </c>
      <c r="M573" s="138">
        <v>-2.0600000000000002E-3</v>
      </c>
      <c r="N573" s="138">
        <v>-2.6199999999999999E-3</v>
      </c>
      <c r="O573" s="138">
        <v>-7.2000000000000005E-4</v>
      </c>
      <c r="P573" s="138">
        <v>-1.16E-3</v>
      </c>
      <c r="Q573" s="138">
        <v>1.0000000000000001E-5</v>
      </c>
      <c r="R573" s="138">
        <v>-8.0999999999999996E-4</v>
      </c>
      <c r="S573" s="138">
        <v>-1.5100000000000001E-3</v>
      </c>
      <c r="T573" s="138">
        <v>-1.06E-3</v>
      </c>
      <c r="U573" s="138">
        <v>-4.0999999999999999E-4</v>
      </c>
      <c r="V573" s="138">
        <v>-2.0000000000000001E-4</v>
      </c>
      <c r="W573" s="138">
        <v>-2.0000000000000001E-4</v>
      </c>
      <c r="X573" s="138">
        <v>-2.0000000000000001E-4</v>
      </c>
      <c r="Y573" s="138">
        <f t="shared" si="393"/>
        <v>-2.0000000000000001E-4</v>
      </c>
      <c r="Z573" s="138">
        <f t="shared" si="394"/>
        <v>-2.0000000000000001E-4</v>
      </c>
      <c r="AA573" s="138">
        <f t="shared" si="395"/>
        <v>-2.0000000000000001E-4</v>
      </c>
      <c r="AB573" s="138">
        <f t="shared" si="396"/>
        <v>-2.0000000000000001E-4</v>
      </c>
      <c r="AC573" s="138">
        <f t="shared" si="397"/>
        <v>-2.0000000000000001E-4</v>
      </c>
      <c r="AD573" s="138">
        <f t="shared" si="398"/>
        <v>-2.0000000000000001E-4</v>
      </c>
      <c r="AE573" s="138">
        <f t="shared" si="399"/>
        <v>-2.0000000000000001E-4</v>
      </c>
      <c r="AF573" s="138">
        <f t="shared" si="400"/>
        <v>-2.0000000000000001E-4</v>
      </c>
      <c r="AG573" s="138">
        <f t="shared" si="401"/>
        <v>-2.0000000000000001E-4</v>
      </c>
      <c r="AH573" s="138">
        <f t="shared" si="402"/>
        <v>-2.0000000000000001E-4</v>
      </c>
      <c r="AI573" s="138">
        <f t="shared" si="403"/>
        <v>-2.0000000000000001E-4</v>
      </c>
      <c r="AJ573" s="138">
        <f t="shared" si="404"/>
        <v>-2.0000000000000001E-4</v>
      </c>
      <c r="AK573" s="138">
        <f t="shared" si="405"/>
        <v>-2.0000000000000001E-4</v>
      </c>
      <c r="AL573" s="138">
        <f t="shared" si="406"/>
        <v>-2.0000000000000006E-4</v>
      </c>
      <c r="AM573" s="138">
        <f t="shared" si="407"/>
        <v>-4.783333333333337E-4</v>
      </c>
      <c r="AO573" s="77" t="str">
        <f t="shared" si="364"/>
        <v>DS-6 (DS-3) Temp. Sensitive DS</v>
      </c>
      <c r="AP573" s="78" t="s">
        <v>644</v>
      </c>
      <c r="AQ573" s="77" t="str">
        <f t="shared" si="365"/>
        <v>Supply Balancing Adjustment</v>
      </c>
      <c r="AR573" s="78" t="str">
        <f t="shared" si="366"/>
        <v>Prorated</v>
      </c>
      <c r="AS573" s="79">
        <f t="shared" si="367"/>
        <v>6</v>
      </c>
      <c r="AT573" s="78">
        <f t="shared" si="368"/>
        <v>0</v>
      </c>
      <c r="AU573" s="78">
        <f t="shared" si="369"/>
        <v>-2.0600000000000002E-3</v>
      </c>
      <c r="AV573" s="78">
        <f t="shared" si="370"/>
        <v>-2.6199999999999999E-3</v>
      </c>
      <c r="AW573" s="78">
        <f t="shared" si="371"/>
        <v>-7.2000000000000005E-4</v>
      </c>
      <c r="AX573" s="78">
        <f t="shared" si="372"/>
        <v>-1.16E-3</v>
      </c>
      <c r="AY573" s="78">
        <f t="shared" si="373"/>
        <v>1.0000000000000001E-5</v>
      </c>
      <c r="AZ573" s="78">
        <f t="shared" si="374"/>
        <v>-8.0999999999999996E-4</v>
      </c>
      <c r="BA573" s="78">
        <f t="shared" si="375"/>
        <v>-1.5100000000000001E-3</v>
      </c>
      <c r="BB573" s="78">
        <f t="shared" si="376"/>
        <v>-1.06E-3</v>
      </c>
      <c r="BC573" s="78">
        <f t="shared" si="377"/>
        <v>-4.0999999999999999E-4</v>
      </c>
      <c r="BD573" s="78">
        <f t="shared" si="378"/>
        <v>-2.0000000000000001E-4</v>
      </c>
      <c r="BE573" s="78">
        <f t="shared" si="379"/>
        <v>-2.0000000000000001E-4</v>
      </c>
      <c r="BF573" s="78">
        <f t="shared" si="380"/>
        <v>-2.0000000000000001E-4</v>
      </c>
      <c r="BG573" s="78">
        <f t="shared" si="381"/>
        <v>-2.0000000000000001E-4</v>
      </c>
      <c r="BH573" s="78">
        <f t="shared" si="382"/>
        <v>-2.0000000000000001E-4</v>
      </c>
      <c r="BI573" s="78">
        <f t="shared" si="383"/>
        <v>-2.0000000000000001E-4</v>
      </c>
      <c r="BJ573" s="78">
        <f t="shared" si="384"/>
        <v>-2.0000000000000001E-4</v>
      </c>
      <c r="BK573" s="78">
        <f t="shared" si="385"/>
        <v>-2.0000000000000001E-4</v>
      </c>
      <c r="BL573" s="78">
        <f t="shared" si="386"/>
        <v>-2.0000000000000001E-4</v>
      </c>
      <c r="BM573" s="78">
        <f t="shared" si="387"/>
        <v>-2.0000000000000001E-4</v>
      </c>
      <c r="BN573" s="78">
        <f t="shared" si="388"/>
        <v>-2.0000000000000001E-4</v>
      </c>
      <c r="BO573" s="78">
        <f t="shared" si="389"/>
        <v>-2.0000000000000001E-4</v>
      </c>
      <c r="BP573" s="78">
        <f t="shared" si="390"/>
        <v>-2.0000000000000001E-4</v>
      </c>
      <c r="BQ573" s="78">
        <f t="shared" si="391"/>
        <v>-2.0000000000000001E-4</v>
      </c>
      <c r="BR573" s="78">
        <f t="shared" si="392"/>
        <v>-2.0000000000000001E-4</v>
      </c>
      <c r="BS573" s="77"/>
      <c r="BT573" s="77"/>
    </row>
    <row r="574" spans="1:72" ht="14.1" customHeight="1" x14ac:dyDescent="0.2">
      <c r="A574" s="55" t="str">
        <f t="shared" si="363"/>
        <v>DS-6 (DS-4) Temp. Sensitive DS_Supply Balancing Adjustment</v>
      </c>
      <c r="B574" s="80" t="s">
        <v>645</v>
      </c>
      <c r="C574" s="71" t="s">
        <v>905</v>
      </c>
      <c r="D574" s="150"/>
      <c r="E574" s="81"/>
      <c r="F574" s="73" t="s">
        <v>640</v>
      </c>
      <c r="G574" s="73">
        <v>0</v>
      </c>
      <c r="H574" s="73">
        <v>6</v>
      </c>
      <c r="I574" s="74" t="s">
        <v>641</v>
      </c>
      <c r="J574" s="75" t="s">
        <v>634</v>
      </c>
      <c r="K574" s="74"/>
      <c r="L574" s="82">
        <v>2.0200000000000001E-3</v>
      </c>
      <c r="M574" s="138">
        <v>-2.0600000000000002E-3</v>
      </c>
      <c r="N574" s="138">
        <v>-2.6199999999999999E-3</v>
      </c>
      <c r="O574" s="138">
        <v>-7.2000000000000005E-4</v>
      </c>
      <c r="P574" s="138">
        <v>-1.16E-3</v>
      </c>
      <c r="Q574" s="138">
        <v>1.0000000000000001E-5</v>
      </c>
      <c r="R574" s="138">
        <v>-8.0999999999999996E-4</v>
      </c>
      <c r="S574" s="138">
        <v>-1.5100000000000001E-3</v>
      </c>
      <c r="T574" s="138">
        <v>-1.06E-3</v>
      </c>
      <c r="U574" s="138">
        <v>-4.0999999999999999E-4</v>
      </c>
      <c r="V574" s="138">
        <v>-2.0000000000000001E-4</v>
      </c>
      <c r="W574" s="138">
        <v>-2.0000000000000001E-4</v>
      </c>
      <c r="X574" s="138">
        <v>-2.0000000000000001E-4</v>
      </c>
      <c r="Y574" s="138">
        <f t="shared" si="393"/>
        <v>-2.0000000000000001E-4</v>
      </c>
      <c r="Z574" s="138">
        <f t="shared" si="394"/>
        <v>-2.0000000000000001E-4</v>
      </c>
      <c r="AA574" s="138">
        <f t="shared" si="395"/>
        <v>-2.0000000000000001E-4</v>
      </c>
      <c r="AB574" s="138">
        <f t="shared" si="396"/>
        <v>-2.0000000000000001E-4</v>
      </c>
      <c r="AC574" s="138">
        <f t="shared" si="397"/>
        <v>-2.0000000000000001E-4</v>
      </c>
      <c r="AD574" s="138">
        <f t="shared" si="398"/>
        <v>-2.0000000000000001E-4</v>
      </c>
      <c r="AE574" s="138">
        <f t="shared" si="399"/>
        <v>-2.0000000000000001E-4</v>
      </c>
      <c r="AF574" s="138">
        <f t="shared" si="400"/>
        <v>-2.0000000000000001E-4</v>
      </c>
      <c r="AG574" s="138">
        <f t="shared" si="401"/>
        <v>-2.0000000000000001E-4</v>
      </c>
      <c r="AH574" s="138">
        <f t="shared" si="402"/>
        <v>-2.0000000000000001E-4</v>
      </c>
      <c r="AI574" s="138">
        <f t="shared" si="403"/>
        <v>-2.0000000000000001E-4</v>
      </c>
      <c r="AJ574" s="138">
        <f t="shared" si="404"/>
        <v>-2.0000000000000001E-4</v>
      </c>
      <c r="AK574" s="138">
        <f t="shared" si="405"/>
        <v>-2.0000000000000001E-4</v>
      </c>
      <c r="AL574" s="138">
        <f t="shared" si="406"/>
        <v>-2.0000000000000006E-4</v>
      </c>
      <c r="AM574" s="138">
        <f t="shared" si="407"/>
        <v>-4.783333333333337E-4</v>
      </c>
      <c r="AO574" s="77" t="str">
        <f t="shared" si="364"/>
        <v>DS-6 (DS-4) Temp. Sensitive DS</v>
      </c>
      <c r="AP574" s="78" t="s">
        <v>646</v>
      </c>
      <c r="AQ574" s="77" t="str">
        <f t="shared" si="365"/>
        <v>Supply Balancing Adjustment</v>
      </c>
      <c r="AR574" s="78" t="str">
        <f t="shared" si="366"/>
        <v>Prorated</v>
      </c>
      <c r="AS574" s="79">
        <f t="shared" si="367"/>
        <v>6</v>
      </c>
      <c r="AT574" s="78">
        <f t="shared" si="368"/>
        <v>0</v>
      </c>
      <c r="AU574" s="78">
        <f t="shared" si="369"/>
        <v>-2.0600000000000002E-3</v>
      </c>
      <c r="AV574" s="78">
        <f t="shared" si="370"/>
        <v>-2.6199999999999999E-3</v>
      </c>
      <c r="AW574" s="78">
        <f t="shared" si="371"/>
        <v>-7.2000000000000005E-4</v>
      </c>
      <c r="AX574" s="78">
        <f t="shared" si="372"/>
        <v>-1.16E-3</v>
      </c>
      <c r="AY574" s="78">
        <f t="shared" si="373"/>
        <v>1.0000000000000001E-5</v>
      </c>
      <c r="AZ574" s="78">
        <f t="shared" si="374"/>
        <v>-8.0999999999999996E-4</v>
      </c>
      <c r="BA574" s="78">
        <f t="shared" si="375"/>
        <v>-1.5100000000000001E-3</v>
      </c>
      <c r="BB574" s="78">
        <f t="shared" si="376"/>
        <v>-1.06E-3</v>
      </c>
      <c r="BC574" s="78">
        <f t="shared" si="377"/>
        <v>-4.0999999999999999E-4</v>
      </c>
      <c r="BD574" s="78">
        <f t="shared" si="378"/>
        <v>-2.0000000000000001E-4</v>
      </c>
      <c r="BE574" s="78">
        <f t="shared" si="379"/>
        <v>-2.0000000000000001E-4</v>
      </c>
      <c r="BF574" s="78">
        <f t="shared" si="380"/>
        <v>-2.0000000000000001E-4</v>
      </c>
      <c r="BG574" s="78">
        <f t="shared" si="381"/>
        <v>-2.0000000000000001E-4</v>
      </c>
      <c r="BH574" s="78">
        <f t="shared" si="382"/>
        <v>-2.0000000000000001E-4</v>
      </c>
      <c r="BI574" s="78">
        <f t="shared" si="383"/>
        <v>-2.0000000000000001E-4</v>
      </c>
      <c r="BJ574" s="78">
        <f t="shared" si="384"/>
        <v>-2.0000000000000001E-4</v>
      </c>
      <c r="BK574" s="78">
        <f t="shared" si="385"/>
        <v>-2.0000000000000001E-4</v>
      </c>
      <c r="BL574" s="78">
        <f t="shared" si="386"/>
        <v>-2.0000000000000001E-4</v>
      </c>
      <c r="BM574" s="78">
        <f t="shared" si="387"/>
        <v>-2.0000000000000001E-4</v>
      </c>
      <c r="BN574" s="78">
        <f t="shared" si="388"/>
        <v>-2.0000000000000001E-4</v>
      </c>
      <c r="BO574" s="78">
        <f t="shared" si="389"/>
        <v>-2.0000000000000001E-4</v>
      </c>
      <c r="BP574" s="78">
        <f t="shared" si="390"/>
        <v>-2.0000000000000001E-4</v>
      </c>
      <c r="BQ574" s="78">
        <f t="shared" si="391"/>
        <v>-2.0000000000000001E-4</v>
      </c>
      <c r="BR574" s="78">
        <f t="shared" si="392"/>
        <v>-2.0000000000000001E-4</v>
      </c>
      <c r="BS574" s="77"/>
      <c r="BT574" s="77"/>
    </row>
    <row r="575" spans="1:72" ht="14.1" customHeight="1" x14ac:dyDescent="0.2">
      <c r="A575" s="55" t="str">
        <f t="shared" si="363"/>
        <v>DS-3 (General Delivery Service)_Transformation Charge (per KW)</v>
      </c>
      <c r="B575" s="80" t="s">
        <v>666</v>
      </c>
      <c r="C575" s="83" t="s">
        <v>906</v>
      </c>
      <c r="D575" s="150"/>
      <c r="E575" s="81"/>
      <c r="F575" s="73" t="s">
        <v>649</v>
      </c>
      <c r="G575" s="73">
        <v>0</v>
      </c>
      <c r="H575" s="73">
        <v>6</v>
      </c>
      <c r="I575" s="74" t="s">
        <v>641</v>
      </c>
      <c r="J575" s="75" t="s">
        <v>634</v>
      </c>
      <c r="K575" s="74"/>
      <c r="L575" s="82">
        <v>1</v>
      </c>
      <c r="M575" s="138">
        <v>1</v>
      </c>
      <c r="N575" s="138">
        <v>1</v>
      </c>
      <c r="O575" s="138">
        <v>1</v>
      </c>
      <c r="P575" s="138">
        <v>1</v>
      </c>
      <c r="Q575" s="138">
        <v>1</v>
      </c>
      <c r="R575" s="138">
        <v>1</v>
      </c>
      <c r="S575" s="138">
        <v>1</v>
      </c>
      <c r="T575" s="138">
        <v>1</v>
      </c>
      <c r="U575" s="138">
        <v>1</v>
      </c>
      <c r="V575" s="138">
        <v>1</v>
      </c>
      <c r="W575" s="138">
        <v>1</v>
      </c>
      <c r="X575" s="138">
        <v>1</v>
      </c>
      <c r="Y575" s="138">
        <f t="shared" si="393"/>
        <v>1</v>
      </c>
      <c r="Z575" s="138">
        <f t="shared" si="394"/>
        <v>1</v>
      </c>
      <c r="AA575" s="138">
        <f t="shared" si="395"/>
        <v>1</v>
      </c>
      <c r="AB575" s="138">
        <f t="shared" si="396"/>
        <v>1</v>
      </c>
      <c r="AC575" s="138">
        <f t="shared" si="397"/>
        <v>1</v>
      </c>
      <c r="AD575" s="138">
        <f t="shared" si="398"/>
        <v>1</v>
      </c>
      <c r="AE575" s="138">
        <f t="shared" si="399"/>
        <v>1</v>
      </c>
      <c r="AF575" s="138">
        <f t="shared" si="400"/>
        <v>1</v>
      </c>
      <c r="AG575" s="138">
        <f t="shared" si="401"/>
        <v>1</v>
      </c>
      <c r="AH575" s="138">
        <f t="shared" si="402"/>
        <v>1</v>
      </c>
      <c r="AI575" s="138">
        <f t="shared" si="403"/>
        <v>1</v>
      </c>
      <c r="AJ575" s="138">
        <f t="shared" si="404"/>
        <v>1</v>
      </c>
      <c r="AK575" s="138">
        <f t="shared" si="405"/>
        <v>1</v>
      </c>
      <c r="AL575" s="138">
        <f t="shared" si="406"/>
        <v>1</v>
      </c>
      <c r="AM575" s="138">
        <f t="shared" si="407"/>
        <v>1</v>
      </c>
      <c r="AO575" s="77" t="str">
        <f t="shared" si="364"/>
        <v>DS-3 (General Delivery Service)</v>
      </c>
      <c r="AP575" s="78" t="s">
        <v>667</v>
      </c>
      <c r="AQ575" s="77" t="str">
        <f t="shared" si="365"/>
        <v>Transformation Charge (per KW)</v>
      </c>
      <c r="AR575" s="78" t="str">
        <f t="shared" si="366"/>
        <v>Billing Cycle</v>
      </c>
      <c r="AS575" s="79">
        <f t="shared" si="367"/>
        <v>6</v>
      </c>
      <c r="AT575" s="78">
        <f t="shared" si="368"/>
        <v>1</v>
      </c>
      <c r="AU575" s="78">
        <f t="shared" si="369"/>
        <v>1</v>
      </c>
      <c r="AV575" s="78">
        <f t="shared" si="370"/>
        <v>1</v>
      </c>
      <c r="AW575" s="78">
        <f t="shared" si="371"/>
        <v>1</v>
      </c>
      <c r="AX575" s="78">
        <f t="shared" si="372"/>
        <v>1</v>
      </c>
      <c r="AY575" s="78">
        <f t="shared" si="373"/>
        <v>1</v>
      </c>
      <c r="AZ575" s="78">
        <f t="shared" si="374"/>
        <v>1</v>
      </c>
      <c r="BA575" s="78">
        <f t="shared" si="375"/>
        <v>1</v>
      </c>
      <c r="BB575" s="78">
        <f t="shared" si="376"/>
        <v>1</v>
      </c>
      <c r="BC575" s="78">
        <f t="shared" si="377"/>
        <v>1</v>
      </c>
      <c r="BD575" s="78">
        <f t="shared" si="378"/>
        <v>1</v>
      </c>
      <c r="BE575" s="78">
        <f t="shared" si="379"/>
        <v>1</v>
      </c>
      <c r="BF575" s="78">
        <f t="shared" si="380"/>
        <v>1</v>
      </c>
      <c r="BG575" s="78">
        <f t="shared" si="381"/>
        <v>1</v>
      </c>
      <c r="BH575" s="78">
        <f t="shared" si="382"/>
        <v>1</v>
      </c>
      <c r="BI575" s="78">
        <f t="shared" si="383"/>
        <v>1</v>
      </c>
      <c r="BJ575" s="78">
        <f t="shared" si="384"/>
        <v>1</v>
      </c>
      <c r="BK575" s="78">
        <f t="shared" si="385"/>
        <v>1</v>
      </c>
      <c r="BL575" s="78">
        <f t="shared" si="386"/>
        <v>1</v>
      </c>
      <c r="BM575" s="78">
        <f t="shared" si="387"/>
        <v>1</v>
      </c>
      <c r="BN575" s="78">
        <f t="shared" si="388"/>
        <v>1</v>
      </c>
      <c r="BO575" s="78">
        <f t="shared" si="389"/>
        <v>1</v>
      </c>
      <c r="BP575" s="78">
        <f t="shared" si="390"/>
        <v>1</v>
      </c>
      <c r="BQ575" s="78">
        <f t="shared" si="391"/>
        <v>1</v>
      </c>
      <c r="BR575" s="78">
        <f t="shared" si="392"/>
        <v>1</v>
      </c>
      <c r="BS575" s="77"/>
      <c r="BT575" s="77"/>
    </row>
    <row r="576" spans="1:72" ht="14.1" customHeight="1" x14ac:dyDescent="0.2">
      <c r="A576" s="55" t="str">
        <f t="shared" si="363"/>
        <v>DS-4 (Large General Service)_Transformation Charge (per KW)</v>
      </c>
      <c r="B576" s="80" t="s">
        <v>639</v>
      </c>
      <c r="C576" s="83" t="s">
        <v>906</v>
      </c>
      <c r="D576" s="150"/>
      <c r="E576" s="81"/>
      <c r="F576" s="73" t="s">
        <v>649</v>
      </c>
      <c r="G576" s="73">
        <v>0</v>
      </c>
      <c r="H576" s="73">
        <v>6</v>
      </c>
      <c r="I576" s="74" t="s">
        <v>641</v>
      </c>
      <c r="J576" s="75" t="s">
        <v>634</v>
      </c>
      <c r="K576" s="74"/>
      <c r="L576" s="82">
        <v>1</v>
      </c>
      <c r="M576" s="138">
        <v>1</v>
      </c>
      <c r="N576" s="138">
        <v>1</v>
      </c>
      <c r="O576" s="138">
        <v>1</v>
      </c>
      <c r="P576" s="138">
        <v>1</v>
      </c>
      <c r="Q576" s="138">
        <v>1</v>
      </c>
      <c r="R576" s="138">
        <v>1</v>
      </c>
      <c r="S576" s="138">
        <v>1</v>
      </c>
      <c r="T576" s="138">
        <v>1</v>
      </c>
      <c r="U576" s="138">
        <v>1</v>
      </c>
      <c r="V576" s="138">
        <v>1</v>
      </c>
      <c r="W576" s="138">
        <v>1</v>
      </c>
      <c r="X576" s="138">
        <v>1</v>
      </c>
      <c r="Y576" s="138">
        <f t="shared" si="393"/>
        <v>1</v>
      </c>
      <c r="Z576" s="138">
        <f t="shared" si="394"/>
        <v>1</v>
      </c>
      <c r="AA576" s="138">
        <f t="shared" si="395"/>
        <v>1</v>
      </c>
      <c r="AB576" s="138">
        <f t="shared" si="396"/>
        <v>1</v>
      </c>
      <c r="AC576" s="138">
        <f t="shared" si="397"/>
        <v>1</v>
      </c>
      <c r="AD576" s="138">
        <f t="shared" si="398"/>
        <v>1</v>
      </c>
      <c r="AE576" s="138">
        <f t="shared" si="399"/>
        <v>1</v>
      </c>
      <c r="AF576" s="138">
        <f t="shared" si="400"/>
        <v>1</v>
      </c>
      <c r="AG576" s="138">
        <f t="shared" si="401"/>
        <v>1</v>
      </c>
      <c r="AH576" s="138">
        <f t="shared" si="402"/>
        <v>1</v>
      </c>
      <c r="AI576" s="138">
        <f t="shared" si="403"/>
        <v>1</v>
      </c>
      <c r="AJ576" s="138">
        <f t="shared" si="404"/>
        <v>1</v>
      </c>
      <c r="AK576" s="138">
        <f t="shared" si="405"/>
        <v>1</v>
      </c>
      <c r="AL576" s="138">
        <f t="shared" si="406"/>
        <v>1</v>
      </c>
      <c r="AM576" s="138">
        <f t="shared" si="407"/>
        <v>1</v>
      </c>
      <c r="AO576" s="77" t="str">
        <f t="shared" si="364"/>
        <v>DS-4 (Large General Service)</v>
      </c>
      <c r="AP576" s="78" t="s">
        <v>642</v>
      </c>
      <c r="AQ576" s="77" t="str">
        <f t="shared" si="365"/>
        <v>Transformation Charge (per KW)</v>
      </c>
      <c r="AR576" s="78" t="str">
        <f t="shared" si="366"/>
        <v>Billing Cycle</v>
      </c>
      <c r="AS576" s="79">
        <f t="shared" si="367"/>
        <v>6</v>
      </c>
      <c r="AT576" s="78">
        <f t="shared" si="368"/>
        <v>1</v>
      </c>
      <c r="AU576" s="78">
        <f t="shared" si="369"/>
        <v>1</v>
      </c>
      <c r="AV576" s="78">
        <f t="shared" si="370"/>
        <v>1</v>
      </c>
      <c r="AW576" s="78">
        <f t="shared" si="371"/>
        <v>1</v>
      </c>
      <c r="AX576" s="78">
        <f t="shared" si="372"/>
        <v>1</v>
      </c>
      <c r="AY576" s="78">
        <f t="shared" si="373"/>
        <v>1</v>
      </c>
      <c r="AZ576" s="78">
        <f t="shared" si="374"/>
        <v>1</v>
      </c>
      <c r="BA576" s="78">
        <f t="shared" si="375"/>
        <v>1</v>
      </c>
      <c r="BB576" s="78">
        <f t="shared" si="376"/>
        <v>1</v>
      </c>
      <c r="BC576" s="78">
        <f t="shared" si="377"/>
        <v>1</v>
      </c>
      <c r="BD576" s="78">
        <f t="shared" si="378"/>
        <v>1</v>
      </c>
      <c r="BE576" s="78">
        <f t="shared" si="379"/>
        <v>1</v>
      </c>
      <c r="BF576" s="78">
        <f t="shared" si="380"/>
        <v>1</v>
      </c>
      <c r="BG576" s="78">
        <f t="shared" si="381"/>
        <v>1</v>
      </c>
      <c r="BH576" s="78">
        <f t="shared" si="382"/>
        <v>1</v>
      </c>
      <c r="BI576" s="78">
        <f t="shared" si="383"/>
        <v>1</v>
      </c>
      <c r="BJ576" s="78">
        <f t="shared" si="384"/>
        <v>1</v>
      </c>
      <c r="BK576" s="78">
        <f t="shared" si="385"/>
        <v>1</v>
      </c>
      <c r="BL576" s="78">
        <f t="shared" si="386"/>
        <v>1</v>
      </c>
      <c r="BM576" s="78">
        <f t="shared" si="387"/>
        <v>1</v>
      </c>
      <c r="BN576" s="78">
        <f t="shared" si="388"/>
        <v>1</v>
      </c>
      <c r="BO576" s="78">
        <f t="shared" si="389"/>
        <v>1</v>
      </c>
      <c r="BP576" s="78">
        <f t="shared" si="390"/>
        <v>1</v>
      </c>
      <c r="BQ576" s="78">
        <f t="shared" si="391"/>
        <v>1</v>
      </c>
      <c r="BR576" s="78">
        <f t="shared" si="392"/>
        <v>1</v>
      </c>
      <c r="BS576" s="77"/>
      <c r="BT576" s="77"/>
    </row>
    <row r="577" spans="1:72" ht="14.1" customHeight="1" x14ac:dyDescent="0.2">
      <c r="A577" s="55" t="str">
        <f t="shared" si="363"/>
        <v>DS-6 (DS-3) Temp. Sensitive DS_Transformation Charge (per KW)</v>
      </c>
      <c r="B577" s="80" t="s">
        <v>643</v>
      </c>
      <c r="C577" s="83" t="s">
        <v>906</v>
      </c>
      <c r="D577" s="150"/>
      <c r="E577" s="81"/>
      <c r="F577" s="73" t="s">
        <v>649</v>
      </c>
      <c r="G577" s="73">
        <v>0</v>
      </c>
      <c r="H577" s="73">
        <v>6</v>
      </c>
      <c r="I577" s="74" t="s">
        <v>641</v>
      </c>
      <c r="J577" s="75" t="s">
        <v>634</v>
      </c>
      <c r="K577" s="74"/>
      <c r="L577" s="82">
        <v>1</v>
      </c>
      <c r="M577" s="138">
        <v>1</v>
      </c>
      <c r="N577" s="138">
        <v>1</v>
      </c>
      <c r="O577" s="138">
        <v>1</v>
      </c>
      <c r="P577" s="138">
        <v>1</v>
      </c>
      <c r="Q577" s="138">
        <v>1</v>
      </c>
      <c r="R577" s="138">
        <v>1</v>
      </c>
      <c r="S577" s="138">
        <v>1</v>
      </c>
      <c r="T577" s="138">
        <v>1</v>
      </c>
      <c r="U577" s="138">
        <v>1</v>
      </c>
      <c r="V577" s="138">
        <v>1</v>
      </c>
      <c r="W577" s="138">
        <v>1</v>
      </c>
      <c r="X577" s="138">
        <v>1</v>
      </c>
      <c r="Y577" s="138">
        <f t="shared" si="393"/>
        <v>1</v>
      </c>
      <c r="Z577" s="138">
        <f t="shared" si="394"/>
        <v>1</v>
      </c>
      <c r="AA577" s="138">
        <f t="shared" si="395"/>
        <v>1</v>
      </c>
      <c r="AB577" s="138">
        <f t="shared" si="396"/>
        <v>1</v>
      </c>
      <c r="AC577" s="138">
        <f t="shared" si="397"/>
        <v>1</v>
      </c>
      <c r="AD577" s="138">
        <f t="shared" si="398"/>
        <v>1</v>
      </c>
      <c r="AE577" s="138">
        <f t="shared" si="399"/>
        <v>1</v>
      </c>
      <c r="AF577" s="138">
        <f t="shared" si="400"/>
        <v>1</v>
      </c>
      <c r="AG577" s="138">
        <f t="shared" si="401"/>
        <v>1</v>
      </c>
      <c r="AH577" s="138">
        <f t="shared" si="402"/>
        <v>1</v>
      </c>
      <c r="AI577" s="138">
        <f t="shared" si="403"/>
        <v>1</v>
      </c>
      <c r="AJ577" s="138">
        <f t="shared" si="404"/>
        <v>1</v>
      </c>
      <c r="AK577" s="138">
        <f t="shared" si="405"/>
        <v>1</v>
      </c>
      <c r="AL577" s="138">
        <f t="shared" si="406"/>
        <v>1</v>
      </c>
      <c r="AM577" s="138">
        <f t="shared" si="407"/>
        <v>1</v>
      </c>
      <c r="AO577" s="77" t="str">
        <f t="shared" si="364"/>
        <v>DS-6 (DS-3) Temp. Sensitive DS</v>
      </c>
      <c r="AP577" s="78" t="s">
        <v>644</v>
      </c>
      <c r="AQ577" s="77" t="str">
        <f t="shared" si="365"/>
        <v>Transformation Charge (per KW)</v>
      </c>
      <c r="AR577" s="78" t="str">
        <f t="shared" si="366"/>
        <v>Billing Cycle</v>
      </c>
      <c r="AS577" s="79">
        <f t="shared" si="367"/>
        <v>6</v>
      </c>
      <c r="AT577" s="78">
        <f t="shared" si="368"/>
        <v>1</v>
      </c>
      <c r="AU577" s="78">
        <f t="shared" si="369"/>
        <v>1</v>
      </c>
      <c r="AV577" s="78">
        <f t="shared" si="370"/>
        <v>1</v>
      </c>
      <c r="AW577" s="78">
        <f t="shared" si="371"/>
        <v>1</v>
      </c>
      <c r="AX577" s="78">
        <f t="shared" si="372"/>
        <v>1</v>
      </c>
      <c r="AY577" s="78">
        <f t="shared" si="373"/>
        <v>1</v>
      </c>
      <c r="AZ577" s="78">
        <f t="shared" si="374"/>
        <v>1</v>
      </c>
      <c r="BA577" s="78">
        <f t="shared" si="375"/>
        <v>1</v>
      </c>
      <c r="BB577" s="78">
        <f t="shared" si="376"/>
        <v>1</v>
      </c>
      <c r="BC577" s="78">
        <f t="shared" si="377"/>
        <v>1</v>
      </c>
      <c r="BD577" s="78">
        <f t="shared" si="378"/>
        <v>1</v>
      </c>
      <c r="BE577" s="78">
        <f t="shared" si="379"/>
        <v>1</v>
      </c>
      <c r="BF577" s="78">
        <f t="shared" si="380"/>
        <v>1</v>
      </c>
      <c r="BG577" s="78">
        <f t="shared" si="381"/>
        <v>1</v>
      </c>
      <c r="BH577" s="78">
        <f t="shared" si="382"/>
        <v>1</v>
      </c>
      <c r="BI577" s="78">
        <f t="shared" si="383"/>
        <v>1</v>
      </c>
      <c r="BJ577" s="78">
        <f t="shared" si="384"/>
        <v>1</v>
      </c>
      <c r="BK577" s="78">
        <f t="shared" si="385"/>
        <v>1</v>
      </c>
      <c r="BL577" s="78">
        <f t="shared" si="386"/>
        <v>1</v>
      </c>
      <c r="BM577" s="78">
        <f t="shared" si="387"/>
        <v>1</v>
      </c>
      <c r="BN577" s="78">
        <f t="shared" si="388"/>
        <v>1</v>
      </c>
      <c r="BO577" s="78">
        <f t="shared" si="389"/>
        <v>1</v>
      </c>
      <c r="BP577" s="78">
        <f t="shared" si="390"/>
        <v>1</v>
      </c>
      <c r="BQ577" s="78">
        <f t="shared" si="391"/>
        <v>1</v>
      </c>
      <c r="BR577" s="78">
        <f t="shared" si="392"/>
        <v>1</v>
      </c>
      <c r="BS577" s="77"/>
      <c r="BT577" s="77"/>
    </row>
    <row r="578" spans="1:72" ht="14.1" customHeight="1" x14ac:dyDescent="0.2">
      <c r="A578" s="55" t="str">
        <f t="shared" si="363"/>
        <v>DS-6 (DS-4) Temp. Sensitive DS_Transformation Charge (per KW)</v>
      </c>
      <c r="B578" s="80" t="s">
        <v>645</v>
      </c>
      <c r="C578" s="83" t="s">
        <v>906</v>
      </c>
      <c r="D578" s="150"/>
      <c r="E578" s="81"/>
      <c r="F578" s="73" t="s">
        <v>649</v>
      </c>
      <c r="G578" s="73">
        <v>0</v>
      </c>
      <c r="H578" s="73">
        <v>6</v>
      </c>
      <c r="I578" s="74" t="s">
        <v>641</v>
      </c>
      <c r="J578" s="75" t="s">
        <v>634</v>
      </c>
      <c r="K578" s="74"/>
      <c r="L578" s="82">
        <v>1</v>
      </c>
      <c r="M578" s="138">
        <v>1</v>
      </c>
      <c r="N578" s="138">
        <v>1</v>
      </c>
      <c r="O578" s="138">
        <v>1</v>
      </c>
      <c r="P578" s="138">
        <v>1</v>
      </c>
      <c r="Q578" s="138">
        <v>1</v>
      </c>
      <c r="R578" s="138">
        <v>1</v>
      </c>
      <c r="S578" s="138">
        <v>1</v>
      </c>
      <c r="T578" s="138">
        <v>1</v>
      </c>
      <c r="U578" s="138">
        <v>1</v>
      </c>
      <c r="V578" s="138">
        <v>1</v>
      </c>
      <c r="W578" s="138">
        <v>1</v>
      </c>
      <c r="X578" s="138">
        <v>1</v>
      </c>
      <c r="Y578" s="138">
        <f t="shared" si="393"/>
        <v>1</v>
      </c>
      <c r="Z578" s="138">
        <f t="shared" si="394"/>
        <v>1</v>
      </c>
      <c r="AA578" s="138">
        <f t="shared" si="395"/>
        <v>1</v>
      </c>
      <c r="AB578" s="138">
        <f t="shared" si="396"/>
        <v>1</v>
      </c>
      <c r="AC578" s="138">
        <f t="shared" si="397"/>
        <v>1</v>
      </c>
      <c r="AD578" s="138">
        <f t="shared" si="398"/>
        <v>1</v>
      </c>
      <c r="AE578" s="138">
        <f t="shared" si="399"/>
        <v>1</v>
      </c>
      <c r="AF578" s="138">
        <f t="shared" si="400"/>
        <v>1</v>
      </c>
      <c r="AG578" s="138">
        <f t="shared" si="401"/>
        <v>1</v>
      </c>
      <c r="AH578" s="138">
        <f t="shared" si="402"/>
        <v>1</v>
      </c>
      <c r="AI578" s="138">
        <f t="shared" si="403"/>
        <v>1</v>
      </c>
      <c r="AJ578" s="138">
        <f t="shared" si="404"/>
        <v>1</v>
      </c>
      <c r="AK578" s="138">
        <f t="shared" si="405"/>
        <v>1</v>
      </c>
      <c r="AL578" s="138">
        <f t="shared" si="406"/>
        <v>1</v>
      </c>
      <c r="AM578" s="138">
        <f t="shared" si="407"/>
        <v>1</v>
      </c>
      <c r="AO578" s="77" t="str">
        <f t="shared" si="364"/>
        <v>DS-6 (DS-4) Temp. Sensitive DS</v>
      </c>
      <c r="AP578" s="78" t="s">
        <v>646</v>
      </c>
      <c r="AQ578" s="77" t="str">
        <f t="shared" si="365"/>
        <v>Transformation Charge (per KW)</v>
      </c>
      <c r="AR578" s="78" t="str">
        <f t="shared" si="366"/>
        <v>Billing Cycle</v>
      </c>
      <c r="AS578" s="79">
        <f t="shared" si="367"/>
        <v>6</v>
      </c>
      <c r="AT578" s="78">
        <f t="shared" si="368"/>
        <v>1</v>
      </c>
      <c r="AU578" s="78">
        <f t="shared" si="369"/>
        <v>1</v>
      </c>
      <c r="AV578" s="78">
        <f t="shared" si="370"/>
        <v>1</v>
      </c>
      <c r="AW578" s="78">
        <f t="shared" si="371"/>
        <v>1</v>
      </c>
      <c r="AX578" s="78">
        <f t="shared" si="372"/>
        <v>1</v>
      </c>
      <c r="AY578" s="78">
        <f t="shared" si="373"/>
        <v>1</v>
      </c>
      <c r="AZ578" s="78">
        <f t="shared" si="374"/>
        <v>1</v>
      </c>
      <c r="BA578" s="78">
        <f t="shared" si="375"/>
        <v>1</v>
      </c>
      <c r="BB578" s="78">
        <f t="shared" si="376"/>
        <v>1</v>
      </c>
      <c r="BC578" s="78">
        <f t="shared" si="377"/>
        <v>1</v>
      </c>
      <c r="BD578" s="78">
        <f t="shared" si="378"/>
        <v>1</v>
      </c>
      <c r="BE578" s="78">
        <f t="shared" si="379"/>
        <v>1</v>
      </c>
      <c r="BF578" s="78">
        <f t="shared" si="380"/>
        <v>1</v>
      </c>
      <c r="BG578" s="78">
        <f t="shared" si="381"/>
        <v>1</v>
      </c>
      <c r="BH578" s="78">
        <f t="shared" si="382"/>
        <v>1</v>
      </c>
      <c r="BI578" s="78">
        <f t="shared" si="383"/>
        <v>1</v>
      </c>
      <c r="BJ578" s="78">
        <f t="shared" si="384"/>
        <v>1</v>
      </c>
      <c r="BK578" s="78">
        <f t="shared" si="385"/>
        <v>1</v>
      </c>
      <c r="BL578" s="78">
        <f t="shared" si="386"/>
        <v>1</v>
      </c>
      <c r="BM578" s="78">
        <f t="shared" si="387"/>
        <v>1</v>
      </c>
      <c r="BN578" s="78">
        <f t="shared" si="388"/>
        <v>1</v>
      </c>
      <c r="BO578" s="78">
        <f t="shared" si="389"/>
        <v>1</v>
      </c>
      <c r="BP578" s="78">
        <f t="shared" si="390"/>
        <v>1</v>
      </c>
      <c r="BQ578" s="78">
        <f t="shared" si="391"/>
        <v>1</v>
      </c>
      <c r="BR578" s="78">
        <f t="shared" si="392"/>
        <v>1</v>
      </c>
      <c r="BS578" s="77"/>
      <c r="BT578" s="77"/>
    </row>
    <row r="579" spans="1:72" ht="14.1" customHeight="1" x14ac:dyDescent="0.2">
      <c r="A579" s="55" t="str">
        <f t="shared" si="363"/>
        <v>DS-4 (Large General Service)_Transformation Charge (per KW) 100 kv - Rate Zone I</v>
      </c>
      <c r="B579" s="80" t="s">
        <v>639</v>
      </c>
      <c r="C579" s="83" t="s">
        <v>907</v>
      </c>
      <c r="D579" s="150"/>
      <c r="E579" s="81"/>
      <c r="F579" s="73" t="s">
        <v>649</v>
      </c>
      <c r="G579" s="73">
        <v>0</v>
      </c>
      <c r="H579" s="73">
        <v>6</v>
      </c>
      <c r="I579" s="74" t="s">
        <v>641</v>
      </c>
      <c r="J579" s="75" t="s">
        <v>634</v>
      </c>
      <c r="K579" s="74"/>
      <c r="L579" s="82">
        <v>0</v>
      </c>
      <c r="M579" s="138">
        <v>0</v>
      </c>
      <c r="N579" s="138">
        <v>0</v>
      </c>
      <c r="O579" s="138">
        <v>0</v>
      </c>
      <c r="P579" s="138">
        <v>0</v>
      </c>
      <c r="Q579" s="138">
        <v>0</v>
      </c>
      <c r="R579" s="138">
        <v>0</v>
      </c>
      <c r="S579" s="138">
        <v>0</v>
      </c>
      <c r="T579" s="138">
        <v>0</v>
      </c>
      <c r="U579" s="138">
        <v>0</v>
      </c>
      <c r="V579" s="138">
        <v>0</v>
      </c>
      <c r="W579" s="138">
        <v>0</v>
      </c>
      <c r="X579" s="138">
        <v>0</v>
      </c>
      <c r="Y579" s="138">
        <f t="shared" si="393"/>
        <v>0</v>
      </c>
      <c r="Z579" s="138">
        <f t="shared" si="394"/>
        <v>0</v>
      </c>
      <c r="AA579" s="138">
        <f t="shared" si="395"/>
        <v>0</v>
      </c>
      <c r="AB579" s="138">
        <f t="shared" si="396"/>
        <v>0</v>
      </c>
      <c r="AC579" s="138">
        <f t="shared" si="397"/>
        <v>0</v>
      </c>
      <c r="AD579" s="138">
        <f t="shared" si="398"/>
        <v>0</v>
      </c>
      <c r="AE579" s="138">
        <f t="shared" si="399"/>
        <v>0</v>
      </c>
      <c r="AF579" s="138">
        <f t="shared" si="400"/>
        <v>0</v>
      </c>
      <c r="AG579" s="138">
        <f t="shared" si="401"/>
        <v>0</v>
      </c>
      <c r="AH579" s="138">
        <f t="shared" si="402"/>
        <v>0</v>
      </c>
      <c r="AI579" s="138">
        <f t="shared" si="403"/>
        <v>0</v>
      </c>
      <c r="AJ579" s="138">
        <f t="shared" si="404"/>
        <v>0</v>
      </c>
      <c r="AK579" s="138">
        <f t="shared" si="405"/>
        <v>0</v>
      </c>
      <c r="AL579" s="138">
        <f t="shared" si="406"/>
        <v>0</v>
      </c>
      <c r="AM579" s="138">
        <f t="shared" si="407"/>
        <v>0</v>
      </c>
      <c r="AO579" s="77" t="str">
        <f t="shared" si="364"/>
        <v>DS-4 (Large General Service)</v>
      </c>
      <c r="AP579" s="78" t="s">
        <v>642</v>
      </c>
      <c r="AQ579" s="77" t="str">
        <f t="shared" si="365"/>
        <v>Transformation Charge (per KW) 100 kv - Rate Zone I</v>
      </c>
      <c r="AR579" s="78" t="str">
        <f t="shared" si="366"/>
        <v>Billing Cycle</v>
      </c>
      <c r="AS579" s="79">
        <f t="shared" si="367"/>
        <v>6</v>
      </c>
      <c r="AT579" s="78">
        <f t="shared" si="368"/>
        <v>0</v>
      </c>
      <c r="AU579" s="78">
        <f t="shared" si="369"/>
        <v>0</v>
      </c>
      <c r="AV579" s="78">
        <f t="shared" si="370"/>
        <v>0</v>
      </c>
      <c r="AW579" s="78">
        <f t="shared" si="371"/>
        <v>0</v>
      </c>
      <c r="AX579" s="78">
        <f t="shared" si="372"/>
        <v>0</v>
      </c>
      <c r="AY579" s="78">
        <f t="shared" si="373"/>
        <v>0</v>
      </c>
      <c r="AZ579" s="78">
        <f t="shared" si="374"/>
        <v>0</v>
      </c>
      <c r="BA579" s="78">
        <f t="shared" si="375"/>
        <v>0</v>
      </c>
      <c r="BB579" s="78">
        <f t="shared" si="376"/>
        <v>0</v>
      </c>
      <c r="BC579" s="78">
        <f t="shared" si="377"/>
        <v>0</v>
      </c>
      <c r="BD579" s="78">
        <f t="shared" si="378"/>
        <v>0</v>
      </c>
      <c r="BE579" s="78">
        <f t="shared" si="379"/>
        <v>0</v>
      </c>
      <c r="BF579" s="78">
        <f t="shared" si="380"/>
        <v>0</v>
      </c>
      <c r="BG579" s="78">
        <f t="shared" si="381"/>
        <v>0</v>
      </c>
      <c r="BH579" s="78">
        <f t="shared" si="382"/>
        <v>0</v>
      </c>
      <c r="BI579" s="78">
        <f t="shared" si="383"/>
        <v>0</v>
      </c>
      <c r="BJ579" s="78">
        <f t="shared" si="384"/>
        <v>0</v>
      </c>
      <c r="BK579" s="78">
        <f t="shared" si="385"/>
        <v>0</v>
      </c>
      <c r="BL579" s="78">
        <f t="shared" si="386"/>
        <v>0</v>
      </c>
      <c r="BM579" s="78">
        <f t="shared" si="387"/>
        <v>0</v>
      </c>
      <c r="BN579" s="78">
        <f t="shared" si="388"/>
        <v>0</v>
      </c>
      <c r="BO579" s="78">
        <f t="shared" si="389"/>
        <v>0</v>
      </c>
      <c r="BP579" s="78">
        <f t="shared" si="390"/>
        <v>0</v>
      </c>
      <c r="BQ579" s="78">
        <f t="shared" si="391"/>
        <v>0</v>
      </c>
      <c r="BR579" s="78">
        <f t="shared" si="392"/>
        <v>0</v>
      </c>
      <c r="BS579" s="77"/>
      <c r="BT579" s="77"/>
    </row>
    <row r="580" spans="1:72" ht="14.1" customHeight="1" x14ac:dyDescent="0.2">
      <c r="A580" s="55" t="str">
        <f t="shared" si="363"/>
        <v>DS-4 (Large General Service)_Transformation Charge (per KW) 100 kv - Rate Zone II</v>
      </c>
      <c r="B580" s="80" t="s">
        <v>639</v>
      </c>
      <c r="C580" s="83" t="s">
        <v>908</v>
      </c>
      <c r="D580" s="150"/>
      <c r="E580" s="81"/>
      <c r="F580" s="73" t="s">
        <v>649</v>
      </c>
      <c r="G580" s="73">
        <v>0</v>
      </c>
      <c r="H580" s="73">
        <v>6</v>
      </c>
      <c r="I580" s="74" t="s">
        <v>641</v>
      </c>
      <c r="J580" s="75" t="s">
        <v>634</v>
      </c>
      <c r="K580" s="74"/>
      <c r="L580" s="82">
        <v>0</v>
      </c>
      <c r="M580" s="138">
        <v>0</v>
      </c>
      <c r="N580" s="138">
        <v>0</v>
      </c>
      <c r="O580" s="138">
        <v>0</v>
      </c>
      <c r="P580" s="138">
        <v>0</v>
      </c>
      <c r="Q580" s="138">
        <v>0</v>
      </c>
      <c r="R580" s="138">
        <v>0</v>
      </c>
      <c r="S580" s="138">
        <v>0</v>
      </c>
      <c r="T580" s="138">
        <v>0</v>
      </c>
      <c r="U580" s="138">
        <v>0</v>
      </c>
      <c r="V580" s="138">
        <v>0</v>
      </c>
      <c r="W580" s="138">
        <v>0</v>
      </c>
      <c r="X580" s="138">
        <v>0</v>
      </c>
      <c r="Y580" s="138">
        <f t="shared" si="393"/>
        <v>0</v>
      </c>
      <c r="Z580" s="138">
        <f t="shared" si="394"/>
        <v>0</v>
      </c>
      <c r="AA580" s="138">
        <f t="shared" si="395"/>
        <v>0</v>
      </c>
      <c r="AB580" s="138">
        <f t="shared" si="396"/>
        <v>0</v>
      </c>
      <c r="AC580" s="138">
        <f t="shared" si="397"/>
        <v>0</v>
      </c>
      <c r="AD580" s="138">
        <f t="shared" si="398"/>
        <v>0</v>
      </c>
      <c r="AE580" s="138">
        <f t="shared" si="399"/>
        <v>0</v>
      </c>
      <c r="AF580" s="138">
        <f t="shared" si="400"/>
        <v>0</v>
      </c>
      <c r="AG580" s="138">
        <f t="shared" si="401"/>
        <v>0</v>
      </c>
      <c r="AH580" s="138">
        <f t="shared" si="402"/>
        <v>0</v>
      </c>
      <c r="AI580" s="138">
        <f t="shared" si="403"/>
        <v>0</v>
      </c>
      <c r="AJ580" s="138">
        <f t="shared" si="404"/>
        <v>0</v>
      </c>
      <c r="AK580" s="138">
        <f t="shared" si="405"/>
        <v>0</v>
      </c>
      <c r="AL580" s="138">
        <f t="shared" si="406"/>
        <v>0</v>
      </c>
      <c r="AM580" s="138">
        <f t="shared" si="407"/>
        <v>0</v>
      </c>
      <c r="AO580" s="77" t="str">
        <f t="shared" si="364"/>
        <v>DS-4 (Large General Service)</v>
      </c>
      <c r="AP580" s="78" t="s">
        <v>642</v>
      </c>
      <c r="AQ580" s="77" t="str">
        <f t="shared" si="365"/>
        <v>Transformation Charge (per KW) 100 kv - Rate Zone II</v>
      </c>
      <c r="AR580" s="78" t="str">
        <f t="shared" si="366"/>
        <v>Billing Cycle</v>
      </c>
      <c r="AS580" s="79">
        <f t="shared" si="367"/>
        <v>6</v>
      </c>
      <c r="AT580" s="78">
        <f t="shared" si="368"/>
        <v>0</v>
      </c>
      <c r="AU580" s="78">
        <f t="shared" si="369"/>
        <v>0</v>
      </c>
      <c r="AV580" s="78">
        <f t="shared" si="370"/>
        <v>0</v>
      </c>
      <c r="AW580" s="78">
        <f t="shared" si="371"/>
        <v>0</v>
      </c>
      <c r="AX580" s="78">
        <f t="shared" si="372"/>
        <v>0</v>
      </c>
      <c r="AY580" s="78">
        <f t="shared" si="373"/>
        <v>0</v>
      </c>
      <c r="AZ580" s="78">
        <f t="shared" si="374"/>
        <v>0</v>
      </c>
      <c r="BA580" s="78">
        <f t="shared" si="375"/>
        <v>0</v>
      </c>
      <c r="BB580" s="78">
        <f t="shared" si="376"/>
        <v>0</v>
      </c>
      <c r="BC580" s="78">
        <f t="shared" si="377"/>
        <v>0</v>
      </c>
      <c r="BD580" s="78">
        <f t="shared" si="378"/>
        <v>0</v>
      </c>
      <c r="BE580" s="78">
        <f t="shared" si="379"/>
        <v>0</v>
      </c>
      <c r="BF580" s="78">
        <f t="shared" si="380"/>
        <v>0</v>
      </c>
      <c r="BG580" s="78">
        <f t="shared" si="381"/>
        <v>0</v>
      </c>
      <c r="BH580" s="78">
        <f t="shared" si="382"/>
        <v>0</v>
      </c>
      <c r="BI580" s="78">
        <f t="shared" si="383"/>
        <v>0</v>
      </c>
      <c r="BJ580" s="78">
        <f t="shared" si="384"/>
        <v>0</v>
      </c>
      <c r="BK580" s="78">
        <f t="shared" si="385"/>
        <v>0</v>
      </c>
      <c r="BL580" s="78">
        <f t="shared" si="386"/>
        <v>0</v>
      </c>
      <c r="BM580" s="78">
        <f t="shared" si="387"/>
        <v>0</v>
      </c>
      <c r="BN580" s="78">
        <f t="shared" si="388"/>
        <v>0</v>
      </c>
      <c r="BO580" s="78">
        <f t="shared" si="389"/>
        <v>0</v>
      </c>
      <c r="BP580" s="78">
        <f t="shared" si="390"/>
        <v>0</v>
      </c>
      <c r="BQ580" s="78">
        <f t="shared" si="391"/>
        <v>0</v>
      </c>
      <c r="BR580" s="78">
        <f t="shared" si="392"/>
        <v>0</v>
      </c>
      <c r="BS580" s="77"/>
      <c r="BT580" s="77"/>
    </row>
    <row r="581" spans="1:72" ht="14.1" customHeight="1" x14ac:dyDescent="0.2">
      <c r="A581" s="55" t="str">
        <f t="shared" si="363"/>
        <v>DS-4 (Large General Service)_Transformation Charge (per KW) 100 kv - Rate Zone III</v>
      </c>
      <c r="B581" s="80" t="s">
        <v>639</v>
      </c>
      <c r="C581" s="83" t="s">
        <v>909</v>
      </c>
      <c r="D581" s="150"/>
      <c r="E581" s="81"/>
      <c r="F581" s="73" t="s">
        <v>649</v>
      </c>
      <c r="G581" s="73">
        <v>0</v>
      </c>
      <c r="H581" s="73">
        <v>6</v>
      </c>
      <c r="I581" s="74" t="s">
        <v>641</v>
      </c>
      <c r="J581" s="75" t="s">
        <v>634</v>
      </c>
      <c r="K581" s="74"/>
      <c r="L581" s="82">
        <v>0</v>
      </c>
      <c r="M581" s="138">
        <v>0</v>
      </c>
      <c r="N581" s="138">
        <v>0</v>
      </c>
      <c r="O581" s="138">
        <v>0</v>
      </c>
      <c r="P581" s="138">
        <v>0</v>
      </c>
      <c r="Q581" s="138">
        <v>0</v>
      </c>
      <c r="R581" s="138">
        <v>0</v>
      </c>
      <c r="S581" s="138">
        <v>0</v>
      </c>
      <c r="T581" s="138">
        <v>0</v>
      </c>
      <c r="U581" s="138">
        <v>0</v>
      </c>
      <c r="V581" s="138">
        <v>0</v>
      </c>
      <c r="W581" s="138">
        <v>0</v>
      </c>
      <c r="X581" s="138">
        <v>0</v>
      </c>
      <c r="Y581" s="138">
        <f t="shared" si="393"/>
        <v>0</v>
      </c>
      <c r="Z581" s="138">
        <f t="shared" si="394"/>
        <v>0</v>
      </c>
      <c r="AA581" s="138">
        <f t="shared" si="395"/>
        <v>0</v>
      </c>
      <c r="AB581" s="138">
        <f t="shared" si="396"/>
        <v>0</v>
      </c>
      <c r="AC581" s="138">
        <f t="shared" si="397"/>
        <v>0</v>
      </c>
      <c r="AD581" s="138">
        <f t="shared" si="398"/>
        <v>0</v>
      </c>
      <c r="AE581" s="138">
        <f t="shared" si="399"/>
        <v>0</v>
      </c>
      <c r="AF581" s="138">
        <f t="shared" si="400"/>
        <v>0</v>
      </c>
      <c r="AG581" s="138">
        <f t="shared" si="401"/>
        <v>0</v>
      </c>
      <c r="AH581" s="138">
        <f t="shared" si="402"/>
        <v>0</v>
      </c>
      <c r="AI581" s="138">
        <f t="shared" si="403"/>
        <v>0</v>
      </c>
      <c r="AJ581" s="138">
        <f t="shared" si="404"/>
        <v>0</v>
      </c>
      <c r="AK581" s="138">
        <f t="shared" si="405"/>
        <v>0</v>
      </c>
      <c r="AL581" s="138">
        <f t="shared" si="406"/>
        <v>0</v>
      </c>
      <c r="AM581" s="138">
        <f t="shared" si="407"/>
        <v>0</v>
      </c>
      <c r="AO581" s="77" t="str">
        <f t="shared" si="364"/>
        <v>DS-4 (Large General Service)</v>
      </c>
      <c r="AP581" s="78" t="s">
        <v>642</v>
      </c>
      <c r="AQ581" s="77" t="str">
        <f t="shared" si="365"/>
        <v>Transformation Charge (per KW) 100 kv - Rate Zone III</v>
      </c>
      <c r="AR581" s="78" t="str">
        <f t="shared" si="366"/>
        <v>Billing Cycle</v>
      </c>
      <c r="AS581" s="79">
        <f t="shared" si="367"/>
        <v>6</v>
      </c>
      <c r="AT581" s="78">
        <f t="shared" si="368"/>
        <v>0</v>
      </c>
      <c r="AU581" s="78">
        <f t="shared" si="369"/>
        <v>0</v>
      </c>
      <c r="AV581" s="78">
        <f t="shared" si="370"/>
        <v>0</v>
      </c>
      <c r="AW581" s="78">
        <f t="shared" si="371"/>
        <v>0</v>
      </c>
      <c r="AX581" s="78">
        <f t="shared" si="372"/>
        <v>0</v>
      </c>
      <c r="AY581" s="78">
        <f t="shared" si="373"/>
        <v>0</v>
      </c>
      <c r="AZ581" s="78">
        <f t="shared" si="374"/>
        <v>0</v>
      </c>
      <c r="BA581" s="78">
        <f t="shared" si="375"/>
        <v>0</v>
      </c>
      <c r="BB581" s="78">
        <f t="shared" si="376"/>
        <v>0</v>
      </c>
      <c r="BC581" s="78">
        <f t="shared" si="377"/>
        <v>0</v>
      </c>
      <c r="BD581" s="78">
        <f t="shared" si="378"/>
        <v>0</v>
      </c>
      <c r="BE581" s="78">
        <f t="shared" si="379"/>
        <v>0</v>
      </c>
      <c r="BF581" s="78">
        <f t="shared" si="380"/>
        <v>0</v>
      </c>
      <c r="BG581" s="78">
        <f t="shared" si="381"/>
        <v>0</v>
      </c>
      <c r="BH581" s="78">
        <f t="shared" si="382"/>
        <v>0</v>
      </c>
      <c r="BI581" s="78">
        <f t="shared" si="383"/>
        <v>0</v>
      </c>
      <c r="BJ581" s="78">
        <f t="shared" si="384"/>
        <v>0</v>
      </c>
      <c r="BK581" s="78">
        <f t="shared" si="385"/>
        <v>0</v>
      </c>
      <c r="BL581" s="78">
        <f t="shared" si="386"/>
        <v>0</v>
      </c>
      <c r="BM581" s="78">
        <f t="shared" si="387"/>
        <v>0</v>
      </c>
      <c r="BN581" s="78">
        <f t="shared" si="388"/>
        <v>0</v>
      </c>
      <c r="BO581" s="78">
        <f t="shared" si="389"/>
        <v>0</v>
      </c>
      <c r="BP581" s="78">
        <f t="shared" si="390"/>
        <v>0</v>
      </c>
      <c r="BQ581" s="78">
        <f t="shared" si="391"/>
        <v>0</v>
      </c>
      <c r="BR581" s="78">
        <f t="shared" si="392"/>
        <v>0</v>
      </c>
      <c r="BS581" s="77"/>
      <c r="BT581" s="77"/>
    </row>
    <row r="582" spans="1:72" ht="14.1" customHeight="1" x14ac:dyDescent="0.2">
      <c r="A582" s="55" t="str">
        <f t="shared" ref="A582:A645" si="408">B582&amp;"_"&amp;C582</f>
        <v>GDS-1 (Residential)_Unsubscribed Bank Capacity Charge (UBCC)</v>
      </c>
      <c r="B582" s="80" t="s">
        <v>95</v>
      </c>
      <c r="C582" s="83" t="s">
        <v>910</v>
      </c>
      <c r="D582" s="150" t="s">
        <v>603</v>
      </c>
      <c r="E582" s="81"/>
      <c r="F582" s="84" t="s">
        <v>640</v>
      </c>
      <c r="G582" s="84">
        <v>0</v>
      </c>
      <c r="H582" s="84">
        <v>5</v>
      </c>
      <c r="I582" s="74" t="s">
        <v>699</v>
      </c>
      <c r="J582" s="75" t="s">
        <v>911</v>
      </c>
      <c r="K582" s="74"/>
      <c r="L582" s="82">
        <v>1.61E-2</v>
      </c>
      <c r="M582" s="138">
        <v>1.61E-2</v>
      </c>
      <c r="N582" s="138">
        <v>1.61E-2</v>
      </c>
      <c r="O582" s="138">
        <v>1.61E-2</v>
      </c>
      <c r="P582" s="138">
        <v>1.61E-2</v>
      </c>
      <c r="Q582" s="138">
        <v>2.06E-2</v>
      </c>
      <c r="R582" s="138">
        <v>2.06E-2</v>
      </c>
      <c r="S582" s="138">
        <v>2.06E-2</v>
      </c>
      <c r="T582" s="138">
        <v>2.06E-2</v>
      </c>
      <c r="U582" s="138">
        <v>2.06E-2</v>
      </c>
      <c r="V582" s="138">
        <v>2.06E-2</v>
      </c>
      <c r="W582" s="138">
        <v>2.06E-2</v>
      </c>
      <c r="X582" s="138">
        <v>2.06E-2</v>
      </c>
      <c r="Y582" s="138">
        <f t="shared" si="393"/>
        <v>2.06E-2</v>
      </c>
      <c r="Z582" s="138">
        <f t="shared" si="394"/>
        <v>2.06E-2</v>
      </c>
      <c r="AA582" s="138">
        <f t="shared" si="395"/>
        <v>2.06E-2</v>
      </c>
      <c r="AB582" s="138">
        <f t="shared" si="396"/>
        <v>2.06E-2</v>
      </c>
      <c r="AC582" s="138">
        <f t="shared" si="397"/>
        <v>2.06E-2</v>
      </c>
      <c r="AD582" s="138">
        <f t="shared" si="398"/>
        <v>2.06E-2</v>
      </c>
      <c r="AE582" s="138">
        <f t="shared" si="399"/>
        <v>2.06E-2</v>
      </c>
      <c r="AF582" s="138">
        <f t="shared" si="400"/>
        <v>2.06E-2</v>
      </c>
      <c r="AG582" s="138">
        <f t="shared" si="401"/>
        <v>2.06E-2</v>
      </c>
      <c r="AH582" s="138">
        <f t="shared" si="402"/>
        <v>2.06E-2</v>
      </c>
      <c r="AI582" s="138">
        <f t="shared" si="403"/>
        <v>2.06E-2</v>
      </c>
      <c r="AJ582" s="138">
        <f t="shared" si="404"/>
        <v>2.06E-2</v>
      </c>
      <c r="AK582" s="138">
        <f t="shared" si="405"/>
        <v>2.06E-2</v>
      </c>
      <c r="AL582" s="138">
        <f t="shared" si="406"/>
        <v>2.0600000000000004E-2</v>
      </c>
      <c r="AM582" s="138">
        <f t="shared" si="407"/>
        <v>2.0037500000000003E-2</v>
      </c>
      <c r="AO582" s="77" t="str">
        <f t="shared" ref="AO582:AO645" si="409">IF(B582="","",B582)</f>
        <v>GDS-1 (Residential)</v>
      </c>
      <c r="AP582" s="78" t="s">
        <v>668</v>
      </c>
      <c r="AQ582" s="77" t="str">
        <f t="shared" ref="AQ582:AQ645" si="410">IF(B582="","",C582)</f>
        <v>Unsubscribed Bank Capacity Charge (UBCC)</v>
      </c>
      <c r="AR582" s="78" t="str">
        <f t="shared" ref="AR582:AR634" si="411">IF(B582="","",F582)</f>
        <v>Prorated</v>
      </c>
      <c r="AS582" s="79">
        <f t="shared" ref="AS582:AS634" si="412">IF(B582="","",H582)</f>
        <v>5</v>
      </c>
      <c r="AT582" s="78">
        <f t="shared" ref="AT582:AT634" si="413">IF(B582="","",ROUND(L582,$H$6))</f>
        <v>0</v>
      </c>
      <c r="AU582" s="78">
        <f t="shared" ref="AU582:AU634" si="414">IF($B582="","",ROUND(IF(M582="",AT582,M582),$H582))</f>
        <v>1.61E-2</v>
      </c>
      <c r="AV582" s="78">
        <f t="shared" ref="AV582:AV634" si="415">IF($B582="","",ROUND(IF(N582="",AU582,N582),$H582))</f>
        <v>1.61E-2</v>
      </c>
      <c r="AW582" s="78">
        <f t="shared" ref="AW582:AW634" si="416">IF($B582="","",ROUND(IF(O582="",AV582,O582),$H582))</f>
        <v>1.61E-2</v>
      </c>
      <c r="AX582" s="78">
        <f t="shared" ref="AX582:AX634" si="417">IF($B582="","",ROUND(IF(P582="",AW582,P582),$H582))</f>
        <v>1.61E-2</v>
      </c>
      <c r="AY582" s="78">
        <f t="shared" ref="AY582:AY634" si="418">IF($B582="","",ROUND(IF(Q582="",AX582,Q582),$H582))</f>
        <v>2.06E-2</v>
      </c>
      <c r="AZ582" s="78">
        <f t="shared" ref="AZ582:AZ634" si="419">IF($B582="","",ROUND(IF(R582="",AY582,R582),$H582))</f>
        <v>2.06E-2</v>
      </c>
      <c r="BA582" s="78">
        <f t="shared" ref="BA582:BA634" si="420">IF($B582="","",ROUND(IF(S582="",AZ582,S582),$H582))</f>
        <v>2.06E-2</v>
      </c>
      <c r="BB582" s="78">
        <f t="shared" ref="BB582:BB634" si="421">IF($B582="","",ROUND(IF(T582="",BA582,T582),$H582))</f>
        <v>2.06E-2</v>
      </c>
      <c r="BC582" s="78">
        <f t="shared" ref="BC582:BC634" si="422">IF($B582="","",ROUND(IF(U582="",BB582,U582),$H582))</f>
        <v>2.06E-2</v>
      </c>
      <c r="BD582" s="78">
        <f t="shared" ref="BD582:BD634" si="423">IF($B582="","",ROUND(IF(V582="",BC582,V582),$H582))</f>
        <v>2.06E-2</v>
      </c>
      <c r="BE582" s="78">
        <f t="shared" ref="BE582:BE634" si="424">IF($B582="","",ROUND(IF(W582="",BD582,W582),$H582))</f>
        <v>2.06E-2</v>
      </c>
      <c r="BF582" s="78">
        <f t="shared" ref="BF582:BF634" si="425">IF($B582="","",ROUND(IF(X582="",BE582,X582),$H582))</f>
        <v>2.06E-2</v>
      </c>
      <c r="BG582" s="78">
        <f t="shared" ref="BG582:BG634" si="426">IF($B582="","",ROUND(IF(Y582="",BF582,Y582),$H582))</f>
        <v>2.06E-2</v>
      </c>
      <c r="BH582" s="78">
        <f t="shared" ref="BH582:BH634" si="427">IF($B582="","",ROUND(IF(Z582="",BG582,Z582),$H582))</f>
        <v>2.06E-2</v>
      </c>
      <c r="BI582" s="78">
        <f t="shared" ref="BI582:BI634" si="428">IF($B582="","",ROUND(IF(AA582="",BH582,AA582),$H582))</f>
        <v>2.06E-2</v>
      </c>
      <c r="BJ582" s="78">
        <f t="shared" ref="BJ582:BJ634" si="429">IF($B582="","",ROUND(IF(AB582="",BI582,AB582),$H582))</f>
        <v>2.06E-2</v>
      </c>
      <c r="BK582" s="78">
        <f t="shared" ref="BK582:BK634" si="430">IF($B582="","",ROUND(IF(AC582="",BJ582,AC582),$H582))</f>
        <v>2.06E-2</v>
      </c>
      <c r="BL582" s="78">
        <f t="shared" ref="BL582:BL634" si="431">IF($B582="","",ROUND(IF(AD582="",BK582,AD582),$H582))</f>
        <v>2.06E-2</v>
      </c>
      <c r="BM582" s="78">
        <f t="shared" ref="BM582:BM634" si="432">IF($B582="","",ROUND(IF(AE582="",BL582,AE582),$H582))</f>
        <v>2.06E-2</v>
      </c>
      <c r="BN582" s="78">
        <f t="shared" ref="BN582:BN634" si="433">IF($B582="","",ROUND(IF(AF582="",BM582,AF582),$H582))</f>
        <v>2.06E-2</v>
      </c>
      <c r="BO582" s="78">
        <f t="shared" ref="BO582:BO634" si="434">IF($B582="","",ROUND(IF(AG582="",BN582,AG582),$H582))</f>
        <v>2.06E-2</v>
      </c>
      <c r="BP582" s="78">
        <f t="shared" ref="BP582:BP634" si="435">IF($B582="","",ROUND(IF(AH582="",BO582,AH582),$H582))</f>
        <v>2.06E-2</v>
      </c>
      <c r="BQ582" s="78">
        <f t="shared" ref="BQ582:BQ634" si="436">IF($B582="","",ROUND(IF(AI582="",BP582,AI582),$H582))</f>
        <v>2.06E-2</v>
      </c>
      <c r="BR582" s="78">
        <f t="shared" ref="BR582:BR634" si="437">IF($B582="","",ROUND(IF(AJ582="",BQ582,AJ582),$H582))</f>
        <v>2.06E-2</v>
      </c>
      <c r="BS582" s="77"/>
      <c r="BT582" s="77"/>
    </row>
    <row r="583" spans="1:72" ht="14.1" customHeight="1" x14ac:dyDescent="0.2">
      <c r="A583" s="55" t="str">
        <f t="shared" si="408"/>
        <v>GDS-2 (Small General Delivery)_Unsubscribed Bank Capacity Charge (UBCC)</v>
      </c>
      <c r="B583" s="80" t="s">
        <v>669</v>
      </c>
      <c r="C583" s="83" t="s">
        <v>910</v>
      </c>
      <c r="D583" s="150"/>
      <c r="E583" s="81"/>
      <c r="F583" s="84" t="s">
        <v>640</v>
      </c>
      <c r="G583" s="84">
        <v>0</v>
      </c>
      <c r="H583" s="84">
        <v>5</v>
      </c>
      <c r="I583" s="74" t="s">
        <v>699</v>
      </c>
      <c r="J583" s="75" t="s">
        <v>911</v>
      </c>
      <c r="K583" s="74"/>
      <c r="L583" s="82">
        <v>1.61E-2</v>
      </c>
      <c r="M583" s="138">
        <v>1.61E-2</v>
      </c>
      <c r="N583" s="138">
        <v>1.61E-2</v>
      </c>
      <c r="O583" s="138">
        <v>1.61E-2</v>
      </c>
      <c r="P583" s="138">
        <v>1.61E-2</v>
      </c>
      <c r="Q583" s="138">
        <v>2.06E-2</v>
      </c>
      <c r="R583" s="138">
        <v>2.06E-2</v>
      </c>
      <c r="S583" s="138">
        <v>2.06E-2</v>
      </c>
      <c r="T583" s="138">
        <v>2.06E-2</v>
      </c>
      <c r="U583" s="138">
        <v>2.06E-2</v>
      </c>
      <c r="V583" s="138">
        <v>2.06E-2</v>
      </c>
      <c r="W583" s="138">
        <v>2.06E-2</v>
      </c>
      <c r="X583" s="138">
        <v>2.06E-2</v>
      </c>
      <c r="Y583" s="138">
        <f t="shared" ref="Y583:Y646" si="438">X583</f>
        <v>2.06E-2</v>
      </c>
      <c r="Z583" s="138">
        <f t="shared" ref="Z583:Z646" si="439">Y583</f>
        <v>2.06E-2</v>
      </c>
      <c r="AA583" s="138">
        <f t="shared" ref="AA583:AA646" si="440">Z583</f>
        <v>2.06E-2</v>
      </c>
      <c r="AB583" s="138">
        <f t="shared" ref="AB583:AB646" si="441">AA583</f>
        <v>2.06E-2</v>
      </c>
      <c r="AC583" s="138">
        <f t="shared" ref="AC583:AC646" si="442">AB583</f>
        <v>2.06E-2</v>
      </c>
      <c r="AD583" s="138">
        <f t="shared" ref="AD583:AD646" si="443">AC583</f>
        <v>2.06E-2</v>
      </c>
      <c r="AE583" s="138">
        <f t="shared" ref="AE583:AE646" si="444">AD583</f>
        <v>2.06E-2</v>
      </c>
      <c r="AF583" s="138">
        <f t="shared" ref="AF583:AF646" si="445">AE583</f>
        <v>2.06E-2</v>
      </c>
      <c r="AG583" s="138">
        <f t="shared" ref="AG583:AG646" si="446">AF583</f>
        <v>2.06E-2</v>
      </c>
      <c r="AH583" s="138">
        <f t="shared" ref="AH583:AH646" si="447">AG583</f>
        <v>2.06E-2</v>
      </c>
      <c r="AI583" s="138">
        <f t="shared" ref="AI583:AI646" si="448">AH583</f>
        <v>2.06E-2</v>
      </c>
      <c r="AJ583" s="138">
        <f t="shared" ref="AJ583:AK616" si="449">AI583</f>
        <v>2.06E-2</v>
      </c>
      <c r="AK583" s="138">
        <f t="shared" ref="AK583:AK614" si="450">AJ583</f>
        <v>2.06E-2</v>
      </c>
      <c r="AL583" s="138">
        <f t="shared" ref="AL583:AL614" si="451">AVERAGE(Z583:AK583)</f>
        <v>2.0600000000000004E-2</v>
      </c>
      <c r="AM583" s="138">
        <f t="shared" ref="AM583:AM614" si="452">AVERAGE(N583:AK583)</f>
        <v>2.0037500000000003E-2</v>
      </c>
      <c r="AO583" s="77" t="str">
        <f t="shared" si="409"/>
        <v>GDS-2 (Small General Delivery)</v>
      </c>
      <c r="AP583" s="78" t="s">
        <v>670</v>
      </c>
      <c r="AQ583" s="77" t="str">
        <f t="shared" si="410"/>
        <v>Unsubscribed Bank Capacity Charge (UBCC)</v>
      </c>
      <c r="AR583" s="78" t="str">
        <f t="shared" si="411"/>
        <v>Prorated</v>
      </c>
      <c r="AS583" s="79">
        <f t="shared" si="412"/>
        <v>5</v>
      </c>
      <c r="AT583" s="78">
        <f t="shared" si="413"/>
        <v>0</v>
      </c>
      <c r="AU583" s="78">
        <f t="shared" si="414"/>
        <v>1.61E-2</v>
      </c>
      <c r="AV583" s="78">
        <f t="shared" si="415"/>
        <v>1.61E-2</v>
      </c>
      <c r="AW583" s="78">
        <f t="shared" si="416"/>
        <v>1.61E-2</v>
      </c>
      <c r="AX583" s="78">
        <f t="shared" si="417"/>
        <v>1.61E-2</v>
      </c>
      <c r="AY583" s="78">
        <f t="shared" si="418"/>
        <v>2.06E-2</v>
      </c>
      <c r="AZ583" s="78">
        <f t="shared" si="419"/>
        <v>2.06E-2</v>
      </c>
      <c r="BA583" s="78">
        <f t="shared" si="420"/>
        <v>2.06E-2</v>
      </c>
      <c r="BB583" s="78">
        <f t="shared" si="421"/>
        <v>2.06E-2</v>
      </c>
      <c r="BC583" s="78">
        <f t="shared" si="422"/>
        <v>2.06E-2</v>
      </c>
      <c r="BD583" s="78">
        <f t="shared" si="423"/>
        <v>2.06E-2</v>
      </c>
      <c r="BE583" s="78">
        <f t="shared" si="424"/>
        <v>2.06E-2</v>
      </c>
      <c r="BF583" s="78">
        <f t="shared" si="425"/>
        <v>2.06E-2</v>
      </c>
      <c r="BG583" s="78">
        <f t="shared" si="426"/>
        <v>2.06E-2</v>
      </c>
      <c r="BH583" s="78">
        <f t="shared" si="427"/>
        <v>2.06E-2</v>
      </c>
      <c r="BI583" s="78">
        <f t="shared" si="428"/>
        <v>2.06E-2</v>
      </c>
      <c r="BJ583" s="78">
        <f t="shared" si="429"/>
        <v>2.06E-2</v>
      </c>
      <c r="BK583" s="78">
        <f t="shared" si="430"/>
        <v>2.06E-2</v>
      </c>
      <c r="BL583" s="78">
        <f t="shared" si="431"/>
        <v>2.06E-2</v>
      </c>
      <c r="BM583" s="78">
        <f t="shared" si="432"/>
        <v>2.06E-2</v>
      </c>
      <c r="BN583" s="78">
        <f t="shared" si="433"/>
        <v>2.06E-2</v>
      </c>
      <c r="BO583" s="78">
        <f t="shared" si="434"/>
        <v>2.06E-2</v>
      </c>
      <c r="BP583" s="78">
        <f t="shared" si="435"/>
        <v>2.06E-2</v>
      </c>
      <c r="BQ583" s="78">
        <f t="shared" si="436"/>
        <v>2.06E-2</v>
      </c>
      <c r="BR583" s="78">
        <f t="shared" si="437"/>
        <v>2.06E-2</v>
      </c>
      <c r="BS583" s="77"/>
      <c r="BT583" s="77"/>
    </row>
    <row r="584" spans="1:72" ht="14.1" customHeight="1" x14ac:dyDescent="0.2">
      <c r="A584" s="55" t="str">
        <f t="shared" si="408"/>
        <v>GDS-3 (Intermediate General Delivery)_Unsubscribed Bank Capacity Charge (UBCC)</v>
      </c>
      <c r="B584" s="80" t="s">
        <v>671</v>
      </c>
      <c r="C584" s="83" t="s">
        <v>910</v>
      </c>
      <c r="D584" s="150"/>
      <c r="E584" s="81"/>
      <c r="F584" s="84" t="s">
        <v>640</v>
      </c>
      <c r="G584" s="84">
        <v>0</v>
      </c>
      <c r="H584" s="84">
        <v>5</v>
      </c>
      <c r="I584" s="74" t="s">
        <v>699</v>
      </c>
      <c r="J584" s="75" t="s">
        <v>911</v>
      </c>
      <c r="K584" s="74"/>
      <c r="L584" s="82">
        <v>1.61E-2</v>
      </c>
      <c r="M584" s="138">
        <v>1.61E-2</v>
      </c>
      <c r="N584" s="138">
        <v>1.61E-2</v>
      </c>
      <c r="O584" s="138">
        <v>1.61E-2</v>
      </c>
      <c r="P584" s="138">
        <v>1.61E-2</v>
      </c>
      <c r="Q584" s="138">
        <v>2.06E-2</v>
      </c>
      <c r="R584" s="138">
        <v>2.06E-2</v>
      </c>
      <c r="S584" s="138">
        <v>2.06E-2</v>
      </c>
      <c r="T584" s="138">
        <v>2.06E-2</v>
      </c>
      <c r="U584" s="138">
        <v>2.06E-2</v>
      </c>
      <c r="V584" s="138">
        <v>2.06E-2</v>
      </c>
      <c r="W584" s="138">
        <v>2.06E-2</v>
      </c>
      <c r="X584" s="138">
        <v>2.06E-2</v>
      </c>
      <c r="Y584" s="138">
        <f t="shared" si="438"/>
        <v>2.06E-2</v>
      </c>
      <c r="Z584" s="138">
        <f t="shared" si="439"/>
        <v>2.06E-2</v>
      </c>
      <c r="AA584" s="138">
        <f t="shared" si="440"/>
        <v>2.06E-2</v>
      </c>
      <c r="AB584" s="138">
        <f t="shared" si="441"/>
        <v>2.06E-2</v>
      </c>
      <c r="AC584" s="138">
        <f t="shared" si="442"/>
        <v>2.06E-2</v>
      </c>
      <c r="AD584" s="138">
        <f t="shared" si="443"/>
        <v>2.06E-2</v>
      </c>
      <c r="AE584" s="138">
        <f t="shared" si="444"/>
        <v>2.06E-2</v>
      </c>
      <c r="AF584" s="138">
        <f t="shared" si="445"/>
        <v>2.06E-2</v>
      </c>
      <c r="AG584" s="138">
        <f t="shared" si="446"/>
        <v>2.06E-2</v>
      </c>
      <c r="AH584" s="138">
        <f t="shared" si="447"/>
        <v>2.06E-2</v>
      </c>
      <c r="AI584" s="138">
        <f t="shared" si="448"/>
        <v>2.06E-2</v>
      </c>
      <c r="AJ584" s="138">
        <f t="shared" si="449"/>
        <v>2.06E-2</v>
      </c>
      <c r="AK584" s="138">
        <f t="shared" si="450"/>
        <v>2.06E-2</v>
      </c>
      <c r="AL584" s="138">
        <f t="shared" si="451"/>
        <v>2.0600000000000004E-2</v>
      </c>
      <c r="AM584" s="138">
        <f t="shared" si="452"/>
        <v>2.0037500000000003E-2</v>
      </c>
      <c r="AO584" s="77" t="str">
        <f t="shared" si="409"/>
        <v>GDS-3 (Intermediate General Delivery)</v>
      </c>
      <c r="AP584" s="78" t="s">
        <v>672</v>
      </c>
      <c r="AQ584" s="77" t="str">
        <f t="shared" si="410"/>
        <v>Unsubscribed Bank Capacity Charge (UBCC)</v>
      </c>
      <c r="AR584" s="78" t="str">
        <f t="shared" si="411"/>
        <v>Prorated</v>
      </c>
      <c r="AS584" s="79">
        <f t="shared" si="412"/>
        <v>5</v>
      </c>
      <c r="AT584" s="78">
        <f t="shared" si="413"/>
        <v>0</v>
      </c>
      <c r="AU584" s="78">
        <f t="shared" si="414"/>
        <v>1.61E-2</v>
      </c>
      <c r="AV584" s="78">
        <f t="shared" si="415"/>
        <v>1.61E-2</v>
      </c>
      <c r="AW584" s="78">
        <f t="shared" si="416"/>
        <v>1.61E-2</v>
      </c>
      <c r="AX584" s="78">
        <f t="shared" si="417"/>
        <v>1.61E-2</v>
      </c>
      <c r="AY584" s="78">
        <f t="shared" si="418"/>
        <v>2.06E-2</v>
      </c>
      <c r="AZ584" s="78">
        <f t="shared" si="419"/>
        <v>2.06E-2</v>
      </c>
      <c r="BA584" s="78">
        <f t="shared" si="420"/>
        <v>2.06E-2</v>
      </c>
      <c r="BB584" s="78">
        <f t="shared" si="421"/>
        <v>2.06E-2</v>
      </c>
      <c r="BC584" s="78">
        <f t="shared" si="422"/>
        <v>2.06E-2</v>
      </c>
      <c r="BD584" s="78">
        <f t="shared" si="423"/>
        <v>2.06E-2</v>
      </c>
      <c r="BE584" s="78">
        <f t="shared" si="424"/>
        <v>2.06E-2</v>
      </c>
      <c r="BF584" s="78">
        <f t="shared" si="425"/>
        <v>2.06E-2</v>
      </c>
      <c r="BG584" s="78">
        <f t="shared" si="426"/>
        <v>2.06E-2</v>
      </c>
      <c r="BH584" s="78">
        <f t="shared" si="427"/>
        <v>2.06E-2</v>
      </c>
      <c r="BI584" s="78">
        <f t="shared" si="428"/>
        <v>2.06E-2</v>
      </c>
      <c r="BJ584" s="78">
        <f t="shared" si="429"/>
        <v>2.06E-2</v>
      </c>
      <c r="BK584" s="78">
        <f t="shared" si="430"/>
        <v>2.06E-2</v>
      </c>
      <c r="BL584" s="78">
        <f t="shared" si="431"/>
        <v>2.06E-2</v>
      </c>
      <c r="BM584" s="78">
        <f t="shared" si="432"/>
        <v>2.06E-2</v>
      </c>
      <c r="BN584" s="78">
        <f t="shared" si="433"/>
        <v>2.06E-2</v>
      </c>
      <c r="BO584" s="78">
        <f t="shared" si="434"/>
        <v>2.06E-2</v>
      </c>
      <c r="BP584" s="78">
        <f t="shared" si="435"/>
        <v>2.06E-2</v>
      </c>
      <c r="BQ584" s="78">
        <f t="shared" si="436"/>
        <v>2.06E-2</v>
      </c>
      <c r="BR584" s="78">
        <f t="shared" si="437"/>
        <v>2.06E-2</v>
      </c>
      <c r="BS584" s="77"/>
      <c r="BT584" s="77"/>
    </row>
    <row r="585" spans="1:72" ht="14.1" customHeight="1" x14ac:dyDescent="0.2">
      <c r="A585" s="55" t="str">
        <f t="shared" si="408"/>
        <v>GDS-4 (Large General Delivery)_Unsubscribed Bank Capacity Charge (UBCC)</v>
      </c>
      <c r="B585" s="80" t="s">
        <v>673</v>
      </c>
      <c r="C585" s="83" t="s">
        <v>910</v>
      </c>
      <c r="D585" s="150"/>
      <c r="E585" s="81"/>
      <c r="F585" s="84" t="s">
        <v>640</v>
      </c>
      <c r="G585" s="84">
        <v>0</v>
      </c>
      <c r="H585" s="84">
        <v>5</v>
      </c>
      <c r="I585" s="74" t="s">
        <v>699</v>
      </c>
      <c r="J585" s="75" t="s">
        <v>911</v>
      </c>
      <c r="K585" s="74"/>
      <c r="L585" s="82">
        <v>1.61E-2</v>
      </c>
      <c r="M585" s="138">
        <v>1.61E-2</v>
      </c>
      <c r="N585" s="138">
        <v>1.61E-2</v>
      </c>
      <c r="O585" s="138">
        <v>1.61E-2</v>
      </c>
      <c r="P585" s="138">
        <v>1.61E-2</v>
      </c>
      <c r="Q585" s="138">
        <v>2.06E-2</v>
      </c>
      <c r="R585" s="138">
        <v>2.06E-2</v>
      </c>
      <c r="S585" s="138">
        <v>2.06E-2</v>
      </c>
      <c r="T585" s="138">
        <v>2.06E-2</v>
      </c>
      <c r="U585" s="138">
        <v>2.06E-2</v>
      </c>
      <c r="V585" s="138">
        <v>2.06E-2</v>
      </c>
      <c r="W585" s="138">
        <v>2.06E-2</v>
      </c>
      <c r="X585" s="138">
        <v>2.06E-2</v>
      </c>
      <c r="Y585" s="138">
        <f t="shared" si="438"/>
        <v>2.06E-2</v>
      </c>
      <c r="Z585" s="138">
        <f t="shared" si="439"/>
        <v>2.06E-2</v>
      </c>
      <c r="AA585" s="138">
        <f t="shared" si="440"/>
        <v>2.06E-2</v>
      </c>
      <c r="AB585" s="138">
        <f t="shared" si="441"/>
        <v>2.06E-2</v>
      </c>
      <c r="AC585" s="138">
        <f t="shared" si="442"/>
        <v>2.06E-2</v>
      </c>
      <c r="AD585" s="138">
        <f t="shared" si="443"/>
        <v>2.06E-2</v>
      </c>
      <c r="AE585" s="138">
        <f t="shared" si="444"/>
        <v>2.06E-2</v>
      </c>
      <c r="AF585" s="138">
        <f t="shared" si="445"/>
        <v>2.06E-2</v>
      </c>
      <c r="AG585" s="138">
        <f t="shared" si="446"/>
        <v>2.06E-2</v>
      </c>
      <c r="AH585" s="138">
        <f t="shared" si="447"/>
        <v>2.06E-2</v>
      </c>
      <c r="AI585" s="138">
        <f t="shared" si="448"/>
        <v>2.06E-2</v>
      </c>
      <c r="AJ585" s="138">
        <f t="shared" si="449"/>
        <v>2.06E-2</v>
      </c>
      <c r="AK585" s="138">
        <f t="shared" si="450"/>
        <v>2.06E-2</v>
      </c>
      <c r="AL585" s="138">
        <f t="shared" si="451"/>
        <v>2.0600000000000004E-2</v>
      </c>
      <c r="AM585" s="138">
        <f t="shared" si="452"/>
        <v>2.0037500000000003E-2</v>
      </c>
      <c r="AO585" s="77" t="str">
        <f t="shared" si="409"/>
        <v>GDS-4 (Large General Delivery)</v>
      </c>
      <c r="AP585" s="78" t="s">
        <v>674</v>
      </c>
      <c r="AQ585" s="77" t="str">
        <f t="shared" si="410"/>
        <v>Unsubscribed Bank Capacity Charge (UBCC)</v>
      </c>
      <c r="AR585" s="78" t="str">
        <f t="shared" si="411"/>
        <v>Prorated</v>
      </c>
      <c r="AS585" s="79">
        <f t="shared" si="412"/>
        <v>5</v>
      </c>
      <c r="AT585" s="78">
        <f t="shared" si="413"/>
        <v>0</v>
      </c>
      <c r="AU585" s="78">
        <f t="shared" si="414"/>
        <v>1.61E-2</v>
      </c>
      <c r="AV585" s="78">
        <f t="shared" si="415"/>
        <v>1.61E-2</v>
      </c>
      <c r="AW585" s="78">
        <f t="shared" si="416"/>
        <v>1.61E-2</v>
      </c>
      <c r="AX585" s="78">
        <f t="shared" si="417"/>
        <v>1.61E-2</v>
      </c>
      <c r="AY585" s="78">
        <f t="shared" si="418"/>
        <v>2.06E-2</v>
      </c>
      <c r="AZ585" s="78">
        <f t="shared" si="419"/>
        <v>2.06E-2</v>
      </c>
      <c r="BA585" s="78">
        <f t="shared" si="420"/>
        <v>2.06E-2</v>
      </c>
      <c r="BB585" s="78">
        <f t="shared" si="421"/>
        <v>2.06E-2</v>
      </c>
      <c r="BC585" s="78">
        <f t="shared" si="422"/>
        <v>2.06E-2</v>
      </c>
      <c r="BD585" s="78">
        <f t="shared" si="423"/>
        <v>2.06E-2</v>
      </c>
      <c r="BE585" s="78">
        <f t="shared" si="424"/>
        <v>2.06E-2</v>
      </c>
      <c r="BF585" s="78">
        <f t="shared" si="425"/>
        <v>2.06E-2</v>
      </c>
      <c r="BG585" s="78">
        <f t="shared" si="426"/>
        <v>2.06E-2</v>
      </c>
      <c r="BH585" s="78">
        <f t="shared" si="427"/>
        <v>2.06E-2</v>
      </c>
      <c r="BI585" s="78">
        <f t="shared" si="428"/>
        <v>2.06E-2</v>
      </c>
      <c r="BJ585" s="78">
        <f t="shared" si="429"/>
        <v>2.06E-2</v>
      </c>
      <c r="BK585" s="78">
        <f t="shared" si="430"/>
        <v>2.06E-2</v>
      </c>
      <c r="BL585" s="78">
        <f t="shared" si="431"/>
        <v>2.06E-2</v>
      </c>
      <c r="BM585" s="78">
        <f t="shared" si="432"/>
        <v>2.06E-2</v>
      </c>
      <c r="BN585" s="78">
        <f t="shared" si="433"/>
        <v>2.06E-2</v>
      </c>
      <c r="BO585" s="78">
        <f t="shared" si="434"/>
        <v>2.06E-2</v>
      </c>
      <c r="BP585" s="78">
        <f t="shared" si="435"/>
        <v>2.06E-2</v>
      </c>
      <c r="BQ585" s="78">
        <f t="shared" si="436"/>
        <v>2.06E-2</v>
      </c>
      <c r="BR585" s="78">
        <f t="shared" si="437"/>
        <v>2.06E-2</v>
      </c>
      <c r="BS585" s="77"/>
      <c r="BT585" s="77"/>
    </row>
    <row r="586" spans="1:72" ht="14.1" customHeight="1" x14ac:dyDescent="0.2">
      <c r="A586" s="55" t="str">
        <f t="shared" si="408"/>
        <v>GDS-5 (Seasonal)_Unsubscribed Bank Capacity Charge (UBCC)</v>
      </c>
      <c r="B586" s="80" t="s">
        <v>675</v>
      </c>
      <c r="C586" s="83" t="s">
        <v>910</v>
      </c>
      <c r="D586" s="150"/>
      <c r="E586" s="81"/>
      <c r="F586" s="84" t="s">
        <v>640</v>
      </c>
      <c r="G586" s="84">
        <v>0</v>
      </c>
      <c r="H586" s="84">
        <v>5</v>
      </c>
      <c r="I586" s="74" t="s">
        <v>699</v>
      </c>
      <c r="J586" s="75" t="s">
        <v>911</v>
      </c>
      <c r="K586" s="74"/>
      <c r="L586" s="82">
        <v>1.61E-2</v>
      </c>
      <c r="M586" s="138">
        <v>1.61E-2</v>
      </c>
      <c r="N586" s="138">
        <v>1.61E-2</v>
      </c>
      <c r="O586" s="138">
        <v>1.61E-2</v>
      </c>
      <c r="P586" s="138">
        <v>1.61E-2</v>
      </c>
      <c r="Q586" s="138">
        <v>2.06E-2</v>
      </c>
      <c r="R586" s="138">
        <v>2.06E-2</v>
      </c>
      <c r="S586" s="138">
        <v>2.06E-2</v>
      </c>
      <c r="T586" s="138">
        <v>2.06E-2</v>
      </c>
      <c r="U586" s="138">
        <v>2.06E-2</v>
      </c>
      <c r="V586" s="138">
        <v>2.06E-2</v>
      </c>
      <c r="W586" s="138">
        <v>2.06E-2</v>
      </c>
      <c r="X586" s="138">
        <v>2.06E-2</v>
      </c>
      <c r="Y586" s="138">
        <f t="shared" si="438"/>
        <v>2.06E-2</v>
      </c>
      <c r="Z586" s="138">
        <f t="shared" si="439"/>
        <v>2.06E-2</v>
      </c>
      <c r="AA586" s="138">
        <f t="shared" si="440"/>
        <v>2.06E-2</v>
      </c>
      <c r="AB586" s="138">
        <f t="shared" si="441"/>
        <v>2.06E-2</v>
      </c>
      <c r="AC586" s="138">
        <f t="shared" si="442"/>
        <v>2.06E-2</v>
      </c>
      <c r="AD586" s="138">
        <f t="shared" si="443"/>
        <v>2.06E-2</v>
      </c>
      <c r="AE586" s="138">
        <f t="shared" si="444"/>
        <v>2.06E-2</v>
      </c>
      <c r="AF586" s="138">
        <f t="shared" si="445"/>
        <v>2.06E-2</v>
      </c>
      <c r="AG586" s="138">
        <f t="shared" si="446"/>
        <v>2.06E-2</v>
      </c>
      <c r="AH586" s="138">
        <f t="shared" si="447"/>
        <v>2.06E-2</v>
      </c>
      <c r="AI586" s="138">
        <f t="shared" si="448"/>
        <v>2.06E-2</v>
      </c>
      <c r="AJ586" s="138">
        <f t="shared" si="449"/>
        <v>2.06E-2</v>
      </c>
      <c r="AK586" s="138">
        <f t="shared" si="450"/>
        <v>2.06E-2</v>
      </c>
      <c r="AL586" s="138">
        <f t="shared" si="451"/>
        <v>2.0600000000000004E-2</v>
      </c>
      <c r="AM586" s="138">
        <f t="shared" si="452"/>
        <v>2.0037500000000003E-2</v>
      </c>
      <c r="AO586" s="77" t="str">
        <f t="shared" si="409"/>
        <v>GDS-5 (Seasonal)</v>
      </c>
      <c r="AP586" s="78" t="s">
        <v>676</v>
      </c>
      <c r="AQ586" s="77" t="str">
        <f t="shared" si="410"/>
        <v>Unsubscribed Bank Capacity Charge (UBCC)</v>
      </c>
      <c r="AR586" s="78" t="str">
        <f t="shared" si="411"/>
        <v>Prorated</v>
      </c>
      <c r="AS586" s="79">
        <f t="shared" si="412"/>
        <v>5</v>
      </c>
      <c r="AT586" s="78">
        <f t="shared" si="413"/>
        <v>0</v>
      </c>
      <c r="AU586" s="78">
        <f t="shared" si="414"/>
        <v>1.61E-2</v>
      </c>
      <c r="AV586" s="78">
        <f t="shared" si="415"/>
        <v>1.61E-2</v>
      </c>
      <c r="AW586" s="78">
        <f t="shared" si="416"/>
        <v>1.61E-2</v>
      </c>
      <c r="AX586" s="78">
        <f t="shared" si="417"/>
        <v>1.61E-2</v>
      </c>
      <c r="AY586" s="78">
        <f t="shared" si="418"/>
        <v>2.06E-2</v>
      </c>
      <c r="AZ586" s="78">
        <f t="shared" si="419"/>
        <v>2.06E-2</v>
      </c>
      <c r="BA586" s="78">
        <f t="shared" si="420"/>
        <v>2.06E-2</v>
      </c>
      <c r="BB586" s="78">
        <f t="shared" si="421"/>
        <v>2.06E-2</v>
      </c>
      <c r="BC586" s="78">
        <f t="shared" si="422"/>
        <v>2.06E-2</v>
      </c>
      <c r="BD586" s="78">
        <f t="shared" si="423"/>
        <v>2.06E-2</v>
      </c>
      <c r="BE586" s="78">
        <f t="shared" si="424"/>
        <v>2.06E-2</v>
      </c>
      <c r="BF586" s="78">
        <f t="shared" si="425"/>
        <v>2.06E-2</v>
      </c>
      <c r="BG586" s="78">
        <f t="shared" si="426"/>
        <v>2.06E-2</v>
      </c>
      <c r="BH586" s="78">
        <f t="shared" si="427"/>
        <v>2.06E-2</v>
      </c>
      <c r="BI586" s="78">
        <f t="shared" si="428"/>
        <v>2.06E-2</v>
      </c>
      <c r="BJ586" s="78">
        <f t="shared" si="429"/>
        <v>2.06E-2</v>
      </c>
      <c r="BK586" s="78">
        <f t="shared" si="430"/>
        <v>2.06E-2</v>
      </c>
      <c r="BL586" s="78">
        <f t="shared" si="431"/>
        <v>2.06E-2</v>
      </c>
      <c r="BM586" s="78">
        <f t="shared" si="432"/>
        <v>2.06E-2</v>
      </c>
      <c r="BN586" s="78">
        <f t="shared" si="433"/>
        <v>2.06E-2</v>
      </c>
      <c r="BO586" s="78">
        <f t="shared" si="434"/>
        <v>2.06E-2</v>
      </c>
      <c r="BP586" s="78">
        <f t="shared" si="435"/>
        <v>2.06E-2</v>
      </c>
      <c r="BQ586" s="78">
        <f t="shared" si="436"/>
        <v>2.06E-2</v>
      </c>
      <c r="BR586" s="78">
        <f t="shared" si="437"/>
        <v>2.06E-2</v>
      </c>
      <c r="BS586" s="77"/>
      <c r="BT586" s="77"/>
    </row>
    <row r="587" spans="1:72" ht="14.1" customHeight="1" x14ac:dyDescent="0.2">
      <c r="A587" s="55" t="str">
        <f t="shared" si="408"/>
        <v>GDS-6 (Inadequate Capacity)_Unsubscribed Bank Capacity Charge (UBCC)</v>
      </c>
      <c r="B587" s="80" t="s">
        <v>700</v>
      </c>
      <c r="C587" s="83" t="s">
        <v>910</v>
      </c>
      <c r="D587" s="150"/>
      <c r="E587" s="81"/>
      <c r="F587" s="84" t="s">
        <v>640</v>
      </c>
      <c r="G587" s="84">
        <v>0</v>
      </c>
      <c r="H587" s="84">
        <v>5</v>
      </c>
      <c r="I587" s="74" t="s">
        <v>699</v>
      </c>
      <c r="J587" s="75" t="s">
        <v>911</v>
      </c>
      <c r="K587" s="74"/>
      <c r="L587" s="82">
        <v>1.61E-2</v>
      </c>
      <c r="M587" s="138">
        <v>1.61E-2</v>
      </c>
      <c r="N587" s="138">
        <v>1.61E-2</v>
      </c>
      <c r="O587" s="138">
        <v>1.61E-2</v>
      </c>
      <c r="P587" s="138">
        <v>1.61E-2</v>
      </c>
      <c r="Q587" s="138">
        <v>2.06E-2</v>
      </c>
      <c r="R587" s="138">
        <v>2.06E-2</v>
      </c>
      <c r="S587" s="138">
        <v>2.06E-2</v>
      </c>
      <c r="T587" s="138">
        <v>2.06E-2</v>
      </c>
      <c r="U587" s="138">
        <v>2.06E-2</v>
      </c>
      <c r="V587" s="138">
        <v>2.06E-2</v>
      </c>
      <c r="W587" s="138">
        <v>2.06E-2</v>
      </c>
      <c r="X587" s="138">
        <v>2.06E-2</v>
      </c>
      <c r="Y587" s="138">
        <f t="shared" si="438"/>
        <v>2.06E-2</v>
      </c>
      <c r="Z587" s="138">
        <f t="shared" si="439"/>
        <v>2.06E-2</v>
      </c>
      <c r="AA587" s="138">
        <f t="shared" si="440"/>
        <v>2.06E-2</v>
      </c>
      <c r="AB587" s="138">
        <f t="shared" si="441"/>
        <v>2.06E-2</v>
      </c>
      <c r="AC587" s="138">
        <f t="shared" si="442"/>
        <v>2.06E-2</v>
      </c>
      <c r="AD587" s="138">
        <f t="shared" si="443"/>
        <v>2.06E-2</v>
      </c>
      <c r="AE587" s="138">
        <f t="shared" si="444"/>
        <v>2.06E-2</v>
      </c>
      <c r="AF587" s="138">
        <f t="shared" si="445"/>
        <v>2.06E-2</v>
      </c>
      <c r="AG587" s="138">
        <f t="shared" si="446"/>
        <v>2.06E-2</v>
      </c>
      <c r="AH587" s="138">
        <f t="shared" si="447"/>
        <v>2.06E-2</v>
      </c>
      <c r="AI587" s="138">
        <f t="shared" si="448"/>
        <v>2.06E-2</v>
      </c>
      <c r="AJ587" s="138">
        <f t="shared" si="449"/>
        <v>2.06E-2</v>
      </c>
      <c r="AK587" s="138">
        <f t="shared" si="450"/>
        <v>2.06E-2</v>
      </c>
      <c r="AL587" s="138">
        <f t="shared" si="451"/>
        <v>2.0600000000000004E-2</v>
      </c>
      <c r="AM587" s="138">
        <f t="shared" si="452"/>
        <v>2.0037500000000003E-2</v>
      </c>
      <c r="AO587" s="77" t="str">
        <f t="shared" si="409"/>
        <v>GDS-6 (Inadequate Capacity)</v>
      </c>
      <c r="AP587" s="78" t="s">
        <v>701</v>
      </c>
      <c r="AQ587" s="77" t="str">
        <f t="shared" si="410"/>
        <v>Unsubscribed Bank Capacity Charge (UBCC)</v>
      </c>
      <c r="AR587" s="78" t="str">
        <f t="shared" si="411"/>
        <v>Prorated</v>
      </c>
      <c r="AS587" s="79">
        <f t="shared" si="412"/>
        <v>5</v>
      </c>
      <c r="AT587" s="78">
        <f t="shared" si="413"/>
        <v>0</v>
      </c>
      <c r="AU587" s="78">
        <f t="shared" si="414"/>
        <v>1.61E-2</v>
      </c>
      <c r="AV587" s="78">
        <f t="shared" si="415"/>
        <v>1.61E-2</v>
      </c>
      <c r="AW587" s="78">
        <f t="shared" si="416"/>
        <v>1.61E-2</v>
      </c>
      <c r="AX587" s="78">
        <f t="shared" si="417"/>
        <v>1.61E-2</v>
      </c>
      <c r="AY587" s="78">
        <f t="shared" si="418"/>
        <v>2.06E-2</v>
      </c>
      <c r="AZ587" s="78">
        <f t="shared" si="419"/>
        <v>2.06E-2</v>
      </c>
      <c r="BA587" s="78">
        <f t="shared" si="420"/>
        <v>2.06E-2</v>
      </c>
      <c r="BB587" s="78">
        <f t="shared" si="421"/>
        <v>2.06E-2</v>
      </c>
      <c r="BC587" s="78">
        <f t="shared" si="422"/>
        <v>2.06E-2</v>
      </c>
      <c r="BD587" s="78">
        <f t="shared" si="423"/>
        <v>2.06E-2</v>
      </c>
      <c r="BE587" s="78">
        <f t="shared" si="424"/>
        <v>2.06E-2</v>
      </c>
      <c r="BF587" s="78">
        <f t="shared" si="425"/>
        <v>2.06E-2</v>
      </c>
      <c r="BG587" s="78">
        <f t="shared" si="426"/>
        <v>2.06E-2</v>
      </c>
      <c r="BH587" s="78">
        <f t="shared" si="427"/>
        <v>2.06E-2</v>
      </c>
      <c r="BI587" s="78">
        <f t="shared" si="428"/>
        <v>2.06E-2</v>
      </c>
      <c r="BJ587" s="78">
        <f t="shared" si="429"/>
        <v>2.06E-2</v>
      </c>
      <c r="BK587" s="78">
        <f t="shared" si="430"/>
        <v>2.06E-2</v>
      </c>
      <c r="BL587" s="78">
        <f t="shared" si="431"/>
        <v>2.06E-2</v>
      </c>
      <c r="BM587" s="78">
        <f t="shared" si="432"/>
        <v>2.06E-2</v>
      </c>
      <c r="BN587" s="78">
        <f t="shared" si="433"/>
        <v>2.06E-2</v>
      </c>
      <c r="BO587" s="78">
        <f t="shared" si="434"/>
        <v>2.06E-2</v>
      </c>
      <c r="BP587" s="78">
        <f t="shared" si="435"/>
        <v>2.06E-2</v>
      </c>
      <c r="BQ587" s="78">
        <f t="shared" si="436"/>
        <v>2.06E-2</v>
      </c>
      <c r="BR587" s="78">
        <f t="shared" si="437"/>
        <v>2.06E-2</v>
      </c>
      <c r="BS587" s="77"/>
      <c r="BT587" s="77"/>
    </row>
    <row r="588" spans="1:72" ht="14.1" customHeight="1" x14ac:dyDescent="0.2">
      <c r="A588" s="55" t="str">
        <f t="shared" si="408"/>
        <v>GDS-1 (Residential)_Rider TPTFA (Third-Party Transaction Fee Adjustment)</v>
      </c>
      <c r="B588" s="80" t="s">
        <v>95</v>
      </c>
      <c r="C588" s="83" t="s">
        <v>912</v>
      </c>
      <c r="D588" s="150" t="s">
        <v>557</v>
      </c>
      <c r="E588" s="81"/>
      <c r="F588" s="73" t="s">
        <v>649</v>
      </c>
      <c r="G588" s="73">
        <v>0</v>
      </c>
      <c r="H588" s="73">
        <v>6</v>
      </c>
      <c r="I588" s="74" t="s">
        <v>641</v>
      </c>
      <c r="J588" s="75" t="s">
        <v>634</v>
      </c>
      <c r="K588" s="74"/>
      <c r="L588" s="82">
        <v>0</v>
      </c>
      <c r="M588" s="138">
        <v>0</v>
      </c>
      <c r="N588" s="138">
        <v>0</v>
      </c>
      <c r="O588" s="138">
        <v>0</v>
      </c>
      <c r="P588" s="138">
        <v>0</v>
      </c>
      <c r="Q588" s="138">
        <v>0.16</v>
      </c>
      <c r="R588" s="138">
        <v>0</v>
      </c>
      <c r="S588" s="138">
        <v>0</v>
      </c>
      <c r="T588" s="138">
        <v>0</v>
      </c>
      <c r="U588" s="138">
        <v>0</v>
      </c>
      <c r="V588" s="138">
        <v>0</v>
      </c>
      <c r="W588" s="138">
        <v>0</v>
      </c>
      <c r="X588" s="138">
        <v>0</v>
      </c>
      <c r="Y588" s="138">
        <f t="shared" si="438"/>
        <v>0</v>
      </c>
      <c r="Z588" s="138">
        <f t="shared" si="439"/>
        <v>0</v>
      </c>
      <c r="AA588" s="138">
        <f t="shared" si="440"/>
        <v>0</v>
      </c>
      <c r="AB588" s="138">
        <f t="shared" si="441"/>
        <v>0</v>
      </c>
      <c r="AC588" s="138">
        <f t="shared" si="442"/>
        <v>0</v>
      </c>
      <c r="AD588" s="138">
        <f t="shared" si="443"/>
        <v>0</v>
      </c>
      <c r="AE588" s="138">
        <f t="shared" si="444"/>
        <v>0</v>
      </c>
      <c r="AF588" s="138">
        <f t="shared" si="445"/>
        <v>0</v>
      </c>
      <c r="AG588" s="138">
        <f t="shared" si="446"/>
        <v>0</v>
      </c>
      <c r="AH588" s="138">
        <f t="shared" si="447"/>
        <v>0</v>
      </c>
      <c r="AI588" s="138">
        <f t="shared" si="448"/>
        <v>0</v>
      </c>
      <c r="AJ588" s="138">
        <f t="shared" si="449"/>
        <v>0</v>
      </c>
      <c r="AK588" s="138">
        <f t="shared" si="450"/>
        <v>0</v>
      </c>
      <c r="AL588" s="138">
        <f t="shared" si="451"/>
        <v>0</v>
      </c>
      <c r="AM588" s="138">
        <f t="shared" si="452"/>
        <v>6.6666666666666671E-3</v>
      </c>
      <c r="AO588" s="77" t="str">
        <f t="shared" si="409"/>
        <v>GDS-1 (Residential)</v>
      </c>
      <c r="AP588" s="78" t="s">
        <v>668</v>
      </c>
      <c r="AQ588" s="77" t="str">
        <f t="shared" si="410"/>
        <v>Rider TPTFA (Third-Party Transaction Fee Adjustment)</v>
      </c>
      <c r="AR588" s="78" t="str">
        <f t="shared" si="411"/>
        <v>Billing Cycle</v>
      </c>
      <c r="AS588" s="79">
        <f t="shared" si="412"/>
        <v>6</v>
      </c>
      <c r="AT588" s="78">
        <f t="shared" si="413"/>
        <v>0</v>
      </c>
      <c r="AU588" s="78">
        <f t="shared" si="414"/>
        <v>0</v>
      </c>
      <c r="AV588" s="78">
        <f t="shared" si="415"/>
        <v>0</v>
      </c>
      <c r="AW588" s="78">
        <f t="shared" si="416"/>
        <v>0</v>
      </c>
      <c r="AX588" s="78">
        <f t="shared" si="417"/>
        <v>0</v>
      </c>
      <c r="AY588" s="78">
        <f t="shared" si="418"/>
        <v>0.16</v>
      </c>
      <c r="AZ588" s="78">
        <f t="shared" si="419"/>
        <v>0</v>
      </c>
      <c r="BA588" s="78">
        <f t="shared" si="420"/>
        <v>0</v>
      </c>
      <c r="BB588" s="78">
        <f t="shared" si="421"/>
        <v>0</v>
      </c>
      <c r="BC588" s="78">
        <f t="shared" si="422"/>
        <v>0</v>
      </c>
      <c r="BD588" s="78">
        <f t="shared" si="423"/>
        <v>0</v>
      </c>
      <c r="BE588" s="78">
        <f t="shared" si="424"/>
        <v>0</v>
      </c>
      <c r="BF588" s="88">
        <f t="shared" si="425"/>
        <v>0</v>
      </c>
      <c r="BG588" s="88">
        <f t="shared" si="426"/>
        <v>0</v>
      </c>
      <c r="BH588" s="88">
        <f t="shared" si="427"/>
        <v>0</v>
      </c>
      <c r="BI588" s="88">
        <f t="shared" si="428"/>
        <v>0</v>
      </c>
      <c r="BJ588" s="88">
        <f t="shared" si="429"/>
        <v>0</v>
      </c>
      <c r="BK588" s="88">
        <f t="shared" si="430"/>
        <v>0</v>
      </c>
      <c r="BL588" s="88">
        <f t="shared" si="431"/>
        <v>0</v>
      </c>
      <c r="BM588" s="88">
        <f t="shared" si="432"/>
        <v>0</v>
      </c>
      <c r="BN588" s="88">
        <f t="shared" si="433"/>
        <v>0</v>
      </c>
      <c r="BO588" s="88">
        <f t="shared" si="434"/>
        <v>0</v>
      </c>
      <c r="BP588" s="88">
        <f t="shared" si="435"/>
        <v>0</v>
      </c>
      <c r="BQ588" s="88">
        <f t="shared" si="436"/>
        <v>0</v>
      </c>
      <c r="BR588" s="88">
        <f t="shared" si="437"/>
        <v>0</v>
      </c>
      <c r="BS588" s="77"/>
      <c r="BT588" s="77"/>
    </row>
    <row r="589" spans="1:72" ht="14.1" customHeight="1" x14ac:dyDescent="0.2">
      <c r="A589" s="55" t="str">
        <f t="shared" si="408"/>
        <v>GDS-2 (Small General Delivery)_Rider TPTFA (Third-Party Transaction Fee Adjustment)</v>
      </c>
      <c r="B589" s="80" t="s">
        <v>669</v>
      </c>
      <c r="C589" s="83" t="s">
        <v>912</v>
      </c>
      <c r="D589" s="150"/>
      <c r="E589" s="81"/>
      <c r="F589" s="73" t="s">
        <v>649</v>
      </c>
      <c r="G589" s="73">
        <v>0</v>
      </c>
      <c r="H589" s="73">
        <v>6</v>
      </c>
      <c r="I589" s="74" t="s">
        <v>641</v>
      </c>
      <c r="J589" s="75" t="s">
        <v>634</v>
      </c>
      <c r="K589" s="74"/>
      <c r="L589" s="82">
        <v>0</v>
      </c>
      <c r="M589" s="138">
        <v>0</v>
      </c>
      <c r="N589" s="138">
        <v>0</v>
      </c>
      <c r="O589" s="138">
        <v>0</v>
      </c>
      <c r="P589" s="138">
        <v>0</v>
      </c>
      <c r="Q589" s="138">
        <v>0.21</v>
      </c>
      <c r="R589" s="138">
        <v>0</v>
      </c>
      <c r="S589" s="138">
        <v>0</v>
      </c>
      <c r="T589" s="138">
        <v>0</v>
      </c>
      <c r="U589" s="138">
        <v>0</v>
      </c>
      <c r="V589" s="138">
        <v>0</v>
      </c>
      <c r="W589" s="138">
        <v>0</v>
      </c>
      <c r="X589" s="138">
        <v>0</v>
      </c>
      <c r="Y589" s="138">
        <f t="shared" si="438"/>
        <v>0</v>
      </c>
      <c r="Z589" s="138">
        <f t="shared" si="439"/>
        <v>0</v>
      </c>
      <c r="AA589" s="138">
        <f t="shared" si="440"/>
        <v>0</v>
      </c>
      <c r="AB589" s="138">
        <f t="shared" si="441"/>
        <v>0</v>
      </c>
      <c r="AC589" s="138">
        <f t="shared" si="442"/>
        <v>0</v>
      </c>
      <c r="AD589" s="138">
        <f t="shared" si="443"/>
        <v>0</v>
      </c>
      <c r="AE589" s="138">
        <f t="shared" si="444"/>
        <v>0</v>
      </c>
      <c r="AF589" s="138">
        <f t="shared" si="445"/>
        <v>0</v>
      </c>
      <c r="AG589" s="138">
        <f t="shared" si="446"/>
        <v>0</v>
      </c>
      <c r="AH589" s="138">
        <f t="shared" si="447"/>
        <v>0</v>
      </c>
      <c r="AI589" s="138">
        <f t="shared" si="448"/>
        <v>0</v>
      </c>
      <c r="AJ589" s="138">
        <f t="shared" si="449"/>
        <v>0</v>
      </c>
      <c r="AK589" s="138">
        <f t="shared" si="450"/>
        <v>0</v>
      </c>
      <c r="AL589" s="138">
        <f t="shared" si="451"/>
        <v>0</v>
      </c>
      <c r="AM589" s="138">
        <f t="shared" si="452"/>
        <v>8.7499999999999991E-3</v>
      </c>
      <c r="AO589" s="77" t="str">
        <f t="shared" si="409"/>
        <v>GDS-2 (Small General Delivery)</v>
      </c>
      <c r="AP589" s="78" t="s">
        <v>670</v>
      </c>
      <c r="AQ589" s="77" t="str">
        <f t="shared" si="410"/>
        <v>Rider TPTFA (Third-Party Transaction Fee Adjustment)</v>
      </c>
      <c r="AR589" s="78" t="str">
        <f t="shared" si="411"/>
        <v>Billing Cycle</v>
      </c>
      <c r="AS589" s="79">
        <f t="shared" si="412"/>
        <v>6</v>
      </c>
      <c r="AT589" s="78">
        <f t="shared" si="413"/>
        <v>0</v>
      </c>
      <c r="AU589" s="78">
        <f t="shared" si="414"/>
        <v>0</v>
      </c>
      <c r="AV589" s="78">
        <f t="shared" si="415"/>
        <v>0</v>
      </c>
      <c r="AW589" s="78">
        <f t="shared" si="416"/>
        <v>0</v>
      </c>
      <c r="AX589" s="78">
        <f t="shared" si="417"/>
        <v>0</v>
      </c>
      <c r="AY589" s="78">
        <f t="shared" si="418"/>
        <v>0.21</v>
      </c>
      <c r="AZ589" s="78">
        <f t="shared" si="419"/>
        <v>0</v>
      </c>
      <c r="BA589" s="78">
        <f t="shared" si="420"/>
        <v>0</v>
      </c>
      <c r="BB589" s="78">
        <f t="shared" si="421"/>
        <v>0</v>
      </c>
      <c r="BC589" s="78">
        <f t="shared" si="422"/>
        <v>0</v>
      </c>
      <c r="BD589" s="78">
        <f t="shared" si="423"/>
        <v>0</v>
      </c>
      <c r="BE589" s="78">
        <f t="shared" si="424"/>
        <v>0</v>
      </c>
      <c r="BF589" s="88">
        <f t="shared" si="425"/>
        <v>0</v>
      </c>
      <c r="BG589" s="88">
        <f t="shared" si="426"/>
        <v>0</v>
      </c>
      <c r="BH589" s="88">
        <f t="shared" si="427"/>
        <v>0</v>
      </c>
      <c r="BI589" s="88">
        <f t="shared" si="428"/>
        <v>0</v>
      </c>
      <c r="BJ589" s="88">
        <f t="shared" si="429"/>
        <v>0</v>
      </c>
      <c r="BK589" s="88">
        <f t="shared" si="430"/>
        <v>0</v>
      </c>
      <c r="BL589" s="88">
        <f t="shared" si="431"/>
        <v>0</v>
      </c>
      <c r="BM589" s="88">
        <f t="shared" si="432"/>
        <v>0</v>
      </c>
      <c r="BN589" s="88">
        <f t="shared" si="433"/>
        <v>0</v>
      </c>
      <c r="BO589" s="88">
        <f t="shared" si="434"/>
        <v>0</v>
      </c>
      <c r="BP589" s="88">
        <f t="shared" si="435"/>
        <v>0</v>
      </c>
      <c r="BQ589" s="88">
        <f t="shared" si="436"/>
        <v>0</v>
      </c>
      <c r="BR589" s="88">
        <f t="shared" si="437"/>
        <v>0</v>
      </c>
      <c r="BS589" s="77"/>
      <c r="BT589" s="77"/>
    </row>
    <row r="590" spans="1:72" ht="14.1" customHeight="1" x14ac:dyDescent="0.2">
      <c r="A590" s="55" t="str">
        <f t="shared" si="408"/>
        <v>GDS-3 (Intermediate General Delivery)_Rider TPTFA (Third-Party Transaction Fee Adjustment)</v>
      </c>
      <c r="B590" s="80" t="s">
        <v>671</v>
      </c>
      <c r="C590" s="83" t="s">
        <v>912</v>
      </c>
      <c r="D590" s="150"/>
      <c r="E590" s="81"/>
      <c r="F590" s="73" t="s">
        <v>649</v>
      </c>
      <c r="G590" s="73">
        <v>0</v>
      </c>
      <c r="H590" s="73">
        <v>6</v>
      </c>
      <c r="I590" s="74" t="s">
        <v>641</v>
      </c>
      <c r="J590" s="75" t="s">
        <v>634</v>
      </c>
      <c r="K590" s="74"/>
      <c r="L590" s="82">
        <v>0</v>
      </c>
      <c r="M590" s="138">
        <v>0</v>
      </c>
      <c r="N590" s="138">
        <v>0</v>
      </c>
      <c r="O590" s="138">
        <v>0</v>
      </c>
      <c r="P590" s="138">
        <v>0</v>
      </c>
      <c r="Q590" s="138">
        <v>0.21</v>
      </c>
      <c r="R590" s="138">
        <v>0</v>
      </c>
      <c r="S590" s="138">
        <v>0</v>
      </c>
      <c r="T590" s="138">
        <v>0</v>
      </c>
      <c r="U590" s="138">
        <v>0</v>
      </c>
      <c r="V590" s="138">
        <v>0</v>
      </c>
      <c r="W590" s="138">
        <v>0</v>
      </c>
      <c r="X590" s="138">
        <v>0</v>
      </c>
      <c r="Y590" s="138">
        <f t="shared" si="438"/>
        <v>0</v>
      </c>
      <c r="Z590" s="138">
        <f t="shared" si="439"/>
        <v>0</v>
      </c>
      <c r="AA590" s="138">
        <f t="shared" si="440"/>
        <v>0</v>
      </c>
      <c r="AB590" s="138">
        <f t="shared" si="441"/>
        <v>0</v>
      </c>
      <c r="AC590" s="138">
        <f t="shared" si="442"/>
        <v>0</v>
      </c>
      <c r="AD590" s="138">
        <f t="shared" si="443"/>
        <v>0</v>
      </c>
      <c r="AE590" s="138">
        <f t="shared" si="444"/>
        <v>0</v>
      </c>
      <c r="AF590" s="138">
        <f t="shared" si="445"/>
        <v>0</v>
      </c>
      <c r="AG590" s="138">
        <f t="shared" si="446"/>
        <v>0</v>
      </c>
      <c r="AH590" s="138">
        <f t="shared" si="447"/>
        <v>0</v>
      </c>
      <c r="AI590" s="138">
        <f t="shared" si="448"/>
        <v>0</v>
      </c>
      <c r="AJ590" s="138">
        <f t="shared" si="449"/>
        <v>0</v>
      </c>
      <c r="AK590" s="138">
        <f t="shared" si="450"/>
        <v>0</v>
      </c>
      <c r="AL590" s="138">
        <f t="shared" si="451"/>
        <v>0</v>
      </c>
      <c r="AM590" s="138">
        <f t="shared" si="452"/>
        <v>8.7499999999999991E-3</v>
      </c>
      <c r="AO590" s="77" t="str">
        <f t="shared" si="409"/>
        <v>GDS-3 (Intermediate General Delivery)</v>
      </c>
      <c r="AP590" s="78" t="s">
        <v>672</v>
      </c>
      <c r="AQ590" s="77" t="str">
        <f t="shared" si="410"/>
        <v>Rider TPTFA (Third-Party Transaction Fee Adjustment)</v>
      </c>
      <c r="AR590" s="78" t="str">
        <f t="shared" si="411"/>
        <v>Billing Cycle</v>
      </c>
      <c r="AS590" s="79">
        <f t="shared" si="412"/>
        <v>6</v>
      </c>
      <c r="AT590" s="78">
        <f t="shared" si="413"/>
        <v>0</v>
      </c>
      <c r="AU590" s="78">
        <f t="shared" si="414"/>
        <v>0</v>
      </c>
      <c r="AV590" s="78">
        <f t="shared" si="415"/>
        <v>0</v>
      </c>
      <c r="AW590" s="78">
        <f t="shared" si="416"/>
        <v>0</v>
      </c>
      <c r="AX590" s="78">
        <f t="shared" si="417"/>
        <v>0</v>
      </c>
      <c r="AY590" s="78">
        <f t="shared" si="418"/>
        <v>0.21</v>
      </c>
      <c r="AZ590" s="78">
        <f t="shared" si="419"/>
        <v>0</v>
      </c>
      <c r="BA590" s="78">
        <f t="shared" si="420"/>
        <v>0</v>
      </c>
      <c r="BB590" s="78">
        <f t="shared" si="421"/>
        <v>0</v>
      </c>
      <c r="BC590" s="78">
        <f t="shared" si="422"/>
        <v>0</v>
      </c>
      <c r="BD590" s="78">
        <f t="shared" si="423"/>
        <v>0</v>
      </c>
      <c r="BE590" s="78">
        <f t="shared" si="424"/>
        <v>0</v>
      </c>
      <c r="BF590" s="88">
        <f t="shared" si="425"/>
        <v>0</v>
      </c>
      <c r="BG590" s="88">
        <f t="shared" si="426"/>
        <v>0</v>
      </c>
      <c r="BH590" s="88">
        <f t="shared" si="427"/>
        <v>0</v>
      </c>
      <c r="BI590" s="88">
        <f t="shared" si="428"/>
        <v>0</v>
      </c>
      <c r="BJ590" s="88">
        <f t="shared" si="429"/>
        <v>0</v>
      </c>
      <c r="BK590" s="88">
        <f t="shared" si="430"/>
        <v>0</v>
      </c>
      <c r="BL590" s="88">
        <f t="shared" si="431"/>
        <v>0</v>
      </c>
      <c r="BM590" s="88">
        <f t="shared" si="432"/>
        <v>0</v>
      </c>
      <c r="BN590" s="88">
        <f t="shared" si="433"/>
        <v>0</v>
      </c>
      <c r="BO590" s="88">
        <f t="shared" si="434"/>
        <v>0</v>
      </c>
      <c r="BP590" s="88">
        <f t="shared" si="435"/>
        <v>0</v>
      </c>
      <c r="BQ590" s="88">
        <f t="shared" si="436"/>
        <v>0</v>
      </c>
      <c r="BR590" s="88">
        <f t="shared" si="437"/>
        <v>0</v>
      </c>
      <c r="BS590" s="77"/>
      <c r="BT590" s="77"/>
    </row>
    <row r="591" spans="1:72" ht="14.1" customHeight="1" x14ac:dyDescent="0.2">
      <c r="A591" s="55" t="str">
        <f t="shared" si="408"/>
        <v>GDS-4 (Large General Delivery)_Rider TPTFA (Third-Party Transaction Fee Adjustment)</v>
      </c>
      <c r="B591" s="80" t="s">
        <v>673</v>
      </c>
      <c r="C591" s="83" t="s">
        <v>912</v>
      </c>
      <c r="D591" s="150"/>
      <c r="E591" s="81"/>
      <c r="F591" s="73" t="s">
        <v>649</v>
      </c>
      <c r="G591" s="73">
        <v>0</v>
      </c>
      <c r="H591" s="73">
        <v>6</v>
      </c>
      <c r="I591" s="74" t="s">
        <v>641</v>
      </c>
      <c r="J591" s="75" t="s">
        <v>634</v>
      </c>
      <c r="K591" s="74"/>
      <c r="L591" s="82">
        <v>0</v>
      </c>
      <c r="M591" s="138">
        <v>0</v>
      </c>
      <c r="N591" s="138">
        <v>0</v>
      </c>
      <c r="O591" s="138">
        <v>0</v>
      </c>
      <c r="P591" s="138">
        <v>0</v>
      </c>
      <c r="Q591" s="138">
        <v>0.21</v>
      </c>
      <c r="R591" s="138">
        <v>0</v>
      </c>
      <c r="S591" s="138">
        <v>0</v>
      </c>
      <c r="T591" s="138">
        <v>0</v>
      </c>
      <c r="U591" s="138">
        <v>0</v>
      </c>
      <c r="V591" s="138">
        <v>0</v>
      </c>
      <c r="W591" s="138">
        <v>0</v>
      </c>
      <c r="X591" s="138">
        <v>0</v>
      </c>
      <c r="Y591" s="138">
        <f t="shared" si="438"/>
        <v>0</v>
      </c>
      <c r="Z591" s="138">
        <f t="shared" si="439"/>
        <v>0</v>
      </c>
      <c r="AA591" s="138">
        <f t="shared" si="440"/>
        <v>0</v>
      </c>
      <c r="AB591" s="138">
        <f t="shared" si="441"/>
        <v>0</v>
      </c>
      <c r="AC591" s="138">
        <f t="shared" si="442"/>
        <v>0</v>
      </c>
      <c r="AD591" s="138">
        <f t="shared" si="443"/>
        <v>0</v>
      </c>
      <c r="AE591" s="138">
        <f t="shared" si="444"/>
        <v>0</v>
      </c>
      <c r="AF591" s="138">
        <f t="shared" si="445"/>
        <v>0</v>
      </c>
      <c r="AG591" s="138">
        <f t="shared" si="446"/>
        <v>0</v>
      </c>
      <c r="AH591" s="138">
        <f t="shared" si="447"/>
        <v>0</v>
      </c>
      <c r="AI591" s="138">
        <f t="shared" si="448"/>
        <v>0</v>
      </c>
      <c r="AJ591" s="138">
        <f t="shared" si="449"/>
        <v>0</v>
      </c>
      <c r="AK591" s="138">
        <f t="shared" si="450"/>
        <v>0</v>
      </c>
      <c r="AL591" s="138">
        <f t="shared" si="451"/>
        <v>0</v>
      </c>
      <c r="AM591" s="138">
        <f t="shared" si="452"/>
        <v>8.7499999999999991E-3</v>
      </c>
      <c r="AO591" s="77" t="str">
        <f t="shared" si="409"/>
        <v>GDS-4 (Large General Delivery)</v>
      </c>
      <c r="AP591" s="78" t="s">
        <v>674</v>
      </c>
      <c r="AQ591" s="77" t="str">
        <f t="shared" si="410"/>
        <v>Rider TPTFA (Third-Party Transaction Fee Adjustment)</v>
      </c>
      <c r="AR591" s="78" t="str">
        <f t="shared" si="411"/>
        <v>Billing Cycle</v>
      </c>
      <c r="AS591" s="79">
        <f t="shared" si="412"/>
        <v>6</v>
      </c>
      <c r="AT591" s="78">
        <f t="shared" si="413"/>
        <v>0</v>
      </c>
      <c r="AU591" s="78">
        <f t="shared" si="414"/>
        <v>0</v>
      </c>
      <c r="AV591" s="78">
        <f t="shared" si="415"/>
        <v>0</v>
      </c>
      <c r="AW591" s="78">
        <f t="shared" si="416"/>
        <v>0</v>
      </c>
      <c r="AX591" s="78">
        <f t="shared" si="417"/>
        <v>0</v>
      </c>
      <c r="AY591" s="78">
        <f t="shared" si="418"/>
        <v>0.21</v>
      </c>
      <c r="AZ591" s="78">
        <f t="shared" si="419"/>
        <v>0</v>
      </c>
      <c r="BA591" s="78">
        <f t="shared" si="420"/>
        <v>0</v>
      </c>
      <c r="BB591" s="78">
        <f t="shared" si="421"/>
        <v>0</v>
      </c>
      <c r="BC591" s="78">
        <f t="shared" si="422"/>
        <v>0</v>
      </c>
      <c r="BD591" s="78">
        <f t="shared" si="423"/>
        <v>0</v>
      </c>
      <c r="BE591" s="78">
        <f t="shared" si="424"/>
        <v>0</v>
      </c>
      <c r="BF591" s="88">
        <f t="shared" si="425"/>
        <v>0</v>
      </c>
      <c r="BG591" s="88">
        <f t="shared" si="426"/>
        <v>0</v>
      </c>
      <c r="BH591" s="88">
        <f t="shared" si="427"/>
        <v>0</v>
      </c>
      <c r="BI591" s="88">
        <f t="shared" si="428"/>
        <v>0</v>
      </c>
      <c r="BJ591" s="88">
        <f t="shared" si="429"/>
        <v>0</v>
      </c>
      <c r="BK591" s="88">
        <f t="shared" si="430"/>
        <v>0</v>
      </c>
      <c r="BL591" s="88">
        <f t="shared" si="431"/>
        <v>0</v>
      </c>
      <c r="BM591" s="88">
        <f t="shared" si="432"/>
        <v>0</v>
      </c>
      <c r="BN591" s="88">
        <f t="shared" si="433"/>
        <v>0</v>
      </c>
      <c r="BO591" s="88">
        <f t="shared" si="434"/>
        <v>0</v>
      </c>
      <c r="BP591" s="88">
        <f t="shared" si="435"/>
        <v>0</v>
      </c>
      <c r="BQ591" s="88">
        <f t="shared" si="436"/>
        <v>0</v>
      </c>
      <c r="BR591" s="88">
        <f t="shared" si="437"/>
        <v>0</v>
      </c>
      <c r="BS591" s="77"/>
      <c r="BT591" s="77"/>
    </row>
    <row r="592" spans="1:72" ht="14.1" customHeight="1" x14ac:dyDescent="0.2">
      <c r="A592" s="55" t="str">
        <f t="shared" si="408"/>
        <v>GDS-5 (Seasonal)_Rider TPTFA (Third-Party Transaction Fee Adjustment)</v>
      </c>
      <c r="B592" s="80" t="s">
        <v>675</v>
      </c>
      <c r="C592" s="83" t="s">
        <v>912</v>
      </c>
      <c r="D592" s="150"/>
      <c r="E592" s="81"/>
      <c r="F592" s="73" t="s">
        <v>649</v>
      </c>
      <c r="G592" s="73">
        <v>0</v>
      </c>
      <c r="H592" s="73">
        <v>6</v>
      </c>
      <c r="I592" s="74" t="s">
        <v>641</v>
      </c>
      <c r="J592" s="75" t="s">
        <v>634</v>
      </c>
      <c r="K592" s="74"/>
      <c r="L592" s="82">
        <v>0</v>
      </c>
      <c r="M592" s="138">
        <v>0</v>
      </c>
      <c r="N592" s="138">
        <v>0</v>
      </c>
      <c r="O592" s="138">
        <v>0</v>
      </c>
      <c r="P592" s="138">
        <v>0</v>
      </c>
      <c r="Q592" s="138">
        <v>0.21</v>
      </c>
      <c r="R592" s="138">
        <v>0</v>
      </c>
      <c r="S592" s="138">
        <v>0</v>
      </c>
      <c r="T592" s="138">
        <v>0</v>
      </c>
      <c r="U592" s="138">
        <v>0</v>
      </c>
      <c r="V592" s="138">
        <v>0</v>
      </c>
      <c r="W592" s="138">
        <v>0</v>
      </c>
      <c r="X592" s="138">
        <v>0</v>
      </c>
      <c r="Y592" s="138">
        <f t="shared" si="438"/>
        <v>0</v>
      </c>
      <c r="Z592" s="138">
        <f t="shared" si="439"/>
        <v>0</v>
      </c>
      <c r="AA592" s="138">
        <f t="shared" si="440"/>
        <v>0</v>
      </c>
      <c r="AB592" s="138">
        <f t="shared" si="441"/>
        <v>0</v>
      </c>
      <c r="AC592" s="138">
        <f t="shared" si="442"/>
        <v>0</v>
      </c>
      <c r="AD592" s="138">
        <f t="shared" si="443"/>
        <v>0</v>
      </c>
      <c r="AE592" s="138">
        <f t="shared" si="444"/>
        <v>0</v>
      </c>
      <c r="AF592" s="138">
        <f t="shared" si="445"/>
        <v>0</v>
      </c>
      <c r="AG592" s="138">
        <f t="shared" si="446"/>
        <v>0</v>
      </c>
      <c r="AH592" s="138">
        <f t="shared" si="447"/>
        <v>0</v>
      </c>
      <c r="AI592" s="138">
        <f t="shared" si="448"/>
        <v>0</v>
      </c>
      <c r="AJ592" s="138">
        <f t="shared" si="449"/>
        <v>0</v>
      </c>
      <c r="AK592" s="138">
        <f t="shared" si="450"/>
        <v>0</v>
      </c>
      <c r="AL592" s="138">
        <f t="shared" si="451"/>
        <v>0</v>
      </c>
      <c r="AM592" s="138">
        <f t="shared" si="452"/>
        <v>8.7499999999999991E-3</v>
      </c>
      <c r="AO592" s="77" t="str">
        <f t="shared" si="409"/>
        <v>GDS-5 (Seasonal)</v>
      </c>
      <c r="AP592" s="78" t="s">
        <v>676</v>
      </c>
      <c r="AQ592" s="77" t="str">
        <f t="shared" si="410"/>
        <v>Rider TPTFA (Third-Party Transaction Fee Adjustment)</v>
      </c>
      <c r="AR592" s="78" t="str">
        <f t="shared" si="411"/>
        <v>Billing Cycle</v>
      </c>
      <c r="AS592" s="79">
        <f t="shared" si="412"/>
        <v>6</v>
      </c>
      <c r="AT592" s="78">
        <f t="shared" si="413"/>
        <v>0</v>
      </c>
      <c r="AU592" s="78">
        <f t="shared" si="414"/>
        <v>0</v>
      </c>
      <c r="AV592" s="78">
        <f t="shared" si="415"/>
        <v>0</v>
      </c>
      <c r="AW592" s="78">
        <f t="shared" si="416"/>
        <v>0</v>
      </c>
      <c r="AX592" s="78">
        <f t="shared" si="417"/>
        <v>0</v>
      </c>
      <c r="AY592" s="78">
        <f t="shared" si="418"/>
        <v>0.21</v>
      </c>
      <c r="AZ592" s="78">
        <f t="shared" si="419"/>
        <v>0</v>
      </c>
      <c r="BA592" s="78">
        <f t="shared" si="420"/>
        <v>0</v>
      </c>
      <c r="BB592" s="78">
        <f t="shared" si="421"/>
        <v>0</v>
      </c>
      <c r="BC592" s="78">
        <f t="shared" si="422"/>
        <v>0</v>
      </c>
      <c r="BD592" s="78">
        <f t="shared" si="423"/>
        <v>0</v>
      </c>
      <c r="BE592" s="78">
        <f t="shared" si="424"/>
        <v>0</v>
      </c>
      <c r="BF592" s="88">
        <f t="shared" si="425"/>
        <v>0</v>
      </c>
      <c r="BG592" s="88">
        <f t="shared" si="426"/>
        <v>0</v>
      </c>
      <c r="BH592" s="88">
        <f t="shared" si="427"/>
        <v>0</v>
      </c>
      <c r="BI592" s="88">
        <f t="shared" si="428"/>
        <v>0</v>
      </c>
      <c r="BJ592" s="88">
        <f t="shared" si="429"/>
        <v>0</v>
      </c>
      <c r="BK592" s="88">
        <f t="shared" si="430"/>
        <v>0</v>
      </c>
      <c r="BL592" s="88">
        <f t="shared" si="431"/>
        <v>0</v>
      </c>
      <c r="BM592" s="88">
        <f t="shared" si="432"/>
        <v>0</v>
      </c>
      <c r="BN592" s="88">
        <f t="shared" si="433"/>
        <v>0</v>
      </c>
      <c r="BO592" s="88">
        <f t="shared" si="434"/>
        <v>0</v>
      </c>
      <c r="BP592" s="88">
        <f t="shared" si="435"/>
        <v>0</v>
      </c>
      <c r="BQ592" s="88">
        <f t="shared" si="436"/>
        <v>0</v>
      </c>
      <c r="BR592" s="88">
        <f t="shared" si="437"/>
        <v>0</v>
      </c>
      <c r="BS592" s="77"/>
      <c r="BT592" s="77"/>
    </row>
    <row r="593" spans="1:72" ht="14.1" customHeight="1" x14ac:dyDescent="0.2">
      <c r="A593" s="55" t="str">
        <f t="shared" si="408"/>
        <v>GDS-6 (Inadequate Capacity)_Rider TPTFA (Third-Party Transaction Fee Adjustment)</v>
      </c>
      <c r="B593" s="80" t="s">
        <v>700</v>
      </c>
      <c r="C593" s="83" t="s">
        <v>912</v>
      </c>
      <c r="D593" s="150"/>
      <c r="E593" s="81"/>
      <c r="F593" s="73" t="s">
        <v>649</v>
      </c>
      <c r="G593" s="73">
        <v>0</v>
      </c>
      <c r="H593" s="73">
        <v>6</v>
      </c>
      <c r="I593" s="74" t="s">
        <v>641</v>
      </c>
      <c r="J593" s="75" t="s">
        <v>634</v>
      </c>
      <c r="K593" s="74"/>
      <c r="L593" s="82">
        <v>0</v>
      </c>
      <c r="M593" s="138">
        <v>0</v>
      </c>
      <c r="N593" s="138">
        <v>0</v>
      </c>
      <c r="O593" s="138">
        <v>0</v>
      </c>
      <c r="P593" s="138">
        <v>0</v>
      </c>
      <c r="Q593" s="138">
        <v>0.21</v>
      </c>
      <c r="R593" s="138">
        <v>0</v>
      </c>
      <c r="S593" s="138">
        <v>0</v>
      </c>
      <c r="T593" s="138">
        <v>0</v>
      </c>
      <c r="U593" s="138">
        <v>0</v>
      </c>
      <c r="V593" s="138">
        <v>0</v>
      </c>
      <c r="W593" s="138">
        <v>0</v>
      </c>
      <c r="X593" s="138">
        <v>0</v>
      </c>
      <c r="Y593" s="138">
        <f t="shared" si="438"/>
        <v>0</v>
      </c>
      <c r="Z593" s="138">
        <f t="shared" si="439"/>
        <v>0</v>
      </c>
      <c r="AA593" s="138">
        <f t="shared" si="440"/>
        <v>0</v>
      </c>
      <c r="AB593" s="138">
        <f t="shared" si="441"/>
        <v>0</v>
      </c>
      <c r="AC593" s="138">
        <f t="shared" si="442"/>
        <v>0</v>
      </c>
      <c r="AD593" s="138">
        <f t="shared" si="443"/>
        <v>0</v>
      </c>
      <c r="AE593" s="138">
        <f t="shared" si="444"/>
        <v>0</v>
      </c>
      <c r="AF593" s="138">
        <f t="shared" si="445"/>
        <v>0</v>
      </c>
      <c r="AG593" s="138">
        <f t="shared" si="446"/>
        <v>0</v>
      </c>
      <c r="AH593" s="138">
        <f t="shared" si="447"/>
        <v>0</v>
      </c>
      <c r="AI593" s="138">
        <f t="shared" si="448"/>
        <v>0</v>
      </c>
      <c r="AJ593" s="138">
        <f t="shared" si="449"/>
        <v>0</v>
      </c>
      <c r="AK593" s="138">
        <f t="shared" si="450"/>
        <v>0</v>
      </c>
      <c r="AL593" s="138">
        <f t="shared" si="451"/>
        <v>0</v>
      </c>
      <c r="AM593" s="138">
        <f t="shared" si="452"/>
        <v>8.7499999999999991E-3</v>
      </c>
      <c r="AO593" s="77" t="str">
        <f t="shared" si="409"/>
        <v>GDS-6 (Inadequate Capacity)</v>
      </c>
      <c r="AP593" s="78" t="s">
        <v>701</v>
      </c>
      <c r="AQ593" s="77" t="str">
        <f t="shared" si="410"/>
        <v>Rider TPTFA (Third-Party Transaction Fee Adjustment)</v>
      </c>
      <c r="AR593" s="78" t="str">
        <f t="shared" si="411"/>
        <v>Billing Cycle</v>
      </c>
      <c r="AS593" s="79">
        <f t="shared" si="412"/>
        <v>6</v>
      </c>
      <c r="AT593" s="78">
        <f t="shared" si="413"/>
        <v>0</v>
      </c>
      <c r="AU593" s="78">
        <f t="shared" si="414"/>
        <v>0</v>
      </c>
      <c r="AV593" s="78">
        <f t="shared" si="415"/>
        <v>0</v>
      </c>
      <c r="AW593" s="78">
        <f t="shared" si="416"/>
        <v>0</v>
      </c>
      <c r="AX593" s="78">
        <f t="shared" si="417"/>
        <v>0</v>
      </c>
      <c r="AY593" s="78">
        <f t="shared" si="418"/>
        <v>0.21</v>
      </c>
      <c r="AZ593" s="78">
        <f t="shared" si="419"/>
        <v>0</v>
      </c>
      <c r="BA593" s="78">
        <f t="shared" si="420"/>
        <v>0</v>
      </c>
      <c r="BB593" s="78">
        <f t="shared" si="421"/>
        <v>0</v>
      </c>
      <c r="BC593" s="78">
        <f t="shared" si="422"/>
        <v>0</v>
      </c>
      <c r="BD593" s="78">
        <f t="shared" si="423"/>
        <v>0</v>
      </c>
      <c r="BE593" s="78">
        <f t="shared" si="424"/>
        <v>0</v>
      </c>
      <c r="BF593" s="88">
        <f t="shared" si="425"/>
        <v>0</v>
      </c>
      <c r="BG593" s="88">
        <f t="shared" si="426"/>
        <v>0</v>
      </c>
      <c r="BH593" s="88">
        <f t="shared" si="427"/>
        <v>0</v>
      </c>
      <c r="BI593" s="88">
        <f t="shared" si="428"/>
        <v>0</v>
      </c>
      <c r="BJ593" s="88">
        <f t="shared" si="429"/>
        <v>0</v>
      </c>
      <c r="BK593" s="88">
        <f t="shared" si="430"/>
        <v>0</v>
      </c>
      <c r="BL593" s="88">
        <f t="shared" si="431"/>
        <v>0</v>
      </c>
      <c r="BM593" s="88">
        <f t="shared" si="432"/>
        <v>0</v>
      </c>
      <c r="BN593" s="88">
        <f t="shared" si="433"/>
        <v>0</v>
      </c>
      <c r="BO593" s="88">
        <f t="shared" si="434"/>
        <v>0</v>
      </c>
      <c r="BP593" s="88">
        <f t="shared" si="435"/>
        <v>0</v>
      </c>
      <c r="BQ593" s="88">
        <f t="shared" si="436"/>
        <v>0</v>
      </c>
      <c r="BR593" s="88">
        <f t="shared" si="437"/>
        <v>0</v>
      </c>
      <c r="BS593" s="77"/>
      <c r="BT593" s="77"/>
    </row>
    <row r="594" spans="1:72" ht="14.1" customHeight="1" x14ac:dyDescent="0.2">
      <c r="A594" s="55" t="str">
        <f t="shared" si="408"/>
        <v>DS-1 (Residential)_Rider EDITA (Electric Deferred Income Tax Adjustment)</v>
      </c>
      <c r="B594" s="80" t="s">
        <v>90</v>
      </c>
      <c r="C594" s="83" t="s">
        <v>568</v>
      </c>
      <c r="D594" s="150" t="s">
        <v>568</v>
      </c>
      <c r="E594" s="81"/>
      <c r="F594" s="73" t="s">
        <v>649</v>
      </c>
      <c r="G594" s="73">
        <v>0</v>
      </c>
      <c r="H594" s="73">
        <v>6</v>
      </c>
      <c r="I594" s="74" t="s">
        <v>641</v>
      </c>
      <c r="J594" s="75" t="s">
        <v>634</v>
      </c>
      <c r="K594" s="74"/>
      <c r="L594" s="82">
        <v>-7.1000000000000004E-3</v>
      </c>
      <c r="M594" s="138">
        <v>-2.7300000000000001E-2</v>
      </c>
      <c r="N594" s="138">
        <v>-2.7300000000000001E-2</v>
      </c>
      <c r="O594" s="138">
        <v>-2.7300000000000001E-2</v>
      </c>
      <c r="P594" s="138">
        <v>-2.7300000000000001E-2</v>
      </c>
      <c r="Q594" s="138">
        <v>-2.7300000000000001E-2</v>
      </c>
      <c r="R594" s="138">
        <v>-2.7300000000000001E-2</v>
      </c>
      <c r="S594" s="138">
        <v>-2.7300000000000001E-2</v>
      </c>
      <c r="T594" s="138">
        <v>-2.7300000000000001E-2</v>
      </c>
      <c r="U594" s="138">
        <v>-2.7300000000000001E-2</v>
      </c>
      <c r="V594" s="138">
        <v>-2.7300000000000001E-2</v>
      </c>
      <c r="W594" s="138">
        <v>-2.7300000000000001E-2</v>
      </c>
      <c r="X594" s="138">
        <v>-2.7300000000000001E-2</v>
      </c>
      <c r="Y594" s="138">
        <f t="shared" si="438"/>
        <v>-2.7300000000000001E-2</v>
      </c>
      <c r="Z594" s="138">
        <f t="shared" si="439"/>
        <v>-2.7300000000000001E-2</v>
      </c>
      <c r="AA594" s="138">
        <f t="shared" si="440"/>
        <v>-2.7300000000000001E-2</v>
      </c>
      <c r="AB594" s="138">
        <f t="shared" si="441"/>
        <v>-2.7300000000000001E-2</v>
      </c>
      <c r="AC594" s="138">
        <f t="shared" si="442"/>
        <v>-2.7300000000000001E-2</v>
      </c>
      <c r="AD594" s="138">
        <f t="shared" si="443"/>
        <v>-2.7300000000000001E-2</v>
      </c>
      <c r="AE594" s="138">
        <f t="shared" si="444"/>
        <v>-2.7300000000000001E-2</v>
      </c>
      <c r="AF594" s="138">
        <f t="shared" si="445"/>
        <v>-2.7300000000000001E-2</v>
      </c>
      <c r="AG594" s="138">
        <f t="shared" si="446"/>
        <v>-2.7300000000000001E-2</v>
      </c>
      <c r="AH594" s="138">
        <f t="shared" si="447"/>
        <v>-2.7300000000000001E-2</v>
      </c>
      <c r="AI594" s="138">
        <f t="shared" si="448"/>
        <v>-2.7300000000000001E-2</v>
      </c>
      <c r="AJ594" s="138">
        <f t="shared" si="449"/>
        <v>-2.7300000000000001E-2</v>
      </c>
      <c r="AK594" s="138">
        <f t="shared" si="450"/>
        <v>-2.7300000000000001E-2</v>
      </c>
      <c r="AL594" s="138">
        <f t="shared" si="451"/>
        <v>-2.7299999999999994E-2</v>
      </c>
      <c r="AM594" s="138">
        <f t="shared" si="452"/>
        <v>-2.7299999999999994E-2</v>
      </c>
      <c r="AO594" s="77" t="str">
        <f t="shared" si="409"/>
        <v>DS-1 (Residential)</v>
      </c>
      <c r="AP594" s="78" t="s">
        <v>662</v>
      </c>
      <c r="AQ594" s="77" t="str">
        <f t="shared" si="410"/>
        <v>Rider EDITA (Electric Deferred Income Tax Adjustment)</v>
      </c>
      <c r="AR594" s="78" t="str">
        <f t="shared" si="411"/>
        <v>Billing Cycle</v>
      </c>
      <c r="AS594" s="79">
        <f t="shared" si="412"/>
        <v>6</v>
      </c>
      <c r="AT594" s="78">
        <f t="shared" si="413"/>
        <v>0</v>
      </c>
      <c r="AU594" s="78">
        <f t="shared" si="414"/>
        <v>-2.7300000000000001E-2</v>
      </c>
      <c r="AV594" s="78">
        <f t="shared" si="415"/>
        <v>-2.7300000000000001E-2</v>
      </c>
      <c r="AW594" s="78">
        <f t="shared" si="416"/>
        <v>-2.7300000000000001E-2</v>
      </c>
      <c r="AX594" s="78">
        <f t="shared" si="417"/>
        <v>-2.7300000000000001E-2</v>
      </c>
      <c r="AY594" s="78">
        <f t="shared" si="418"/>
        <v>-2.7300000000000001E-2</v>
      </c>
      <c r="AZ594" s="78">
        <f t="shared" si="419"/>
        <v>-2.7300000000000001E-2</v>
      </c>
      <c r="BA594" s="78">
        <f t="shared" si="420"/>
        <v>-2.7300000000000001E-2</v>
      </c>
      <c r="BB594" s="78">
        <f t="shared" si="421"/>
        <v>-2.7300000000000001E-2</v>
      </c>
      <c r="BC594" s="78">
        <f t="shared" si="422"/>
        <v>-2.7300000000000001E-2</v>
      </c>
      <c r="BD594" s="78">
        <f t="shared" si="423"/>
        <v>-2.7300000000000001E-2</v>
      </c>
      <c r="BE594" s="78">
        <f t="shared" si="424"/>
        <v>-2.7300000000000001E-2</v>
      </c>
      <c r="BF594" s="88">
        <f t="shared" si="425"/>
        <v>-2.7300000000000001E-2</v>
      </c>
      <c r="BG594" s="88">
        <f t="shared" si="426"/>
        <v>-2.7300000000000001E-2</v>
      </c>
      <c r="BH594" s="88">
        <f t="shared" si="427"/>
        <v>-2.7300000000000001E-2</v>
      </c>
      <c r="BI594" s="88">
        <f t="shared" si="428"/>
        <v>-2.7300000000000001E-2</v>
      </c>
      <c r="BJ594" s="88">
        <f t="shared" si="429"/>
        <v>-2.7300000000000001E-2</v>
      </c>
      <c r="BK594" s="88">
        <f t="shared" si="430"/>
        <v>-2.7300000000000001E-2</v>
      </c>
      <c r="BL594" s="88">
        <f t="shared" si="431"/>
        <v>-2.7300000000000001E-2</v>
      </c>
      <c r="BM594" s="88">
        <f t="shared" si="432"/>
        <v>-2.7300000000000001E-2</v>
      </c>
      <c r="BN594" s="88">
        <f t="shared" si="433"/>
        <v>-2.7300000000000001E-2</v>
      </c>
      <c r="BO594" s="88">
        <f t="shared" si="434"/>
        <v>-2.7300000000000001E-2</v>
      </c>
      <c r="BP594" s="88">
        <f t="shared" si="435"/>
        <v>-2.7300000000000001E-2</v>
      </c>
      <c r="BQ594" s="88">
        <f t="shared" si="436"/>
        <v>-2.7300000000000001E-2</v>
      </c>
      <c r="BR594" s="88">
        <f t="shared" si="437"/>
        <v>-2.7300000000000001E-2</v>
      </c>
      <c r="BS594" s="77"/>
      <c r="BT594" s="77"/>
    </row>
    <row r="595" spans="1:72" ht="14.1" customHeight="1" x14ac:dyDescent="0.2">
      <c r="A595" s="55" t="str">
        <f t="shared" si="408"/>
        <v>DS-2 (Small General Service)_Rider EDITA (Electric Deferred Income Tax Adjustment)</v>
      </c>
      <c r="B595" s="80" t="s">
        <v>665</v>
      </c>
      <c r="C595" s="83" t="s">
        <v>568</v>
      </c>
      <c r="D595" s="150"/>
      <c r="E595" s="81"/>
      <c r="F595" s="73" t="s">
        <v>649</v>
      </c>
      <c r="G595" s="73">
        <v>0</v>
      </c>
      <c r="H595" s="73">
        <v>6</v>
      </c>
      <c r="I595" s="74" t="s">
        <v>641</v>
      </c>
      <c r="J595" s="75" t="s">
        <v>634</v>
      </c>
      <c r="K595" s="74"/>
      <c r="L595" s="82">
        <v>-7.1000000000000004E-3</v>
      </c>
      <c r="M595" s="138">
        <v>-2.7300000000000001E-2</v>
      </c>
      <c r="N595" s="138">
        <v>-2.7300000000000001E-2</v>
      </c>
      <c r="O595" s="138">
        <v>-2.7300000000000001E-2</v>
      </c>
      <c r="P595" s="138">
        <v>-2.7300000000000001E-2</v>
      </c>
      <c r="Q595" s="138">
        <v>-2.7300000000000001E-2</v>
      </c>
      <c r="R595" s="138">
        <v>-2.7300000000000001E-2</v>
      </c>
      <c r="S595" s="138">
        <v>-2.7300000000000001E-2</v>
      </c>
      <c r="T595" s="138">
        <v>-2.7300000000000001E-2</v>
      </c>
      <c r="U595" s="138">
        <v>-2.7300000000000001E-2</v>
      </c>
      <c r="V595" s="138">
        <v>-2.7300000000000001E-2</v>
      </c>
      <c r="W595" s="138">
        <v>-2.7300000000000001E-2</v>
      </c>
      <c r="X595" s="138">
        <v>-2.7300000000000001E-2</v>
      </c>
      <c r="Y595" s="138">
        <f t="shared" si="438"/>
        <v>-2.7300000000000001E-2</v>
      </c>
      <c r="Z595" s="138">
        <f t="shared" si="439"/>
        <v>-2.7300000000000001E-2</v>
      </c>
      <c r="AA595" s="138">
        <f t="shared" si="440"/>
        <v>-2.7300000000000001E-2</v>
      </c>
      <c r="AB595" s="138">
        <f t="shared" si="441"/>
        <v>-2.7300000000000001E-2</v>
      </c>
      <c r="AC595" s="138">
        <f t="shared" si="442"/>
        <v>-2.7300000000000001E-2</v>
      </c>
      <c r="AD595" s="138">
        <f t="shared" si="443"/>
        <v>-2.7300000000000001E-2</v>
      </c>
      <c r="AE595" s="138">
        <f t="shared" si="444"/>
        <v>-2.7300000000000001E-2</v>
      </c>
      <c r="AF595" s="138">
        <f t="shared" si="445"/>
        <v>-2.7300000000000001E-2</v>
      </c>
      <c r="AG595" s="138">
        <f t="shared" si="446"/>
        <v>-2.7300000000000001E-2</v>
      </c>
      <c r="AH595" s="138">
        <f t="shared" si="447"/>
        <v>-2.7300000000000001E-2</v>
      </c>
      <c r="AI595" s="138">
        <f t="shared" si="448"/>
        <v>-2.7300000000000001E-2</v>
      </c>
      <c r="AJ595" s="138">
        <f t="shared" si="449"/>
        <v>-2.7300000000000001E-2</v>
      </c>
      <c r="AK595" s="138">
        <f t="shared" si="450"/>
        <v>-2.7300000000000001E-2</v>
      </c>
      <c r="AL595" s="138">
        <f t="shared" si="451"/>
        <v>-2.7299999999999994E-2</v>
      </c>
      <c r="AM595" s="138">
        <f t="shared" si="452"/>
        <v>-2.7299999999999994E-2</v>
      </c>
      <c r="AO595" s="77" t="str">
        <f t="shared" si="409"/>
        <v>DS-2 (Small General Service)</v>
      </c>
      <c r="AP595" s="78" t="s">
        <v>664</v>
      </c>
      <c r="AQ595" s="77" t="str">
        <f t="shared" si="410"/>
        <v>Rider EDITA (Electric Deferred Income Tax Adjustment)</v>
      </c>
      <c r="AR595" s="78" t="str">
        <f t="shared" si="411"/>
        <v>Billing Cycle</v>
      </c>
      <c r="AS595" s="79">
        <f t="shared" si="412"/>
        <v>6</v>
      </c>
      <c r="AT595" s="78">
        <f t="shared" si="413"/>
        <v>0</v>
      </c>
      <c r="AU595" s="78">
        <f t="shared" si="414"/>
        <v>-2.7300000000000001E-2</v>
      </c>
      <c r="AV595" s="78">
        <f t="shared" si="415"/>
        <v>-2.7300000000000001E-2</v>
      </c>
      <c r="AW595" s="78">
        <f t="shared" si="416"/>
        <v>-2.7300000000000001E-2</v>
      </c>
      <c r="AX595" s="78">
        <f t="shared" si="417"/>
        <v>-2.7300000000000001E-2</v>
      </c>
      <c r="AY595" s="78">
        <f t="shared" si="418"/>
        <v>-2.7300000000000001E-2</v>
      </c>
      <c r="AZ595" s="78">
        <f t="shared" si="419"/>
        <v>-2.7300000000000001E-2</v>
      </c>
      <c r="BA595" s="78">
        <f t="shared" si="420"/>
        <v>-2.7300000000000001E-2</v>
      </c>
      <c r="BB595" s="78">
        <f t="shared" si="421"/>
        <v>-2.7300000000000001E-2</v>
      </c>
      <c r="BC595" s="78">
        <f t="shared" si="422"/>
        <v>-2.7300000000000001E-2</v>
      </c>
      <c r="BD595" s="78">
        <f t="shared" si="423"/>
        <v>-2.7300000000000001E-2</v>
      </c>
      <c r="BE595" s="78">
        <f t="shared" si="424"/>
        <v>-2.7300000000000001E-2</v>
      </c>
      <c r="BF595" s="88">
        <f t="shared" si="425"/>
        <v>-2.7300000000000001E-2</v>
      </c>
      <c r="BG595" s="88">
        <f t="shared" si="426"/>
        <v>-2.7300000000000001E-2</v>
      </c>
      <c r="BH595" s="88">
        <f t="shared" si="427"/>
        <v>-2.7300000000000001E-2</v>
      </c>
      <c r="BI595" s="88">
        <f t="shared" si="428"/>
        <v>-2.7300000000000001E-2</v>
      </c>
      <c r="BJ595" s="88">
        <f t="shared" si="429"/>
        <v>-2.7300000000000001E-2</v>
      </c>
      <c r="BK595" s="88">
        <f t="shared" si="430"/>
        <v>-2.7300000000000001E-2</v>
      </c>
      <c r="BL595" s="88">
        <f t="shared" si="431"/>
        <v>-2.7300000000000001E-2</v>
      </c>
      <c r="BM595" s="88">
        <f t="shared" si="432"/>
        <v>-2.7300000000000001E-2</v>
      </c>
      <c r="BN595" s="88">
        <f t="shared" si="433"/>
        <v>-2.7300000000000001E-2</v>
      </c>
      <c r="BO595" s="88">
        <f t="shared" si="434"/>
        <v>-2.7300000000000001E-2</v>
      </c>
      <c r="BP595" s="88">
        <f t="shared" si="435"/>
        <v>-2.7300000000000001E-2</v>
      </c>
      <c r="BQ595" s="88">
        <f t="shared" si="436"/>
        <v>-2.7300000000000001E-2</v>
      </c>
      <c r="BR595" s="88">
        <f t="shared" si="437"/>
        <v>-2.7300000000000001E-2</v>
      </c>
      <c r="BS595" s="77"/>
      <c r="BT595" s="77"/>
    </row>
    <row r="596" spans="1:72" ht="14.1" customHeight="1" x14ac:dyDescent="0.2">
      <c r="A596" s="55" t="str">
        <f t="shared" si="408"/>
        <v>DS-2 Optional (Small General Service)_Rider EDITA (Electric Deferred Income Tax Adjustment)</v>
      </c>
      <c r="B596" s="80" t="s">
        <v>663</v>
      </c>
      <c r="C596" s="83" t="s">
        <v>568</v>
      </c>
      <c r="D596" s="150"/>
      <c r="E596" s="81"/>
      <c r="F596" s="73" t="s">
        <v>649</v>
      </c>
      <c r="G596" s="73">
        <v>0</v>
      </c>
      <c r="H596" s="73">
        <v>6</v>
      </c>
      <c r="I596" s="74" t="s">
        <v>641</v>
      </c>
      <c r="J596" s="75" t="s">
        <v>634</v>
      </c>
      <c r="K596" s="74"/>
      <c r="L596" s="82">
        <v>-7.1000000000000004E-3</v>
      </c>
      <c r="M596" s="138">
        <v>-2.7300000000000001E-2</v>
      </c>
      <c r="N596" s="138">
        <v>-2.7300000000000001E-2</v>
      </c>
      <c r="O596" s="138">
        <v>-2.7300000000000001E-2</v>
      </c>
      <c r="P596" s="138">
        <v>-2.7300000000000001E-2</v>
      </c>
      <c r="Q596" s="138">
        <v>-2.7300000000000001E-2</v>
      </c>
      <c r="R596" s="138">
        <v>-2.7300000000000001E-2</v>
      </c>
      <c r="S596" s="138">
        <v>-2.7300000000000001E-2</v>
      </c>
      <c r="T596" s="138">
        <v>-2.7300000000000001E-2</v>
      </c>
      <c r="U596" s="138">
        <v>-2.7300000000000001E-2</v>
      </c>
      <c r="V596" s="138">
        <v>-2.7300000000000001E-2</v>
      </c>
      <c r="W596" s="138">
        <v>-2.7300000000000001E-2</v>
      </c>
      <c r="X596" s="138">
        <v>-2.7300000000000001E-2</v>
      </c>
      <c r="Y596" s="138">
        <f t="shared" si="438"/>
        <v>-2.7300000000000001E-2</v>
      </c>
      <c r="Z596" s="138">
        <f t="shared" si="439"/>
        <v>-2.7300000000000001E-2</v>
      </c>
      <c r="AA596" s="138">
        <f t="shared" si="440"/>
        <v>-2.7300000000000001E-2</v>
      </c>
      <c r="AB596" s="138">
        <f t="shared" si="441"/>
        <v>-2.7300000000000001E-2</v>
      </c>
      <c r="AC596" s="138">
        <f t="shared" si="442"/>
        <v>-2.7300000000000001E-2</v>
      </c>
      <c r="AD596" s="138">
        <f t="shared" si="443"/>
        <v>-2.7300000000000001E-2</v>
      </c>
      <c r="AE596" s="138">
        <f t="shared" si="444"/>
        <v>-2.7300000000000001E-2</v>
      </c>
      <c r="AF596" s="138">
        <f t="shared" si="445"/>
        <v>-2.7300000000000001E-2</v>
      </c>
      <c r="AG596" s="138">
        <f t="shared" si="446"/>
        <v>-2.7300000000000001E-2</v>
      </c>
      <c r="AH596" s="138">
        <f t="shared" si="447"/>
        <v>-2.7300000000000001E-2</v>
      </c>
      <c r="AI596" s="138">
        <f t="shared" si="448"/>
        <v>-2.7300000000000001E-2</v>
      </c>
      <c r="AJ596" s="138">
        <f t="shared" si="449"/>
        <v>-2.7300000000000001E-2</v>
      </c>
      <c r="AK596" s="138">
        <f t="shared" si="450"/>
        <v>-2.7300000000000001E-2</v>
      </c>
      <c r="AL596" s="138">
        <f t="shared" si="451"/>
        <v>-2.7299999999999994E-2</v>
      </c>
      <c r="AM596" s="138">
        <f t="shared" si="452"/>
        <v>-2.7299999999999994E-2</v>
      </c>
      <c r="AO596" s="77" t="str">
        <f t="shared" si="409"/>
        <v>DS-2 Optional (Small General Service)</v>
      </c>
      <c r="AP596" s="78" t="s">
        <v>664</v>
      </c>
      <c r="AQ596" s="77" t="str">
        <f t="shared" si="410"/>
        <v>Rider EDITA (Electric Deferred Income Tax Adjustment)</v>
      </c>
      <c r="AR596" s="78" t="str">
        <f t="shared" si="411"/>
        <v>Billing Cycle</v>
      </c>
      <c r="AS596" s="79">
        <f t="shared" si="412"/>
        <v>6</v>
      </c>
      <c r="AT596" s="78">
        <f t="shared" si="413"/>
        <v>0</v>
      </c>
      <c r="AU596" s="78">
        <f t="shared" si="414"/>
        <v>-2.7300000000000001E-2</v>
      </c>
      <c r="AV596" s="78">
        <f t="shared" si="415"/>
        <v>-2.7300000000000001E-2</v>
      </c>
      <c r="AW596" s="78">
        <f t="shared" si="416"/>
        <v>-2.7300000000000001E-2</v>
      </c>
      <c r="AX596" s="78">
        <f t="shared" si="417"/>
        <v>-2.7300000000000001E-2</v>
      </c>
      <c r="AY596" s="78">
        <f t="shared" si="418"/>
        <v>-2.7300000000000001E-2</v>
      </c>
      <c r="AZ596" s="78">
        <f t="shared" si="419"/>
        <v>-2.7300000000000001E-2</v>
      </c>
      <c r="BA596" s="78">
        <f t="shared" si="420"/>
        <v>-2.7300000000000001E-2</v>
      </c>
      <c r="BB596" s="78">
        <f t="shared" si="421"/>
        <v>-2.7300000000000001E-2</v>
      </c>
      <c r="BC596" s="78">
        <f t="shared" si="422"/>
        <v>-2.7300000000000001E-2</v>
      </c>
      <c r="BD596" s="78">
        <f t="shared" si="423"/>
        <v>-2.7300000000000001E-2</v>
      </c>
      <c r="BE596" s="78">
        <f t="shared" si="424"/>
        <v>-2.7300000000000001E-2</v>
      </c>
      <c r="BF596" s="88">
        <f t="shared" si="425"/>
        <v>-2.7300000000000001E-2</v>
      </c>
      <c r="BG596" s="88">
        <f t="shared" si="426"/>
        <v>-2.7300000000000001E-2</v>
      </c>
      <c r="BH596" s="88">
        <f t="shared" si="427"/>
        <v>-2.7300000000000001E-2</v>
      </c>
      <c r="BI596" s="88">
        <f t="shared" si="428"/>
        <v>-2.7300000000000001E-2</v>
      </c>
      <c r="BJ596" s="88">
        <f t="shared" si="429"/>
        <v>-2.7300000000000001E-2</v>
      </c>
      <c r="BK596" s="88">
        <f t="shared" si="430"/>
        <v>-2.7300000000000001E-2</v>
      </c>
      <c r="BL596" s="88">
        <f t="shared" si="431"/>
        <v>-2.7300000000000001E-2</v>
      </c>
      <c r="BM596" s="88">
        <f t="shared" si="432"/>
        <v>-2.7300000000000001E-2</v>
      </c>
      <c r="BN596" s="88">
        <f t="shared" si="433"/>
        <v>-2.7300000000000001E-2</v>
      </c>
      <c r="BO596" s="88">
        <f t="shared" si="434"/>
        <v>-2.7300000000000001E-2</v>
      </c>
      <c r="BP596" s="88">
        <f t="shared" si="435"/>
        <v>-2.7300000000000001E-2</v>
      </c>
      <c r="BQ596" s="88">
        <f t="shared" si="436"/>
        <v>-2.7300000000000001E-2</v>
      </c>
      <c r="BR596" s="88">
        <f t="shared" si="437"/>
        <v>-2.7300000000000001E-2</v>
      </c>
      <c r="BS596" s="77"/>
      <c r="BT596" s="77"/>
    </row>
    <row r="597" spans="1:72" ht="14.1" customHeight="1" x14ac:dyDescent="0.2">
      <c r="A597" s="55" t="str">
        <f t="shared" si="408"/>
        <v>DS-3 (General Delivery Service)_Rider EDITA (Electric Deferred Income Tax Adjustment)</v>
      </c>
      <c r="B597" s="80" t="s">
        <v>666</v>
      </c>
      <c r="C597" s="83" t="s">
        <v>568</v>
      </c>
      <c r="D597" s="150"/>
      <c r="E597" s="81"/>
      <c r="F597" s="73" t="s">
        <v>649</v>
      </c>
      <c r="G597" s="73">
        <v>0</v>
      </c>
      <c r="H597" s="73">
        <v>6</v>
      </c>
      <c r="I597" s="74" t="s">
        <v>641</v>
      </c>
      <c r="J597" s="75" t="s">
        <v>634</v>
      </c>
      <c r="K597" s="74"/>
      <c r="L597" s="82">
        <v>-7.1000000000000004E-3</v>
      </c>
      <c r="M597" s="138">
        <v>-2.7300000000000001E-2</v>
      </c>
      <c r="N597" s="138">
        <v>-2.7300000000000001E-2</v>
      </c>
      <c r="O597" s="138">
        <v>-2.7300000000000001E-2</v>
      </c>
      <c r="P597" s="138">
        <v>-2.7300000000000001E-2</v>
      </c>
      <c r="Q597" s="138">
        <v>-2.7300000000000001E-2</v>
      </c>
      <c r="R597" s="138">
        <v>-2.7300000000000001E-2</v>
      </c>
      <c r="S597" s="138">
        <v>-2.7300000000000001E-2</v>
      </c>
      <c r="T597" s="138">
        <v>-2.7300000000000001E-2</v>
      </c>
      <c r="U597" s="138">
        <v>-2.7300000000000001E-2</v>
      </c>
      <c r="V597" s="138">
        <v>-2.7300000000000001E-2</v>
      </c>
      <c r="W597" s="138">
        <v>-2.7300000000000001E-2</v>
      </c>
      <c r="X597" s="138">
        <v>-2.7300000000000001E-2</v>
      </c>
      <c r="Y597" s="138">
        <f t="shared" si="438"/>
        <v>-2.7300000000000001E-2</v>
      </c>
      <c r="Z597" s="138">
        <f t="shared" si="439"/>
        <v>-2.7300000000000001E-2</v>
      </c>
      <c r="AA597" s="138">
        <f t="shared" si="440"/>
        <v>-2.7300000000000001E-2</v>
      </c>
      <c r="AB597" s="138">
        <f t="shared" si="441"/>
        <v>-2.7300000000000001E-2</v>
      </c>
      <c r="AC597" s="138">
        <f t="shared" si="442"/>
        <v>-2.7300000000000001E-2</v>
      </c>
      <c r="AD597" s="138">
        <f t="shared" si="443"/>
        <v>-2.7300000000000001E-2</v>
      </c>
      <c r="AE597" s="138">
        <f t="shared" si="444"/>
        <v>-2.7300000000000001E-2</v>
      </c>
      <c r="AF597" s="138">
        <f t="shared" si="445"/>
        <v>-2.7300000000000001E-2</v>
      </c>
      <c r="AG597" s="138">
        <f t="shared" si="446"/>
        <v>-2.7300000000000001E-2</v>
      </c>
      <c r="AH597" s="138">
        <f t="shared" si="447"/>
        <v>-2.7300000000000001E-2</v>
      </c>
      <c r="AI597" s="138">
        <f t="shared" si="448"/>
        <v>-2.7300000000000001E-2</v>
      </c>
      <c r="AJ597" s="138">
        <f t="shared" si="449"/>
        <v>-2.7300000000000001E-2</v>
      </c>
      <c r="AK597" s="138">
        <f t="shared" si="450"/>
        <v>-2.7300000000000001E-2</v>
      </c>
      <c r="AL597" s="138">
        <f t="shared" si="451"/>
        <v>-2.7299999999999994E-2</v>
      </c>
      <c r="AM597" s="138">
        <f t="shared" si="452"/>
        <v>-2.7299999999999994E-2</v>
      </c>
      <c r="AO597" s="77" t="str">
        <f t="shared" si="409"/>
        <v>DS-3 (General Delivery Service)</v>
      </c>
      <c r="AP597" s="78" t="s">
        <v>667</v>
      </c>
      <c r="AQ597" s="77" t="str">
        <f t="shared" si="410"/>
        <v>Rider EDITA (Electric Deferred Income Tax Adjustment)</v>
      </c>
      <c r="AR597" s="78" t="str">
        <f t="shared" si="411"/>
        <v>Billing Cycle</v>
      </c>
      <c r="AS597" s="79">
        <f t="shared" si="412"/>
        <v>6</v>
      </c>
      <c r="AT597" s="78">
        <f t="shared" si="413"/>
        <v>0</v>
      </c>
      <c r="AU597" s="78">
        <f t="shared" si="414"/>
        <v>-2.7300000000000001E-2</v>
      </c>
      <c r="AV597" s="78">
        <f t="shared" si="415"/>
        <v>-2.7300000000000001E-2</v>
      </c>
      <c r="AW597" s="78">
        <f t="shared" si="416"/>
        <v>-2.7300000000000001E-2</v>
      </c>
      <c r="AX597" s="78">
        <f t="shared" si="417"/>
        <v>-2.7300000000000001E-2</v>
      </c>
      <c r="AY597" s="78">
        <f t="shared" si="418"/>
        <v>-2.7300000000000001E-2</v>
      </c>
      <c r="AZ597" s="78">
        <f t="shared" si="419"/>
        <v>-2.7300000000000001E-2</v>
      </c>
      <c r="BA597" s="78">
        <f t="shared" si="420"/>
        <v>-2.7300000000000001E-2</v>
      </c>
      <c r="BB597" s="78">
        <f t="shared" si="421"/>
        <v>-2.7300000000000001E-2</v>
      </c>
      <c r="BC597" s="78">
        <f t="shared" si="422"/>
        <v>-2.7300000000000001E-2</v>
      </c>
      <c r="BD597" s="78">
        <f t="shared" si="423"/>
        <v>-2.7300000000000001E-2</v>
      </c>
      <c r="BE597" s="78">
        <f t="shared" si="424"/>
        <v>-2.7300000000000001E-2</v>
      </c>
      <c r="BF597" s="88">
        <f t="shared" si="425"/>
        <v>-2.7300000000000001E-2</v>
      </c>
      <c r="BG597" s="88">
        <f t="shared" si="426"/>
        <v>-2.7300000000000001E-2</v>
      </c>
      <c r="BH597" s="88">
        <f t="shared" si="427"/>
        <v>-2.7300000000000001E-2</v>
      </c>
      <c r="BI597" s="88">
        <f t="shared" si="428"/>
        <v>-2.7300000000000001E-2</v>
      </c>
      <c r="BJ597" s="88">
        <f t="shared" si="429"/>
        <v>-2.7300000000000001E-2</v>
      </c>
      <c r="BK597" s="88">
        <f t="shared" si="430"/>
        <v>-2.7300000000000001E-2</v>
      </c>
      <c r="BL597" s="88">
        <f t="shared" si="431"/>
        <v>-2.7300000000000001E-2</v>
      </c>
      <c r="BM597" s="88">
        <f t="shared" si="432"/>
        <v>-2.7300000000000001E-2</v>
      </c>
      <c r="BN597" s="88">
        <f t="shared" si="433"/>
        <v>-2.7300000000000001E-2</v>
      </c>
      <c r="BO597" s="88">
        <f t="shared" si="434"/>
        <v>-2.7300000000000001E-2</v>
      </c>
      <c r="BP597" s="88">
        <f t="shared" si="435"/>
        <v>-2.7300000000000001E-2</v>
      </c>
      <c r="BQ597" s="88">
        <f t="shared" si="436"/>
        <v>-2.7300000000000001E-2</v>
      </c>
      <c r="BR597" s="88">
        <f t="shared" si="437"/>
        <v>-2.7300000000000001E-2</v>
      </c>
      <c r="BS597" s="77"/>
      <c r="BT597" s="77"/>
    </row>
    <row r="598" spans="1:72" ht="14.1" customHeight="1" x14ac:dyDescent="0.2">
      <c r="A598" s="55" t="str">
        <f t="shared" si="408"/>
        <v>DS-4 (Large General Service)_Rider EDITA (Electric Deferred Income Tax Adjustment)</v>
      </c>
      <c r="B598" s="80" t="s">
        <v>639</v>
      </c>
      <c r="C598" s="83" t="s">
        <v>568</v>
      </c>
      <c r="D598" s="150"/>
      <c r="E598" s="81"/>
      <c r="F598" s="73" t="s">
        <v>649</v>
      </c>
      <c r="G598" s="73">
        <v>0</v>
      </c>
      <c r="H598" s="73">
        <v>6</v>
      </c>
      <c r="I598" s="74" t="s">
        <v>641</v>
      </c>
      <c r="J598" s="75" t="s">
        <v>634</v>
      </c>
      <c r="K598" s="74"/>
      <c r="L598" s="82">
        <v>-7.1000000000000004E-3</v>
      </c>
      <c r="M598" s="138">
        <v>-2.7300000000000001E-2</v>
      </c>
      <c r="N598" s="138">
        <v>-2.7300000000000001E-2</v>
      </c>
      <c r="O598" s="138">
        <v>-2.7300000000000001E-2</v>
      </c>
      <c r="P598" s="138">
        <v>-2.7300000000000001E-2</v>
      </c>
      <c r="Q598" s="138">
        <v>-2.7300000000000001E-2</v>
      </c>
      <c r="R598" s="138">
        <v>-2.7300000000000001E-2</v>
      </c>
      <c r="S598" s="138">
        <v>-2.7300000000000001E-2</v>
      </c>
      <c r="T598" s="138">
        <v>-2.7300000000000001E-2</v>
      </c>
      <c r="U598" s="138">
        <v>-2.7300000000000001E-2</v>
      </c>
      <c r="V598" s="138">
        <v>-2.7300000000000001E-2</v>
      </c>
      <c r="W598" s="138">
        <v>-2.7300000000000001E-2</v>
      </c>
      <c r="X598" s="138">
        <v>-2.7300000000000001E-2</v>
      </c>
      <c r="Y598" s="138">
        <f t="shared" si="438"/>
        <v>-2.7300000000000001E-2</v>
      </c>
      <c r="Z598" s="138">
        <f t="shared" si="439"/>
        <v>-2.7300000000000001E-2</v>
      </c>
      <c r="AA598" s="138">
        <f t="shared" si="440"/>
        <v>-2.7300000000000001E-2</v>
      </c>
      <c r="AB598" s="138">
        <f t="shared" si="441"/>
        <v>-2.7300000000000001E-2</v>
      </c>
      <c r="AC598" s="138">
        <f t="shared" si="442"/>
        <v>-2.7300000000000001E-2</v>
      </c>
      <c r="AD598" s="138">
        <f t="shared" si="443"/>
        <v>-2.7300000000000001E-2</v>
      </c>
      <c r="AE598" s="138">
        <f t="shared" si="444"/>
        <v>-2.7300000000000001E-2</v>
      </c>
      <c r="AF598" s="138">
        <f t="shared" si="445"/>
        <v>-2.7300000000000001E-2</v>
      </c>
      <c r="AG598" s="138">
        <f t="shared" si="446"/>
        <v>-2.7300000000000001E-2</v>
      </c>
      <c r="AH598" s="138">
        <f t="shared" si="447"/>
        <v>-2.7300000000000001E-2</v>
      </c>
      <c r="AI598" s="138">
        <f t="shared" si="448"/>
        <v>-2.7300000000000001E-2</v>
      </c>
      <c r="AJ598" s="138">
        <f t="shared" si="449"/>
        <v>-2.7300000000000001E-2</v>
      </c>
      <c r="AK598" s="138">
        <f t="shared" si="450"/>
        <v>-2.7300000000000001E-2</v>
      </c>
      <c r="AL598" s="138">
        <f t="shared" si="451"/>
        <v>-2.7299999999999994E-2</v>
      </c>
      <c r="AM598" s="138">
        <f t="shared" si="452"/>
        <v>-2.7299999999999994E-2</v>
      </c>
      <c r="AO598" s="77" t="str">
        <f t="shared" si="409"/>
        <v>DS-4 (Large General Service)</v>
      </c>
      <c r="AP598" s="78" t="s">
        <v>642</v>
      </c>
      <c r="AQ598" s="77" t="str">
        <f t="shared" si="410"/>
        <v>Rider EDITA (Electric Deferred Income Tax Adjustment)</v>
      </c>
      <c r="AR598" s="78" t="str">
        <f t="shared" si="411"/>
        <v>Billing Cycle</v>
      </c>
      <c r="AS598" s="79">
        <f t="shared" si="412"/>
        <v>6</v>
      </c>
      <c r="AT598" s="78">
        <f t="shared" si="413"/>
        <v>0</v>
      </c>
      <c r="AU598" s="78">
        <f t="shared" si="414"/>
        <v>-2.7300000000000001E-2</v>
      </c>
      <c r="AV598" s="78">
        <f t="shared" si="415"/>
        <v>-2.7300000000000001E-2</v>
      </c>
      <c r="AW598" s="78">
        <f t="shared" si="416"/>
        <v>-2.7300000000000001E-2</v>
      </c>
      <c r="AX598" s="78">
        <f t="shared" si="417"/>
        <v>-2.7300000000000001E-2</v>
      </c>
      <c r="AY598" s="78">
        <f t="shared" si="418"/>
        <v>-2.7300000000000001E-2</v>
      </c>
      <c r="AZ598" s="78">
        <f t="shared" si="419"/>
        <v>-2.7300000000000001E-2</v>
      </c>
      <c r="BA598" s="78">
        <f t="shared" si="420"/>
        <v>-2.7300000000000001E-2</v>
      </c>
      <c r="BB598" s="78">
        <f t="shared" si="421"/>
        <v>-2.7300000000000001E-2</v>
      </c>
      <c r="BC598" s="78">
        <f t="shared" si="422"/>
        <v>-2.7300000000000001E-2</v>
      </c>
      <c r="BD598" s="78">
        <f t="shared" si="423"/>
        <v>-2.7300000000000001E-2</v>
      </c>
      <c r="BE598" s="78">
        <f t="shared" si="424"/>
        <v>-2.7300000000000001E-2</v>
      </c>
      <c r="BF598" s="88">
        <f t="shared" si="425"/>
        <v>-2.7300000000000001E-2</v>
      </c>
      <c r="BG598" s="88">
        <f t="shared" si="426"/>
        <v>-2.7300000000000001E-2</v>
      </c>
      <c r="BH598" s="88">
        <f t="shared" si="427"/>
        <v>-2.7300000000000001E-2</v>
      </c>
      <c r="BI598" s="88">
        <f t="shared" si="428"/>
        <v>-2.7300000000000001E-2</v>
      </c>
      <c r="BJ598" s="88">
        <f t="shared" si="429"/>
        <v>-2.7300000000000001E-2</v>
      </c>
      <c r="BK598" s="88">
        <f t="shared" si="430"/>
        <v>-2.7300000000000001E-2</v>
      </c>
      <c r="BL598" s="88">
        <f t="shared" si="431"/>
        <v>-2.7300000000000001E-2</v>
      </c>
      <c r="BM598" s="88">
        <f t="shared" si="432"/>
        <v>-2.7300000000000001E-2</v>
      </c>
      <c r="BN598" s="88">
        <f t="shared" si="433"/>
        <v>-2.7300000000000001E-2</v>
      </c>
      <c r="BO598" s="88">
        <f t="shared" si="434"/>
        <v>-2.7300000000000001E-2</v>
      </c>
      <c r="BP598" s="88">
        <f t="shared" si="435"/>
        <v>-2.7300000000000001E-2</v>
      </c>
      <c r="BQ598" s="88">
        <f t="shared" si="436"/>
        <v>-2.7300000000000001E-2</v>
      </c>
      <c r="BR598" s="88">
        <f t="shared" si="437"/>
        <v>-2.7300000000000001E-2</v>
      </c>
      <c r="BS598" s="77"/>
      <c r="BT598" s="77"/>
    </row>
    <row r="599" spans="1:72" ht="14.1" customHeight="1" x14ac:dyDescent="0.2">
      <c r="A599" s="55" t="str">
        <f t="shared" si="408"/>
        <v>DS-6 (DS-3) Temp. Sensitive DS_Rider EDITA (Electric Deferred Income Tax Adjustment)</v>
      </c>
      <c r="B599" s="80" t="s">
        <v>643</v>
      </c>
      <c r="C599" s="83" t="s">
        <v>568</v>
      </c>
      <c r="D599" s="150"/>
      <c r="E599" s="81"/>
      <c r="F599" s="73" t="s">
        <v>649</v>
      </c>
      <c r="G599" s="73">
        <v>0</v>
      </c>
      <c r="H599" s="73">
        <v>6</v>
      </c>
      <c r="I599" s="74" t="s">
        <v>641</v>
      </c>
      <c r="J599" s="75" t="s">
        <v>634</v>
      </c>
      <c r="K599" s="74"/>
      <c r="L599" s="82">
        <v>-7.1000000000000004E-3</v>
      </c>
      <c r="M599" s="138">
        <v>-2.7300000000000001E-2</v>
      </c>
      <c r="N599" s="138">
        <v>-2.7300000000000001E-2</v>
      </c>
      <c r="O599" s="138">
        <v>-2.7300000000000001E-2</v>
      </c>
      <c r="P599" s="138">
        <v>-2.7300000000000001E-2</v>
      </c>
      <c r="Q599" s="138">
        <v>-2.7300000000000001E-2</v>
      </c>
      <c r="R599" s="138">
        <v>-2.7300000000000001E-2</v>
      </c>
      <c r="S599" s="138">
        <v>-2.7300000000000001E-2</v>
      </c>
      <c r="T599" s="138">
        <v>-2.7300000000000001E-2</v>
      </c>
      <c r="U599" s="138">
        <v>-2.7300000000000001E-2</v>
      </c>
      <c r="V599" s="138">
        <v>-2.7300000000000001E-2</v>
      </c>
      <c r="W599" s="138">
        <v>-2.7300000000000001E-2</v>
      </c>
      <c r="X599" s="138">
        <v>-2.7300000000000001E-2</v>
      </c>
      <c r="Y599" s="138">
        <f t="shared" si="438"/>
        <v>-2.7300000000000001E-2</v>
      </c>
      <c r="Z599" s="138">
        <f t="shared" si="439"/>
        <v>-2.7300000000000001E-2</v>
      </c>
      <c r="AA599" s="138">
        <f t="shared" si="440"/>
        <v>-2.7300000000000001E-2</v>
      </c>
      <c r="AB599" s="138">
        <f t="shared" si="441"/>
        <v>-2.7300000000000001E-2</v>
      </c>
      <c r="AC599" s="138">
        <f t="shared" si="442"/>
        <v>-2.7300000000000001E-2</v>
      </c>
      <c r="AD599" s="138">
        <f t="shared" si="443"/>
        <v>-2.7300000000000001E-2</v>
      </c>
      <c r="AE599" s="138">
        <f t="shared" si="444"/>
        <v>-2.7300000000000001E-2</v>
      </c>
      <c r="AF599" s="138">
        <f t="shared" si="445"/>
        <v>-2.7300000000000001E-2</v>
      </c>
      <c r="AG599" s="138">
        <f t="shared" si="446"/>
        <v>-2.7300000000000001E-2</v>
      </c>
      <c r="AH599" s="138">
        <f t="shared" si="447"/>
        <v>-2.7300000000000001E-2</v>
      </c>
      <c r="AI599" s="138">
        <f t="shared" si="448"/>
        <v>-2.7300000000000001E-2</v>
      </c>
      <c r="AJ599" s="138">
        <f t="shared" si="449"/>
        <v>-2.7300000000000001E-2</v>
      </c>
      <c r="AK599" s="138">
        <f t="shared" si="450"/>
        <v>-2.7300000000000001E-2</v>
      </c>
      <c r="AL599" s="138">
        <f t="shared" si="451"/>
        <v>-2.7299999999999994E-2</v>
      </c>
      <c r="AM599" s="138">
        <f t="shared" si="452"/>
        <v>-2.7299999999999994E-2</v>
      </c>
      <c r="AO599" s="77" t="str">
        <f t="shared" si="409"/>
        <v>DS-6 (DS-3) Temp. Sensitive DS</v>
      </c>
      <c r="AP599" s="78" t="s">
        <v>644</v>
      </c>
      <c r="AQ599" s="77" t="str">
        <f t="shared" si="410"/>
        <v>Rider EDITA (Electric Deferred Income Tax Adjustment)</v>
      </c>
      <c r="AR599" s="78" t="str">
        <f t="shared" si="411"/>
        <v>Billing Cycle</v>
      </c>
      <c r="AS599" s="79">
        <f t="shared" si="412"/>
        <v>6</v>
      </c>
      <c r="AT599" s="78">
        <f t="shared" si="413"/>
        <v>0</v>
      </c>
      <c r="AU599" s="78">
        <f t="shared" si="414"/>
        <v>-2.7300000000000001E-2</v>
      </c>
      <c r="AV599" s="78">
        <f t="shared" si="415"/>
        <v>-2.7300000000000001E-2</v>
      </c>
      <c r="AW599" s="78">
        <f t="shared" si="416"/>
        <v>-2.7300000000000001E-2</v>
      </c>
      <c r="AX599" s="78">
        <f t="shared" si="417"/>
        <v>-2.7300000000000001E-2</v>
      </c>
      <c r="AY599" s="78">
        <f t="shared" si="418"/>
        <v>-2.7300000000000001E-2</v>
      </c>
      <c r="AZ599" s="78">
        <f t="shared" si="419"/>
        <v>-2.7300000000000001E-2</v>
      </c>
      <c r="BA599" s="78">
        <f t="shared" si="420"/>
        <v>-2.7300000000000001E-2</v>
      </c>
      <c r="BB599" s="78">
        <f t="shared" si="421"/>
        <v>-2.7300000000000001E-2</v>
      </c>
      <c r="BC599" s="78">
        <f t="shared" si="422"/>
        <v>-2.7300000000000001E-2</v>
      </c>
      <c r="BD599" s="78">
        <f t="shared" si="423"/>
        <v>-2.7300000000000001E-2</v>
      </c>
      <c r="BE599" s="78">
        <f t="shared" si="424"/>
        <v>-2.7300000000000001E-2</v>
      </c>
      <c r="BF599" s="88">
        <f t="shared" si="425"/>
        <v>-2.7300000000000001E-2</v>
      </c>
      <c r="BG599" s="88">
        <f t="shared" si="426"/>
        <v>-2.7300000000000001E-2</v>
      </c>
      <c r="BH599" s="88">
        <f t="shared" si="427"/>
        <v>-2.7300000000000001E-2</v>
      </c>
      <c r="BI599" s="88">
        <f t="shared" si="428"/>
        <v>-2.7300000000000001E-2</v>
      </c>
      <c r="BJ599" s="88">
        <f t="shared" si="429"/>
        <v>-2.7300000000000001E-2</v>
      </c>
      <c r="BK599" s="88">
        <f t="shared" si="430"/>
        <v>-2.7300000000000001E-2</v>
      </c>
      <c r="BL599" s="88">
        <f t="shared" si="431"/>
        <v>-2.7300000000000001E-2</v>
      </c>
      <c r="BM599" s="88">
        <f t="shared" si="432"/>
        <v>-2.7300000000000001E-2</v>
      </c>
      <c r="BN599" s="88">
        <f t="shared" si="433"/>
        <v>-2.7300000000000001E-2</v>
      </c>
      <c r="BO599" s="88">
        <f t="shared" si="434"/>
        <v>-2.7300000000000001E-2</v>
      </c>
      <c r="BP599" s="88">
        <f t="shared" si="435"/>
        <v>-2.7300000000000001E-2</v>
      </c>
      <c r="BQ599" s="88">
        <f t="shared" si="436"/>
        <v>-2.7300000000000001E-2</v>
      </c>
      <c r="BR599" s="88">
        <f t="shared" si="437"/>
        <v>-2.7300000000000001E-2</v>
      </c>
      <c r="BS599" s="77"/>
      <c r="BT599" s="77"/>
    </row>
    <row r="600" spans="1:72" ht="14.1" customHeight="1" x14ac:dyDescent="0.2">
      <c r="A600" s="55" t="str">
        <f t="shared" si="408"/>
        <v>DS-6 (DS-4) Temp. Sensitive DS_Rider EDITA (Electric Deferred Income Tax Adjustment)</v>
      </c>
      <c r="B600" s="80" t="s">
        <v>645</v>
      </c>
      <c r="C600" s="83" t="s">
        <v>568</v>
      </c>
      <c r="D600" s="150"/>
      <c r="E600" s="81"/>
      <c r="F600" s="73" t="s">
        <v>649</v>
      </c>
      <c r="G600" s="73">
        <v>0</v>
      </c>
      <c r="H600" s="73">
        <v>6</v>
      </c>
      <c r="I600" s="74" t="s">
        <v>641</v>
      </c>
      <c r="J600" s="75" t="s">
        <v>634</v>
      </c>
      <c r="K600" s="74"/>
      <c r="L600" s="82">
        <v>-7.1000000000000004E-3</v>
      </c>
      <c r="M600" s="138">
        <v>-2.7300000000000001E-2</v>
      </c>
      <c r="N600" s="138">
        <v>-2.7300000000000001E-2</v>
      </c>
      <c r="O600" s="138">
        <v>-2.7300000000000001E-2</v>
      </c>
      <c r="P600" s="138">
        <v>-2.7300000000000001E-2</v>
      </c>
      <c r="Q600" s="138">
        <v>-2.7300000000000001E-2</v>
      </c>
      <c r="R600" s="138">
        <v>-2.7300000000000001E-2</v>
      </c>
      <c r="S600" s="138">
        <v>-2.7300000000000001E-2</v>
      </c>
      <c r="T600" s="138">
        <v>-2.7300000000000001E-2</v>
      </c>
      <c r="U600" s="138">
        <v>-2.7300000000000001E-2</v>
      </c>
      <c r="V600" s="138">
        <v>-2.7300000000000001E-2</v>
      </c>
      <c r="W600" s="138">
        <v>-2.7300000000000001E-2</v>
      </c>
      <c r="X600" s="138">
        <v>-2.7300000000000001E-2</v>
      </c>
      <c r="Y600" s="138">
        <f t="shared" si="438"/>
        <v>-2.7300000000000001E-2</v>
      </c>
      <c r="Z600" s="138">
        <f t="shared" si="439"/>
        <v>-2.7300000000000001E-2</v>
      </c>
      <c r="AA600" s="138">
        <f t="shared" si="440"/>
        <v>-2.7300000000000001E-2</v>
      </c>
      <c r="AB600" s="138">
        <f t="shared" si="441"/>
        <v>-2.7300000000000001E-2</v>
      </c>
      <c r="AC600" s="138">
        <f t="shared" si="442"/>
        <v>-2.7300000000000001E-2</v>
      </c>
      <c r="AD600" s="138">
        <f t="shared" si="443"/>
        <v>-2.7300000000000001E-2</v>
      </c>
      <c r="AE600" s="138">
        <f t="shared" si="444"/>
        <v>-2.7300000000000001E-2</v>
      </c>
      <c r="AF600" s="138">
        <f t="shared" si="445"/>
        <v>-2.7300000000000001E-2</v>
      </c>
      <c r="AG600" s="138">
        <f t="shared" si="446"/>
        <v>-2.7300000000000001E-2</v>
      </c>
      <c r="AH600" s="138">
        <f t="shared" si="447"/>
        <v>-2.7300000000000001E-2</v>
      </c>
      <c r="AI600" s="138">
        <f t="shared" si="448"/>
        <v>-2.7300000000000001E-2</v>
      </c>
      <c r="AJ600" s="138">
        <f t="shared" si="449"/>
        <v>-2.7300000000000001E-2</v>
      </c>
      <c r="AK600" s="138">
        <f t="shared" si="450"/>
        <v>-2.7300000000000001E-2</v>
      </c>
      <c r="AL600" s="138">
        <f t="shared" si="451"/>
        <v>-2.7299999999999994E-2</v>
      </c>
      <c r="AM600" s="138">
        <f t="shared" si="452"/>
        <v>-2.7299999999999994E-2</v>
      </c>
      <c r="AO600" s="77" t="str">
        <f t="shared" si="409"/>
        <v>DS-6 (DS-4) Temp. Sensitive DS</v>
      </c>
      <c r="AP600" s="78" t="s">
        <v>646</v>
      </c>
      <c r="AQ600" s="77" t="str">
        <f t="shared" si="410"/>
        <v>Rider EDITA (Electric Deferred Income Tax Adjustment)</v>
      </c>
      <c r="AR600" s="78" t="str">
        <f t="shared" si="411"/>
        <v>Billing Cycle</v>
      </c>
      <c r="AS600" s="79">
        <f t="shared" si="412"/>
        <v>6</v>
      </c>
      <c r="AT600" s="78">
        <f t="shared" si="413"/>
        <v>0</v>
      </c>
      <c r="AU600" s="78">
        <f t="shared" si="414"/>
        <v>-2.7300000000000001E-2</v>
      </c>
      <c r="AV600" s="78">
        <f t="shared" si="415"/>
        <v>-2.7300000000000001E-2</v>
      </c>
      <c r="AW600" s="78">
        <f t="shared" si="416"/>
        <v>-2.7300000000000001E-2</v>
      </c>
      <c r="AX600" s="78">
        <f t="shared" si="417"/>
        <v>-2.7300000000000001E-2</v>
      </c>
      <c r="AY600" s="78">
        <f t="shared" si="418"/>
        <v>-2.7300000000000001E-2</v>
      </c>
      <c r="AZ600" s="78">
        <f t="shared" si="419"/>
        <v>-2.7300000000000001E-2</v>
      </c>
      <c r="BA600" s="78">
        <f t="shared" si="420"/>
        <v>-2.7300000000000001E-2</v>
      </c>
      <c r="BB600" s="78">
        <f t="shared" si="421"/>
        <v>-2.7300000000000001E-2</v>
      </c>
      <c r="BC600" s="78">
        <f t="shared" si="422"/>
        <v>-2.7300000000000001E-2</v>
      </c>
      <c r="BD600" s="78">
        <f t="shared" si="423"/>
        <v>-2.7300000000000001E-2</v>
      </c>
      <c r="BE600" s="78">
        <f t="shared" si="424"/>
        <v>-2.7300000000000001E-2</v>
      </c>
      <c r="BF600" s="88">
        <f t="shared" si="425"/>
        <v>-2.7300000000000001E-2</v>
      </c>
      <c r="BG600" s="88">
        <f t="shared" si="426"/>
        <v>-2.7300000000000001E-2</v>
      </c>
      <c r="BH600" s="88">
        <f t="shared" si="427"/>
        <v>-2.7300000000000001E-2</v>
      </c>
      <c r="BI600" s="88">
        <f t="shared" si="428"/>
        <v>-2.7300000000000001E-2</v>
      </c>
      <c r="BJ600" s="88">
        <f t="shared" si="429"/>
        <v>-2.7300000000000001E-2</v>
      </c>
      <c r="BK600" s="88">
        <f t="shared" si="430"/>
        <v>-2.7300000000000001E-2</v>
      </c>
      <c r="BL600" s="88">
        <f t="shared" si="431"/>
        <v>-2.7300000000000001E-2</v>
      </c>
      <c r="BM600" s="88">
        <f t="shared" si="432"/>
        <v>-2.7300000000000001E-2</v>
      </c>
      <c r="BN600" s="88">
        <f t="shared" si="433"/>
        <v>-2.7300000000000001E-2</v>
      </c>
      <c r="BO600" s="88">
        <f t="shared" si="434"/>
        <v>-2.7300000000000001E-2</v>
      </c>
      <c r="BP600" s="88">
        <f t="shared" si="435"/>
        <v>-2.7300000000000001E-2</v>
      </c>
      <c r="BQ600" s="88">
        <f t="shared" si="436"/>
        <v>-2.7300000000000001E-2</v>
      </c>
      <c r="BR600" s="88">
        <f t="shared" si="437"/>
        <v>-2.7300000000000001E-2</v>
      </c>
      <c r="BS600" s="77"/>
      <c r="BT600" s="77"/>
    </row>
    <row r="601" spans="1:72" ht="14.1" customHeight="1" x14ac:dyDescent="0.2">
      <c r="A601" s="55" t="str">
        <f t="shared" si="408"/>
        <v>DS-1 (Residential)_Rider CSESC (Coal to Solar and Energy Storage Charge)</v>
      </c>
      <c r="B601" s="80" t="s">
        <v>90</v>
      </c>
      <c r="C601" s="83" t="s">
        <v>589</v>
      </c>
      <c r="D601" s="150" t="s">
        <v>589</v>
      </c>
      <c r="E601" s="81"/>
      <c r="F601" s="73" t="s">
        <v>649</v>
      </c>
      <c r="G601" s="73">
        <v>0</v>
      </c>
      <c r="H601" s="73">
        <v>6</v>
      </c>
      <c r="I601" s="74" t="s">
        <v>641</v>
      </c>
      <c r="J601" s="75" t="s">
        <v>634</v>
      </c>
      <c r="K601" s="74"/>
      <c r="L601" s="82">
        <v>0</v>
      </c>
      <c r="M601" s="138">
        <v>2.0000000000000002E-5</v>
      </c>
      <c r="N601" s="138">
        <v>2.0000000000000002E-5</v>
      </c>
      <c r="O601" s="138">
        <v>2.0000000000000002E-5</v>
      </c>
      <c r="P601" s="138">
        <v>2.0000000000000002E-5</v>
      </c>
      <c r="Q601" s="138">
        <v>2.0000000000000002E-5</v>
      </c>
      <c r="R601" s="138">
        <v>2.0000000000000002E-5</v>
      </c>
      <c r="S601" s="138">
        <v>2.0000000000000002E-5</v>
      </c>
      <c r="T601" s="138">
        <v>2.0000000000000002E-5</v>
      </c>
      <c r="U601" s="138">
        <v>2.0000000000000002E-5</v>
      </c>
      <c r="V601" s="138">
        <v>2.0000000000000002E-5</v>
      </c>
      <c r="W601" s="138">
        <v>2.0000000000000002E-5</v>
      </c>
      <c r="X601" s="138">
        <v>2.0000000000000002E-5</v>
      </c>
      <c r="Y601" s="138">
        <f t="shared" si="438"/>
        <v>2.0000000000000002E-5</v>
      </c>
      <c r="Z601" s="138">
        <f t="shared" si="439"/>
        <v>2.0000000000000002E-5</v>
      </c>
      <c r="AA601" s="138">
        <f t="shared" si="440"/>
        <v>2.0000000000000002E-5</v>
      </c>
      <c r="AB601" s="138">
        <f t="shared" si="441"/>
        <v>2.0000000000000002E-5</v>
      </c>
      <c r="AC601" s="138">
        <f t="shared" si="442"/>
        <v>2.0000000000000002E-5</v>
      </c>
      <c r="AD601" s="138">
        <f t="shared" si="443"/>
        <v>2.0000000000000002E-5</v>
      </c>
      <c r="AE601" s="138">
        <f t="shared" si="444"/>
        <v>2.0000000000000002E-5</v>
      </c>
      <c r="AF601" s="138">
        <f t="shared" si="445"/>
        <v>2.0000000000000002E-5</v>
      </c>
      <c r="AG601" s="138">
        <f t="shared" si="446"/>
        <v>2.0000000000000002E-5</v>
      </c>
      <c r="AH601" s="138">
        <f t="shared" si="447"/>
        <v>2.0000000000000002E-5</v>
      </c>
      <c r="AI601" s="138">
        <f t="shared" si="448"/>
        <v>2.0000000000000002E-5</v>
      </c>
      <c r="AJ601" s="138">
        <f t="shared" si="449"/>
        <v>2.0000000000000002E-5</v>
      </c>
      <c r="AK601" s="138">
        <f t="shared" si="450"/>
        <v>2.0000000000000002E-5</v>
      </c>
      <c r="AL601" s="138">
        <f t="shared" si="451"/>
        <v>2.0000000000000002E-5</v>
      </c>
      <c r="AM601" s="138">
        <f t="shared" si="452"/>
        <v>2.0000000000000002E-5</v>
      </c>
      <c r="AO601" s="77" t="str">
        <f t="shared" si="409"/>
        <v>DS-1 (Residential)</v>
      </c>
      <c r="AP601" s="78" t="s">
        <v>662</v>
      </c>
      <c r="AQ601" s="77" t="str">
        <f t="shared" si="410"/>
        <v>Rider CSESC (Coal to Solar and Energy Storage Charge)</v>
      </c>
      <c r="AR601" s="78" t="str">
        <f t="shared" si="411"/>
        <v>Billing Cycle</v>
      </c>
      <c r="AS601" s="79">
        <f t="shared" si="412"/>
        <v>6</v>
      </c>
      <c r="AT601" s="78">
        <f t="shared" si="413"/>
        <v>0</v>
      </c>
      <c r="AU601" s="78">
        <f t="shared" si="414"/>
        <v>2.0000000000000002E-5</v>
      </c>
      <c r="AV601" s="78">
        <f t="shared" si="415"/>
        <v>2.0000000000000002E-5</v>
      </c>
      <c r="AW601" s="78">
        <f t="shared" si="416"/>
        <v>2.0000000000000002E-5</v>
      </c>
      <c r="AX601" s="78">
        <f t="shared" si="417"/>
        <v>2.0000000000000002E-5</v>
      </c>
      <c r="AY601" s="78">
        <f t="shared" si="418"/>
        <v>2.0000000000000002E-5</v>
      </c>
      <c r="AZ601" s="78">
        <f t="shared" si="419"/>
        <v>2.0000000000000002E-5</v>
      </c>
      <c r="BA601" s="78">
        <f t="shared" si="420"/>
        <v>2.0000000000000002E-5</v>
      </c>
      <c r="BB601" s="78">
        <f t="shared" si="421"/>
        <v>2.0000000000000002E-5</v>
      </c>
      <c r="BC601" s="78">
        <f t="shared" si="422"/>
        <v>2.0000000000000002E-5</v>
      </c>
      <c r="BD601" s="78">
        <f t="shared" si="423"/>
        <v>2.0000000000000002E-5</v>
      </c>
      <c r="BE601" s="78">
        <f t="shared" si="424"/>
        <v>2.0000000000000002E-5</v>
      </c>
      <c r="BF601" s="88">
        <f t="shared" si="425"/>
        <v>2.0000000000000002E-5</v>
      </c>
      <c r="BG601" s="88">
        <f t="shared" si="426"/>
        <v>2.0000000000000002E-5</v>
      </c>
      <c r="BH601" s="88">
        <f t="shared" si="427"/>
        <v>2.0000000000000002E-5</v>
      </c>
      <c r="BI601" s="88">
        <f t="shared" si="428"/>
        <v>2.0000000000000002E-5</v>
      </c>
      <c r="BJ601" s="88">
        <f t="shared" si="429"/>
        <v>2.0000000000000002E-5</v>
      </c>
      <c r="BK601" s="88">
        <f t="shared" si="430"/>
        <v>2.0000000000000002E-5</v>
      </c>
      <c r="BL601" s="88">
        <f t="shared" si="431"/>
        <v>2.0000000000000002E-5</v>
      </c>
      <c r="BM601" s="88">
        <f t="shared" si="432"/>
        <v>2.0000000000000002E-5</v>
      </c>
      <c r="BN601" s="88">
        <f t="shared" si="433"/>
        <v>2.0000000000000002E-5</v>
      </c>
      <c r="BO601" s="88">
        <f t="shared" si="434"/>
        <v>2.0000000000000002E-5</v>
      </c>
      <c r="BP601" s="88">
        <f t="shared" si="435"/>
        <v>2.0000000000000002E-5</v>
      </c>
      <c r="BQ601" s="88">
        <f t="shared" si="436"/>
        <v>2.0000000000000002E-5</v>
      </c>
      <c r="BR601" s="88">
        <f t="shared" si="437"/>
        <v>2.0000000000000002E-5</v>
      </c>
      <c r="BS601" s="77"/>
      <c r="BT601" s="77"/>
    </row>
    <row r="602" spans="1:72" ht="14.1" customHeight="1" x14ac:dyDescent="0.2">
      <c r="A602" s="55" t="str">
        <f t="shared" si="408"/>
        <v>DS-2 (Small General Service)_Rider CSESC (Coal to Solar and Energy Storage Charge)</v>
      </c>
      <c r="B602" s="80" t="s">
        <v>665</v>
      </c>
      <c r="C602" s="83" t="s">
        <v>589</v>
      </c>
      <c r="D602" s="150"/>
      <c r="E602" s="81"/>
      <c r="F602" s="73" t="s">
        <v>649</v>
      </c>
      <c r="G602" s="73">
        <v>0</v>
      </c>
      <c r="H602" s="73">
        <v>6</v>
      </c>
      <c r="I602" s="74" t="s">
        <v>641</v>
      </c>
      <c r="J602" s="75" t="s">
        <v>634</v>
      </c>
      <c r="K602" s="74"/>
      <c r="L602" s="82">
        <v>0</v>
      </c>
      <c r="M602" s="138">
        <v>2.0000000000000002E-5</v>
      </c>
      <c r="N602" s="138">
        <v>2.0000000000000002E-5</v>
      </c>
      <c r="O602" s="138">
        <v>2.0000000000000002E-5</v>
      </c>
      <c r="P602" s="138">
        <v>2.0000000000000002E-5</v>
      </c>
      <c r="Q602" s="138">
        <v>2.0000000000000002E-5</v>
      </c>
      <c r="R602" s="138">
        <v>2.0000000000000002E-5</v>
      </c>
      <c r="S602" s="138">
        <v>2.0000000000000002E-5</v>
      </c>
      <c r="T602" s="138">
        <v>2.0000000000000002E-5</v>
      </c>
      <c r="U602" s="138">
        <v>2.0000000000000002E-5</v>
      </c>
      <c r="V602" s="138">
        <v>2.0000000000000002E-5</v>
      </c>
      <c r="W602" s="138">
        <v>2.0000000000000002E-5</v>
      </c>
      <c r="X602" s="138">
        <v>2.0000000000000002E-5</v>
      </c>
      <c r="Y602" s="138">
        <f t="shared" si="438"/>
        <v>2.0000000000000002E-5</v>
      </c>
      <c r="Z602" s="138">
        <f t="shared" si="439"/>
        <v>2.0000000000000002E-5</v>
      </c>
      <c r="AA602" s="138">
        <f t="shared" si="440"/>
        <v>2.0000000000000002E-5</v>
      </c>
      <c r="AB602" s="138">
        <f t="shared" si="441"/>
        <v>2.0000000000000002E-5</v>
      </c>
      <c r="AC602" s="138">
        <f t="shared" si="442"/>
        <v>2.0000000000000002E-5</v>
      </c>
      <c r="AD602" s="138">
        <f t="shared" si="443"/>
        <v>2.0000000000000002E-5</v>
      </c>
      <c r="AE602" s="138">
        <f t="shared" si="444"/>
        <v>2.0000000000000002E-5</v>
      </c>
      <c r="AF602" s="138">
        <f t="shared" si="445"/>
        <v>2.0000000000000002E-5</v>
      </c>
      <c r="AG602" s="138">
        <f t="shared" si="446"/>
        <v>2.0000000000000002E-5</v>
      </c>
      <c r="AH602" s="138">
        <f t="shared" si="447"/>
        <v>2.0000000000000002E-5</v>
      </c>
      <c r="AI602" s="138">
        <f t="shared" si="448"/>
        <v>2.0000000000000002E-5</v>
      </c>
      <c r="AJ602" s="138">
        <f t="shared" si="449"/>
        <v>2.0000000000000002E-5</v>
      </c>
      <c r="AK602" s="138">
        <f t="shared" si="450"/>
        <v>2.0000000000000002E-5</v>
      </c>
      <c r="AL602" s="138">
        <f t="shared" si="451"/>
        <v>2.0000000000000002E-5</v>
      </c>
      <c r="AM602" s="138">
        <f t="shared" si="452"/>
        <v>2.0000000000000002E-5</v>
      </c>
      <c r="AO602" s="77" t="str">
        <f t="shared" si="409"/>
        <v>DS-2 (Small General Service)</v>
      </c>
      <c r="AP602" s="78" t="s">
        <v>664</v>
      </c>
      <c r="AQ602" s="77" t="str">
        <f t="shared" si="410"/>
        <v>Rider CSESC (Coal to Solar and Energy Storage Charge)</v>
      </c>
      <c r="AR602" s="78" t="str">
        <f t="shared" si="411"/>
        <v>Billing Cycle</v>
      </c>
      <c r="AS602" s="79">
        <f t="shared" si="412"/>
        <v>6</v>
      </c>
      <c r="AT602" s="78">
        <f t="shared" si="413"/>
        <v>0</v>
      </c>
      <c r="AU602" s="78">
        <f t="shared" si="414"/>
        <v>2.0000000000000002E-5</v>
      </c>
      <c r="AV602" s="78">
        <f t="shared" si="415"/>
        <v>2.0000000000000002E-5</v>
      </c>
      <c r="AW602" s="78">
        <f t="shared" si="416"/>
        <v>2.0000000000000002E-5</v>
      </c>
      <c r="AX602" s="78">
        <f t="shared" si="417"/>
        <v>2.0000000000000002E-5</v>
      </c>
      <c r="AY602" s="78">
        <f t="shared" si="418"/>
        <v>2.0000000000000002E-5</v>
      </c>
      <c r="AZ602" s="78">
        <f t="shared" si="419"/>
        <v>2.0000000000000002E-5</v>
      </c>
      <c r="BA602" s="78">
        <f t="shared" si="420"/>
        <v>2.0000000000000002E-5</v>
      </c>
      <c r="BB602" s="78">
        <f t="shared" si="421"/>
        <v>2.0000000000000002E-5</v>
      </c>
      <c r="BC602" s="78">
        <f t="shared" si="422"/>
        <v>2.0000000000000002E-5</v>
      </c>
      <c r="BD602" s="78">
        <f t="shared" si="423"/>
        <v>2.0000000000000002E-5</v>
      </c>
      <c r="BE602" s="78">
        <f t="shared" si="424"/>
        <v>2.0000000000000002E-5</v>
      </c>
      <c r="BF602" s="88">
        <f t="shared" si="425"/>
        <v>2.0000000000000002E-5</v>
      </c>
      <c r="BG602" s="88">
        <f t="shared" si="426"/>
        <v>2.0000000000000002E-5</v>
      </c>
      <c r="BH602" s="88">
        <f t="shared" si="427"/>
        <v>2.0000000000000002E-5</v>
      </c>
      <c r="BI602" s="88">
        <f t="shared" si="428"/>
        <v>2.0000000000000002E-5</v>
      </c>
      <c r="BJ602" s="88">
        <f t="shared" si="429"/>
        <v>2.0000000000000002E-5</v>
      </c>
      <c r="BK602" s="88">
        <f t="shared" si="430"/>
        <v>2.0000000000000002E-5</v>
      </c>
      <c r="BL602" s="88">
        <f t="shared" si="431"/>
        <v>2.0000000000000002E-5</v>
      </c>
      <c r="BM602" s="88">
        <f t="shared" si="432"/>
        <v>2.0000000000000002E-5</v>
      </c>
      <c r="BN602" s="88">
        <f t="shared" si="433"/>
        <v>2.0000000000000002E-5</v>
      </c>
      <c r="BO602" s="88">
        <f t="shared" si="434"/>
        <v>2.0000000000000002E-5</v>
      </c>
      <c r="BP602" s="88">
        <f t="shared" si="435"/>
        <v>2.0000000000000002E-5</v>
      </c>
      <c r="BQ602" s="88">
        <f t="shared" si="436"/>
        <v>2.0000000000000002E-5</v>
      </c>
      <c r="BR602" s="88">
        <f t="shared" si="437"/>
        <v>2.0000000000000002E-5</v>
      </c>
      <c r="BS602" s="77"/>
      <c r="BT602" s="77"/>
    </row>
    <row r="603" spans="1:72" ht="14.1" customHeight="1" x14ac:dyDescent="0.2">
      <c r="A603" s="55" t="str">
        <f t="shared" si="408"/>
        <v>DS-2 Optional (Small General Service)_Rider CSESC (Coal to Solar and Energy Storage Charge)</v>
      </c>
      <c r="B603" s="80" t="s">
        <v>663</v>
      </c>
      <c r="C603" s="83" t="s">
        <v>589</v>
      </c>
      <c r="D603" s="150"/>
      <c r="E603" s="81"/>
      <c r="F603" s="73" t="s">
        <v>649</v>
      </c>
      <c r="G603" s="73">
        <v>0</v>
      </c>
      <c r="H603" s="73">
        <v>6</v>
      </c>
      <c r="I603" s="74" t="s">
        <v>641</v>
      </c>
      <c r="J603" s="75" t="s">
        <v>634</v>
      </c>
      <c r="K603" s="74"/>
      <c r="L603" s="82">
        <v>0</v>
      </c>
      <c r="M603" s="138">
        <v>2.0000000000000002E-5</v>
      </c>
      <c r="N603" s="138">
        <v>2.0000000000000002E-5</v>
      </c>
      <c r="O603" s="138">
        <v>2.0000000000000002E-5</v>
      </c>
      <c r="P603" s="138">
        <v>2.0000000000000002E-5</v>
      </c>
      <c r="Q603" s="138">
        <v>2.0000000000000002E-5</v>
      </c>
      <c r="R603" s="138">
        <v>2.0000000000000002E-5</v>
      </c>
      <c r="S603" s="138">
        <v>2.0000000000000002E-5</v>
      </c>
      <c r="T603" s="138">
        <v>2.0000000000000002E-5</v>
      </c>
      <c r="U603" s="138">
        <v>2.0000000000000002E-5</v>
      </c>
      <c r="V603" s="138">
        <v>2.0000000000000002E-5</v>
      </c>
      <c r="W603" s="138">
        <v>2.0000000000000002E-5</v>
      </c>
      <c r="X603" s="138">
        <v>2.0000000000000002E-5</v>
      </c>
      <c r="Y603" s="138">
        <f t="shared" si="438"/>
        <v>2.0000000000000002E-5</v>
      </c>
      <c r="Z603" s="138">
        <f t="shared" si="439"/>
        <v>2.0000000000000002E-5</v>
      </c>
      <c r="AA603" s="138">
        <f t="shared" si="440"/>
        <v>2.0000000000000002E-5</v>
      </c>
      <c r="AB603" s="138">
        <f t="shared" si="441"/>
        <v>2.0000000000000002E-5</v>
      </c>
      <c r="AC603" s="138">
        <f t="shared" si="442"/>
        <v>2.0000000000000002E-5</v>
      </c>
      <c r="AD603" s="138">
        <f t="shared" si="443"/>
        <v>2.0000000000000002E-5</v>
      </c>
      <c r="AE603" s="138">
        <f t="shared" si="444"/>
        <v>2.0000000000000002E-5</v>
      </c>
      <c r="AF603" s="138">
        <f t="shared" si="445"/>
        <v>2.0000000000000002E-5</v>
      </c>
      <c r="AG603" s="138">
        <f t="shared" si="446"/>
        <v>2.0000000000000002E-5</v>
      </c>
      <c r="AH603" s="138">
        <f t="shared" si="447"/>
        <v>2.0000000000000002E-5</v>
      </c>
      <c r="AI603" s="138">
        <f t="shared" si="448"/>
        <v>2.0000000000000002E-5</v>
      </c>
      <c r="AJ603" s="138">
        <f t="shared" si="449"/>
        <v>2.0000000000000002E-5</v>
      </c>
      <c r="AK603" s="138">
        <f t="shared" si="450"/>
        <v>2.0000000000000002E-5</v>
      </c>
      <c r="AL603" s="138">
        <f t="shared" si="451"/>
        <v>2.0000000000000002E-5</v>
      </c>
      <c r="AM603" s="138">
        <f t="shared" si="452"/>
        <v>2.0000000000000002E-5</v>
      </c>
      <c r="AO603" s="77" t="str">
        <f t="shared" si="409"/>
        <v>DS-2 Optional (Small General Service)</v>
      </c>
      <c r="AP603" s="78" t="s">
        <v>664</v>
      </c>
      <c r="AQ603" s="77" t="str">
        <f t="shared" si="410"/>
        <v>Rider CSESC (Coal to Solar and Energy Storage Charge)</v>
      </c>
      <c r="AR603" s="78" t="str">
        <f t="shared" si="411"/>
        <v>Billing Cycle</v>
      </c>
      <c r="AS603" s="79">
        <f t="shared" si="412"/>
        <v>6</v>
      </c>
      <c r="AT603" s="78">
        <f t="shared" si="413"/>
        <v>0</v>
      </c>
      <c r="AU603" s="78">
        <f t="shared" si="414"/>
        <v>2.0000000000000002E-5</v>
      </c>
      <c r="AV603" s="78">
        <f t="shared" si="415"/>
        <v>2.0000000000000002E-5</v>
      </c>
      <c r="AW603" s="78">
        <f t="shared" si="416"/>
        <v>2.0000000000000002E-5</v>
      </c>
      <c r="AX603" s="78">
        <f t="shared" si="417"/>
        <v>2.0000000000000002E-5</v>
      </c>
      <c r="AY603" s="78">
        <f t="shared" si="418"/>
        <v>2.0000000000000002E-5</v>
      </c>
      <c r="AZ603" s="78">
        <f t="shared" si="419"/>
        <v>2.0000000000000002E-5</v>
      </c>
      <c r="BA603" s="78">
        <f t="shared" si="420"/>
        <v>2.0000000000000002E-5</v>
      </c>
      <c r="BB603" s="78">
        <f t="shared" si="421"/>
        <v>2.0000000000000002E-5</v>
      </c>
      <c r="BC603" s="78">
        <f t="shared" si="422"/>
        <v>2.0000000000000002E-5</v>
      </c>
      <c r="BD603" s="78">
        <f t="shared" si="423"/>
        <v>2.0000000000000002E-5</v>
      </c>
      <c r="BE603" s="78">
        <f t="shared" si="424"/>
        <v>2.0000000000000002E-5</v>
      </c>
      <c r="BF603" s="88">
        <f t="shared" si="425"/>
        <v>2.0000000000000002E-5</v>
      </c>
      <c r="BG603" s="88">
        <f t="shared" si="426"/>
        <v>2.0000000000000002E-5</v>
      </c>
      <c r="BH603" s="88">
        <f t="shared" si="427"/>
        <v>2.0000000000000002E-5</v>
      </c>
      <c r="BI603" s="88">
        <f t="shared" si="428"/>
        <v>2.0000000000000002E-5</v>
      </c>
      <c r="BJ603" s="88">
        <f t="shared" si="429"/>
        <v>2.0000000000000002E-5</v>
      </c>
      <c r="BK603" s="88">
        <f t="shared" si="430"/>
        <v>2.0000000000000002E-5</v>
      </c>
      <c r="BL603" s="88">
        <f t="shared" si="431"/>
        <v>2.0000000000000002E-5</v>
      </c>
      <c r="BM603" s="88">
        <f t="shared" si="432"/>
        <v>2.0000000000000002E-5</v>
      </c>
      <c r="BN603" s="88">
        <f t="shared" si="433"/>
        <v>2.0000000000000002E-5</v>
      </c>
      <c r="BO603" s="88">
        <f t="shared" si="434"/>
        <v>2.0000000000000002E-5</v>
      </c>
      <c r="BP603" s="88">
        <f t="shared" si="435"/>
        <v>2.0000000000000002E-5</v>
      </c>
      <c r="BQ603" s="88">
        <f t="shared" si="436"/>
        <v>2.0000000000000002E-5</v>
      </c>
      <c r="BR603" s="88">
        <f t="shared" si="437"/>
        <v>2.0000000000000002E-5</v>
      </c>
      <c r="BS603" s="77"/>
      <c r="BT603" s="77"/>
    </row>
    <row r="604" spans="1:72" ht="14.1" customHeight="1" x14ac:dyDescent="0.2">
      <c r="A604" s="55" t="str">
        <f t="shared" si="408"/>
        <v>DS-3 (General Delivery Service)_Rider CSESC (Coal to Solar and Energy Storage Charge)</v>
      </c>
      <c r="B604" s="80" t="s">
        <v>666</v>
      </c>
      <c r="C604" s="83" t="s">
        <v>589</v>
      </c>
      <c r="D604" s="150"/>
      <c r="E604" s="81"/>
      <c r="F604" s="73" t="s">
        <v>649</v>
      </c>
      <c r="G604" s="73">
        <v>0</v>
      </c>
      <c r="H604" s="73">
        <v>6</v>
      </c>
      <c r="I604" s="74" t="s">
        <v>641</v>
      </c>
      <c r="J604" s="75" t="s">
        <v>634</v>
      </c>
      <c r="K604" s="74"/>
      <c r="L604" s="82">
        <v>0</v>
      </c>
      <c r="M604" s="138">
        <v>2.0000000000000002E-5</v>
      </c>
      <c r="N604" s="138">
        <v>2.0000000000000002E-5</v>
      </c>
      <c r="O604" s="138">
        <v>2.0000000000000002E-5</v>
      </c>
      <c r="P604" s="138">
        <v>2.0000000000000002E-5</v>
      </c>
      <c r="Q604" s="138">
        <v>2.0000000000000002E-5</v>
      </c>
      <c r="R604" s="138">
        <v>2.0000000000000002E-5</v>
      </c>
      <c r="S604" s="138">
        <v>2.0000000000000002E-5</v>
      </c>
      <c r="T604" s="138">
        <v>2.0000000000000002E-5</v>
      </c>
      <c r="U604" s="138">
        <v>2.0000000000000002E-5</v>
      </c>
      <c r="V604" s="138">
        <v>2.0000000000000002E-5</v>
      </c>
      <c r="W604" s="138">
        <v>2.0000000000000002E-5</v>
      </c>
      <c r="X604" s="138">
        <v>2.0000000000000002E-5</v>
      </c>
      <c r="Y604" s="138">
        <f t="shared" si="438"/>
        <v>2.0000000000000002E-5</v>
      </c>
      <c r="Z604" s="138">
        <f t="shared" si="439"/>
        <v>2.0000000000000002E-5</v>
      </c>
      <c r="AA604" s="138">
        <f t="shared" si="440"/>
        <v>2.0000000000000002E-5</v>
      </c>
      <c r="AB604" s="138">
        <f t="shared" si="441"/>
        <v>2.0000000000000002E-5</v>
      </c>
      <c r="AC604" s="138">
        <f t="shared" si="442"/>
        <v>2.0000000000000002E-5</v>
      </c>
      <c r="AD604" s="138">
        <f t="shared" si="443"/>
        <v>2.0000000000000002E-5</v>
      </c>
      <c r="AE604" s="138">
        <f t="shared" si="444"/>
        <v>2.0000000000000002E-5</v>
      </c>
      <c r="AF604" s="138">
        <f t="shared" si="445"/>
        <v>2.0000000000000002E-5</v>
      </c>
      <c r="AG604" s="138">
        <f t="shared" si="446"/>
        <v>2.0000000000000002E-5</v>
      </c>
      <c r="AH604" s="138">
        <f t="shared" si="447"/>
        <v>2.0000000000000002E-5</v>
      </c>
      <c r="AI604" s="138">
        <f t="shared" si="448"/>
        <v>2.0000000000000002E-5</v>
      </c>
      <c r="AJ604" s="138">
        <f t="shared" si="449"/>
        <v>2.0000000000000002E-5</v>
      </c>
      <c r="AK604" s="138">
        <f t="shared" si="450"/>
        <v>2.0000000000000002E-5</v>
      </c>
      <c r="AL604" s="138">
        <f t="shared" si="451"/>
        <v>2.0000000000000002E-5</v>
      </c>
      <c r="AM604" s="138">
        <f t="shared" si="452"/>
        <v>2.0000000000000002E-5</v>
      </c>
      <c r="AO604" s="77" t="str">
        <f t="shared" si="409"/>
        <v>DS-3 (General Delivery Service)</v>
      </c>
      <c r="AP604" s="78" t="s">
        <v>667</v>
      </c>
      <c r="AQ604" s="77" t="str">
        <f t="shared" si="410"/>
        <v>Rider CSESC (Coal to Solar and Energy Storage Charge)</v>
      </c>
      <c r="AR604" s="78" t="str">
        <f t="shared" si="411"/>
        <v>Billing Cycle</v>
      </c>
      <c r="AS604" s="79">
        <f t="shared" si="412"/>
        <v>6</v>
      </c>
      <c r="AT604" s="78">
        <f t="shared" si="413"/>
        <v>0</v>
      </c>
      <c r="AU604" s="78">
        <f t="shared" si="414"/>
        <v>2.0000000000000002E-5</v>
      </c>
      <c r="AV604" s="78">
        <f t="shared" si="415"/>
        <v>2.0000000000000002E-5</v>
      </c>
      <c r="AW604" s="78">
        <f t="shared" si="416"/>
        <v>2.0000000000000002E-5</v>
      </c>
      <c r="AX604" s="78">
        <f t="shared" si="417"/>
        <v>2.0000000000000002E-5</v>
      </c>
      <c r="AY604" s="78">
        <f t="shared" si="418"/>
        <v>2.0000000000000002E-5</v>
      </c>
      <c r="AZ604" s="78">
        <f t="shared" si="419"/>
        <v>2.0000000000000002E-5</v>
      </c>
      <c r="BA604" s="78">
        <f t="shared" si="420"/>
        <v>2.0000000000000002E-5</v>
      </c>
      <c r="BB604" s="78">
        <f t="shared" si="421"/>
        <v>2.0000000000000002E-5</v>
      </c>
      <c r="BC604" s="78">
        <f t="shared" si="422"/>
        <v>2.0000000000000002E-5</v>
      </c>
      <c r="BD604" s="78">
        <f t="shared" si="423"/>
        <v>2.0000000000000002E-5</v>
      </c>
      <c r="BE604" s="78">
        <f t="shared" si="424"/>
        <v>2.0000000000000002E-5</v>
      </c>
      <c r="BF604" s="88">
        <f t="shared" si="425"/>
        <v>2.0000000000000002E-5</v>
      </c>
      <c r="BG604" s="88">
        <f t="shared" si="426"/>
        <v>2.0000000000000002E-5</v>
      </c>
      <c r="BH604" s="88">
        <f t="shared" si="427"/>
        <v>2.0000000000000002E-5</v>
      </c>
      <c r="BI604" s="88">
        <f t="shared" si="428"/>
        <v>2.0000000000000002E-5</v>
      </c>
      <c r="BJ604" s="88">
        <f t="shared" si="429"/>
        <v>2.0000000000000002E-5</v>
      </c>
      <c r="BK604" s="88">
        <f t="shared" si="430"/>
        <v>2.0000000000000002E-5</v>
      </c>
      <c r="BL604" s="88">
        <f t="shared" si="431"/>
        <v>2.0000000000000002E-5</v>
      </c>
      <c r="BM604" s="88">
        <f t="shared" si="432"/>
        <v>2.0000000000000002E-5</v>
      </c>
      <c r="BN604" s="88">
        <f t="shared" si="433"/>
        <v>2.0000000000000002E-5</v>
      </c>
      <c r="BO604" s="88">
        <f t="shared" si="434"/>
        <v>2.0000000000000002E-5</v>
      </c>
      <c r="BP604" s="88">
        <f t="shared" si="435"/>
        <v>2.0000000000000002E-5</v>
      </c>
      <c r="BQ604" s="88">
        <f t="shared" si="436"/>
        <v>2.0000000000000002E-5</v>
      </c>
      <c r="BR604" s="88">
        <f t="shared" si="437"/>
        <v>2.0000000000000002E-5</v>
      </c>
      <c r="BS604" s="77"/>
      <c r="BT604" s="77"/>
    </row>
    <row r="605" spans="1:72" ht="14.1" customHeight="1" x14ac:dyDescent="0.2">
      <c r="A605" s="55" t="str">
        <f t="shared" si="408"/>
        <v>DS-4 (Large General Service)_Rider CSESC (Coal to Solar and Energy Storage Charge)</v>
      </c>
      <c r="B605" s="80" t="s">
        <v>639</v>
      </c>
      <c r="C605" s="83" t="s">
        <v>589</v>
      </c>
      <c r="D605" s="150"/>
      <c r="E605" s="81"/>
      <c r="F605" s="73" t="s">
        <v>649</v>
      </c>
      <c r="G605" s="73">
        <v>0</v>
      </c>
      <c r="H605" s="73">
        <v>6</v>
      </c>
      <c r="I605" s="74" t="s">
        <v>641</v>
      </c>
      <c r="J605" s="75" t="s">
        <v>634</v>
      </c>
      <c r="K605" s="74"/>
      <c r="L605" s="82">
        <v>0</v>
      </c>
      <c r="M605" s="138">
        <v>2.0000000000000002E-5</v>
      </c>
      <c r="N605" s="138">
        <v>2.0000000000000002E-5</v>
      </c>
      <c r="O605" s="138">
        <v>2.0000000000000002E-5</v>
      </c>
      <c r="P605" s="138">
        <v>2.0000000000000002E-5</v>
      </c>
      <c r="Q605" s="138">
        <v>2.0000000000000002E-5</v>
      </c>
      <c r="R605" s="138">
        <v>2.0000000000000002E-5</v>
      </c>
      <c r="S605" s="138">
        <v>2.0000000000000002E-5</v>
      </c>
      <c r="T605" s="138">
        <v>2.0000000000000002E-5</v>
      </c>
      <c r="U605" s="138">
        <v>2.0000000000000002E-5</v>
      </c>
      <c r="V605" s="138">
        <v>2.0000000000000002E-5</v>
      </c>
      <c r="W605" s="138">
        <v>2.0000000000000002E-5</v>
      </c>
      <c r="X605" s="138">
        <v>2.0000000000000002E-5</v>
      </c>
      <c r="Y605" s="138">
        <f t="shared" si="438"/>
        <v>2.0000000000000002E-5</v>
      </c>
      <c r="Z605" s="138">
        <f t="shared" si="439"/>
        <v>2.0000000000000002E-5</v>
      </c>
      <c r="AA605" s="138">
        <f t="shared" si="440"/>
        <v>2.0000000000000002E-5</v>
      </c>
      <c r="AB605" s="138">
        <f t="shared" si="441"/>
        <v>2.0000000000000002E-5</v>
      </c>
      <c r="AC605" s="138">
        <f t="shared" si="442"/>
        <v>2.0000000000000002E-5</v>
      </c>
      <c r="AD605" s="138">
        <f t="shared" si="443"/>
        <v>2.0000000000000002E-5</v>
      </c>
      <c r="AE605" s="138">
        <f t="shared" si="444"/>
        <v>2.0000000000000002E-5</v>
      </c>
      <c r="AF605" s="138">
        <f t="shared" si="445"/>
        <v>2.0000000000000002E-5</v>
      </c>
      <c r="AG605" s="138">
        <f t="shared" si="446"/>
        <v>2.0000000000000002E-5</v>
      </c>
      <c r="AH605" s="138">
        <f t="shared" si="447"/>
        <v>2.0000000000000002E-5</v>
      </c>
      <c r="AI605" s="138">
        <f t="shared" si="448"/>
        <v>2.0000000000000002E-5</v>
      </c>
      <c r="AJ605" s="138">
        <f t="shared" si="449"/>
        <v>2.0000000000000002E-5</v>
      </c>
      <c r="AK605" s="138">
        <f t="shared" si="450"/>
        <v>2.0000000000000002E-5</v>
      </c>
      <c r="AL605" s="138">
        <f t="shared" si="451"/>
        <v>2.0000000000000002E-5</v>
      </c>
      <c r="AM605" s="138">
        <f t="shared" si="452"/>
        <v>2.0000000000000002E-5</v>
      </c>
      <c r="AO605" s="77" t="str">
        <f t="shared" si="409"/>
        <v>DS-4 (Large General Service)</v>
      </c>
      <c r="AP605" s="78" t="s">
        <v>642</v>
      </c>
      <c r="AQ605" s="77" t="str">
        <f t="shared" si="410"/>
        <v>Rider CSESC (Coal to Solar and Energy Storage Charge)</v>
      </c>
      <c r="AR605" s="78" t="str">
        <f t="shared" si="411"/>
        <v>Billing Cycle</v>
      </c>
      <c r="AS605" s="79">
        <f t="shared" si="412"/>
        <v>6</v>
      </c>
      <c r="AT605" s="78">
        <f t="shared" si="413"/>
        <v>0</v>
      </c>
      <c r="AU605" s="78">
        <f t="shared" si="414"/>
        <v>2.0000000000000002E-5</v>
      </c>
      <c r="AV605" s="78">
        <f t="shared" si="415"/>
        <v>2.0000000000000002E-5</v>
      </c>
      <c r="AW605" s="78">
        <f t="shared" si="416"/>
        <v>2.0000000000000002E-5</v>
      </c>
      <c r="AX605" s="78">
        <f t="shared" si="417"/>
        <v>2.0000000000000002E-5</v>
      </c>
      <c r="AY605" s="78">
        <f t="shared" si="418"/>
        <v>2.0000000000000002E-5</v>
      </c>
      <c r="AZ605" s="78">
        <f t="shared" si="419"/>
        <v>2.0000000000000002E-5</v>
      </c>
      <c r="BA605" s="78">
        <f t="shared" si="420"/>
        <v>2.0000000000000002E-5</v>
      </c>
      <c r="BB605" s="78">
        <f t="shared" si="421"/>
        <v>2.0000000000000002E-5</v>
      </c>
      <c r="BC605" s="78">
        <f t="shared" si="422"/>
        <v>2.0000000000000002E-5</v>
      </c>
      <c r="BD605" s="78">
        <f t="shared" si="423"/>
        <v>2.0000000000000002E-5</v>
      </c>
      <c r="BE605" s="78">
        <f t="shared" si="424"/>
        <v>2.0000000000000002E-5</v>
      </c>
      <c r="BF605" s="88">
        <f t="shared" si="425"/>
        <v>2.0000000000000002E-5</v>
      </c>
      <c r="BG605" s="88">
        <f t="shared" si="426"/>
        <v>2.0000000000000002E-5</v>
      </c>
      <c r="BH605" s="88">
        <f t="shared" si="427"/>
        <v>2.0000000000000002E-5</v>
      </c>
      <c r="BI605" s="88">
        <f t="shared" si="428"/>
        <v>2.0000000000000002E-5</v>
      </c>
      <c r="BJ605" s="88">
        <f t="shared" si="429"/>
        <v>2.0000000000000002E-5</v>
      </c>
      <c r="BK605" s="88">
        <f t="shared" si="430"/>
        <v>2.0000000000000002E-5</v>
      </c>
      <c r="BL605" s="88">
        <f t="shared" si="431"/>
        <v>2.0000000000000002E-5</v>
      </c>
      <c r="BM605" s="88">
        <f t="shared" si="432"/>
        <v>2.0000000000000002E-5</v>
      </c>
      <c r="BN605" s="88">
        <f t="shared" si="433"/>
        <v>2.0000000000000002E-5</v>
      </c>
      <c r="BO605" s="88">
        <f t="shared" si="434"/>
        <v>2.0000000000000002E-5</v>
      </c>
      <c r="BP605" s="88">
        <f t="shared" si="435"/>
        <v>2.0000000000000002E-5</v>
      </c>
      <c r="BQ605" s="88">
        <f t="shared" si="436"/>
        <v>2.0000000000000002E-5</v>
      </c>
      <c r="BR605" s="88">
        <f t="shared" si="437"/>
        <v>2.0000000000000002E-5</v>
      </c>
      <c r="BS605" s="77"/>
      <c r="BT605" s="77"/>
    </row>
    <row r="606" spans="1:72" ht="14.1" customHeight="1" x14ac:dyDescent="0.2">
      <c r="A606" s="55" t="str">
        <f t="shared" si="408"/>
        <v>DS-6 (DS-3) Temp. Sensitive DS_Rider CSESC (Coal to Solar and Energy Storage Charge)</v>
      </c>
      <c r="B606" s="80" t="s">
        <v>643</v>
      </c>
      <c r="C606" s="83" t="s">
        <v>589</v>
      </c>
      <c r="D606" s="150"/>
      <c r="E606" s="81"/>
      <c r="F606" s="73" t="s">
        <v>649</v>
      </c>
      <c r="G606" s="73">
        <v>0</v>
      </c>
      <c r="H606" s="73">
        <v>6</v>
      </c>
      <c r="I606" s="74" t="s">
        <v>641</v>
      </c>
      <c r="J606" s="75" t="s">
        <v>634</v>
      </c>
      <c r="K606" s="74"/>
      <c r="L606" s="82">
        <v>0</v>
      </c>
      <c r="M606" s="138">
        <v>2.0000000000000002E-5</v>
      </c>
      <c r="N606" s="138">
        <v>2.0000000000000002E-5</v>
      </c>
      <c r="O606" s="138">
        <v>2.0000000000000002E-5</v>
      </c>
      <c r="P606" s="138">
        <v>2.0000000000000002E-5</v>
      </c>
      <c r="Q606" s="138">
        <v>2.0000000000000002E-5</v>
      </c>
      <c r="R606" s="138">
        <v>2.0000000000000002E-5</v>
      </c>
      <c r="S606" s="138">
        <v>2.0000000000000002E-5</v>
      </c>
      <c r="T606" s="138">
        <v>2.0000000000000002E-5</v>
      </c>
      <c r="U606" s="138">
        <v>2.0000000000000002E-5</v>
      </c>
      <c r="V606" s="138">
        <v>2.0000000000000002E-5</v>
      </c>
      <c r="W606" s="138">
        <v>2.0000000000000002E-5</v>
      </c>
      <c r="X606" s="138">
        <v>2.0000000000000002E-5</v>
      </c>
      <c r="Y606" s="138">
        <f t="shared" si="438"/>
        <v>2.0000000000000002E-5</v>
      </c>
      <c r="Z606" s="138">
        <f t="shared" si="439"/>
        <v>2.0000000000000002E-5</v>
      </c>
      <c r="AA606" s="138">
        <f t="shared" si="440"/>
        <v>2.0000000000000002E-5</v>
      </c>
      <c r="AB606" s="138">
        <f t="shared" si="441"/>
        <v>2.0000000000000002E-5</v>
      </c>
      <c r="AC606" s="138">
        <f t="shared" si="442"/>
        <v>2.0000000000000002E-5</v>
      </c>
      <c r="AD606" s="138">
        <f t="shared" si="443"/>
        <v>2.0000000000000002E-5</v>
      </c>
      <c r="AE606" s="138">
        <f t="shared" si="444"/>
        <v>2.0000000000000002E-5</v>
      </c>
      <c r="AF606" s="138">
        <f t="shared" si="445"/>
        <v>2.0000000000000002E-5</v>
      </c>
      <c r="AG606" s="138">
        <f t="shared" si="446"/>
        <v>2.0000000000000002E-5</v>
      </c>
      <c r="AH606" s="138">
        <f t="shared" si="447"/>
        <v>2.0000000000000002E-5</v>
      </c>
      <c r="AI606" s="138">
        <f t="shared" si="448"/>
        <v>2.0000000000000002E-5</v>
      </c>
      <c r="AJ606" s="138">
        <f t="shared" si="449"/>
        <v>2.0000000000000002E-5</v>
      </c>
      <c r="AK606" s="138">
        <f t="shared" si="450"/>
        <v>2.0000000000000002E-5</v>
      </c>
      <c r="AL606" s="138">
        <f t="shared" si="451"/>
        <v>2.0000000000000002E-5</v>
      </c>
      <c r="AM606" s="138">
        <f t="shared" si="452"/>
        <v>2.0000000000000002E-5</v>
      </c>
      <c r="AO606" s="77" t="str">
        <f t="shared" si="409"/>
        <v>DS-6 (DS-3) Temp. Sensitive DS</v>
      </c>
      <c r="AP606" s="78" t="s">
        <v>644</v>
      </c>
      <c r="AQ606" s="77" t="str">
        <f t="shared" si="410"/>
        <v>Rider CSESC (Coal to Solar and Energy Storage Charge)</v>
      </c>
      <c r="AR606" s="78" t="str">
        <f t="shared" si="411"/>
        <v>Billing Cycle</v>
      </c>
      <c r="AS606" s="79">
        <f t="shared" si="412"/>
        <v>6</v>
      </c>
      <c r="AT606" s="78">
        <f t="shared" si="413"/>
        <v>0</v>
      </c>
      <c r="AU606" s="78">
        <f t="shared" si="414"/>
        <v>2.0000000000000002E-5</v>
      </c>
      <c r="AV606" s="78">
        <f t="shared" si="415"/>
        <v>2.0000000000000002E-5</v>
      </c>
      <c r="AW606" s="78">
        <f t="shared" si="416"/>
        <v>2.0000000000000002E-5</v>
      </c>
      <c r="AX606" s="78">
        <f t="shared" si="417"/>
        <v>2.0000000000000002E-5</v>
      </c>
      <c r="AY606" s="78">
        <f t="shared" si="418"/>
        <v>2.0000000000000002E-5</v>
      </c>
      <c r="AZ606" s="78">
        <f t="shared" si="419"/>
        <v>2.0000000000000002E-5</v>
      </c>
      <c r="BA606" s="78">
        <f t="shared" si="420"/>
        <v>2.0000000000000002E-5</v>
      </c>
      <c r="BB606" s="78">
        <f t="shared" si="421"/>
        <v>2.0000000000000002E-5</v>
      </c>
      <c r="BC606" s="78">
        <f t="shared" si="422"/>
        <v>2.0000000000000002E-5</v>
      </c>
      <c r="BD606" s="78">
        <f t="shared" si="423"/>
        <v>2.0000000000000002E-5</v>
      </c>
      <c r="BE606" s="78">
        <f t="shared" si="424"/>
        <v>2.0000000000000002E-5</v>
      </c>
      <c r="BF606" s="88">
        <f t="shared" si="425"/>
        <v>2.0000000000000002E-5</v>
      </c>
      <c r="BG606" s="88">
        <f t="shared" si="426"/>
        <v>2.0000000000000002E-5</v>
      </c>
      <c r="BH606" s="88">
        <f t="shared" si="427"/>
        <v>2.0000000000000002E-5</v>
      </c>
      <c r="BI606" s="88">
        <f t="shared" si="428"/>
        <v>2.0000000000000002E-5</v>
      </c>
      <c r="BJ606" s="88">
        <f t="shared" si="429"/>
        <v>2.0000000000000002E-5</v>
      </c>
      <c r="BK606" s="88">
        <f t="shared" si="430"/>
        <v>2.0000000000000002E-5</v>
      </c>
      <c r="BL606" s="88">
        <f t="shared" si="431"/>
        <v>2.0000000000000002E-5</v>
      </c>
      <c r="BM606" s="88">
        <f t="shared" si="432"/>
        <v>2.0000000000000002E-5</v>
      </c>
      <c r="BN606" s="88">
        <f t="shared" si="433"/>
        <v>2.0000000000000002E-5</v>
      </c>
      <c r="BO606" s="88">
        <f t="shared" si="434"/>
        <v>2.0000000000000002E-5</v>
      </c>
      <c r="BP606" s="88">
        <f t="shared" si="435"/>
        <v>2.0000000000000002E-5</v>
      </c>
      <c r="BQ606" s="88">
        <f t="shared" si="436"/>
        <v>2.0000000000000002E-5</v>
      </c>
      <c r="BR606" s="88">
        <f t="shared" si="437"/>
        <v>2.0000000000000002E-5</v>
      </c>
      <c r="BS606" s="77"/>
      <c r="BT606" s="77"/>
    </row>
    <row r="607" spans="1:72" ht="14.1" customHeight="1" x14ac:dyDescent="0.2">
      <c r="A607" s="55" t="str">
        <f t="shared" si="408"/>
        <v>DS-6 (DS-4) Temp. Sensitive DS_Rider CSESC (Coal to Solar and Energy Storage Charge)</v>
      </c>
      <c r="B607" s="80" t="s">
        <v>645</v>
      </c>
      <c r="C607" s="83" t="s">
        <v>589</v>
      </c>
      <c r="D607" s="150"/>
      <c r="E607" s="81"/>
      <c r="F607" s="73" t="s">
        <v>649</v>
      </c>
      <c r="G607" s="73">
        <v>0</v>
      </c>
      <c r="H607" s="73">
        <v>6</v>
      </c>
      <c r="I607" s="74" t="s">
        <v>641</v>
      </c>
      <c r="J607" s="75" t="s">
        <v>634</v>
      </c>
      <c r="K607" s="74"/>
      <c r="L607" s="82">
        <v>0</v>
      </c>
      <c r="M607" s="138">
        <v>2.0000000000000002E-5</v>
      </c>
      <c r="N607" s="138">
        <v>2.0000000000000002E-5</v>
      </c>
      <c r="O607" s="138">
        <v>2.0000000000000002E-5</v>
      </c>
      <c r="P607" s="138">
        <v>2.0000000000000002E-5</v>
      </c>
      <c r="Q607" s="138">
        <v>2.0000000000000002E-5</v>
      </c>
      <c r="R607" s="138">
        <v>2.0000000000000002E-5</v>
      </c>
      <c r="S607" s="138">
        <v>2.0000000000000002E-5</v>
      </c>
      <c r="T607" s="138">
        <v>2.0000000000000002E-5</v>
      </c>
      <c r="U607" s="138">
        <v>2.0000000000000002E-5</v>
      </c>
      <c r="V607" s="138">
        <v>2.0000000000000002E-5</v>
      </c>
      <c r="W607" s="138">
        <v>2.0000000000000002E-5</v>
      </c>
      <c r="X607" s="138">
        <v>2.0000000000000002E-5</v>
      </c>
      <c r="Y607" s="138">
        <f t="shared" si="438"/>
        <v>2.0000000000000002E-5</v>
      </c>
      <c r="Z607" s="138">
        <f t="shared" si="439"/>
        <v>2.0000000000000002E-5</v>
      </c>
      <c r="AA607" s="138">
        <f t="shared" si="440"/>
        <v>2.0000000000000002E-5</v>
      </c>
      <c r="AB607" s="138">
        <f t="shared" si="441"/>
        <v>2.0000000000000002E-5</v>
      </c>
      <c r="AC607" s="138">
        <f t="shared" si="442"/>
        <v>2.0000000000000002E-5</v>
      </c>
      <c r="AD607" s="138">
        <f t="shared" si="443"/>
        <v>2.0000000000000002E-5</v>
      </c>
      <c r="AE607" s="138">
        <f t="shared" si="444"/>
        <v>2.0000000000000002E-5</v>
      </c>
      <c r="AF607" s="138">
        <f t="shared" si="445"/>
        <v>2.0000000000000002E-5</v>
      </c>
      <c r="AG607" s="138">
        <f t="shared" si="446"/>
        <v>2.0000000000000002E-5</v>
      </c>
      <c r="AH607" s="138">
        <f t="shared" si="447"/>
        <v>2.0000000000000002E-5</v>
      </c>
      <c r="AI607" s="138">
        <f t="shared" si="448"/>
        <v>2.0000000000000002E-5</v>
      </c>
      <c r="AJ607" s="138">
        <f t="shared" si="449"/>
        <v>2.0000000000000002E-5</v>
      </c>
      <c r="AK607" s="138">
        <f t="shared" si="450"/>
        <v>2.0000000000000002E-5</v>
      </c>
      <c r="AL607" s="138">
        <f t="shared" si="451"/>
        <v>2.0000000000000002E-5</v>
      </c>
      <c r="AM607" s="138">
        <f t="shared" si="452"/>
        <v>2.0000000000000002E-5</v>
      </c>
      <c r="AO607" s="77" t="str">
        <f t="shared" si="409"/>
        <v>DS-6 (DS-4) Temp. Sensitive DS</v>
      </c>
      <c r="AP607" s="78" t="s">
        <v>646</v>
      </c>
      <c r="AQ607" s="77" t="str">
        <f t="shared" si="410"/>
        <v>Rider CSESC (Coal to Solar and Energy Storage Charge)</v>
      </c>
      <c r="AR607" s="78" t="str">
        <f t="shared" si="411"/>
        <v>Billing Cycle</v>
      </c>
      <c r="AS607" s="79">
        <f t="shared" si="412"/>
        <v>6</v>
      </c>
      <c r="AT607" s="78">
        <f t="shared" si="413"/>
        <v>0</v>
      </c>
      <c r="AU607" s="78">
        <f t="shared" si="414"/>
        <v>2.0000000000000002E-5</v>
      </c>
      <c r="AV607" s="78">
        <f t="shared" si="415"/>
        <v>2.0000000000000002E-5</v>
      </c>
      <c r="AW607" s="78">
        <f t="shared" si="416"/>
        <v>2.0000000000000002E-5</v>
      </c>
      <c r="AX607" s="78">
        <f t="shared" si="417"/>
        <v>2.0000000000000002E-5</v>
      </c>
      <c r="AY607" s="78">
        <f t="shared" si="418"/>
        <v>2.0000000000000002E-5</v>
      </c>
      <c r="AZ607" s="78">
        <f t="shared" si="419"/>
        <v>2.0000000000000002E-5</v>
      </c>
      <c r="BA607" s="78">
        <f t="shared" si="420"/>
        <v>2.0000000000000002E-5</v>
      </c>
      <c r="BB607" s="78">
        <f t="shared" si="421"/>
        <v>2.0000000000000002E-5</v>
      </c>
      <c r="BC607" s="78">
        <f t="shared" si="422"/>
        <v>2.0000000000000002E-5</v>
      </c>
      <c r="BD607" s="78">
        <f t="shared" si="423"/>
        <v>2.0000000000000002E-5</v>
      </c>
      <c r="BE607" s="78">
        <f t="shared" si="424"/>
        <v>2.0000000000000002E-5</v>
      </c>
      <c r="BF607" s="88">
        <f t="shared" si="425"/>
        <v>2.0000000000000002E-5</v>
      </c>
      <c r="BG607" s="88">
        <f t="shared" si="426"/>
        <v>2.0000000000000002E-5</v>
      </c>
      <c r="BH607" s="88">
        <f t="shared" si="427"/>
        <v>2.0000000000000002E-5</v>
      </c>
      <c r="BI607" s="88">
        <f t="shared" si="428"/>
        <v>2.0000000000000002E-5</v>
      </c>
      <c r="BJ607" s="88">
        <f t="shared" si="429"/>
        <v>2.0000000000000002E-5</v>
      </c>
      <c r="BK607" s="88">
        <f t="shared" si="430"/>
        <v>2.0000000000000002E-5</v>
      </c>
      <c r="BL607" s="88">
        <f t="shared" si="431"/>
        <v>2.0000000000000002E-5</v>
      </c>
      <c r="BM607" s="88">
        <f t="shared" si="432"/>
        <v>2.0000000000000002E-5</v>
      </c>
      <c r="BN607" s="88">
        <f t="shared" si="433"/>
        <v>2.0000000000000002E-5</v>
      </c>
      <c r="BO607" s="88">
        <f t="shared" si="434"/>
        <v>2.0000000000000002E-5</v>
      </c>
      <c r="BP607" s="88">
        <f t="shared" si="435"/>
        <v>2.0000000000000002E-5</v>
      </c>
      <c r="BQ607" s="88">
        <f t="shared" si="436"/>
        <v>2.0000000000000002E-5</v>
      </c>
      <c r="BR607" s="88">
        <f t="shared" si="437"/>
        <v>2.0000000000000002E-5</v>
      </c>
      <c r="BS607" s="77"/>
      <c r="BT607" s="77"/>
    </row>
    <row r="608" spans="1:72" ht="14.1" customHeight="1" x14ac:dyDescent="0.2">
      <c r="A608" s="55" t="str">
        <f t="shared" si="408"/>
        <v>DS-1 (Residential)_Rider ETAC (Energy Transistion Assistance Charge)</v>
      </c>
      <c r="B608" s="80" t="s">
        <v>90</v>
      </c>
      <c r="C608" s="83" t="s">
        <v>913</v>
      </c>
      <c r="D608" s="150" t="s">
        <v>588</v>
      </c>
      <c r="E608" s="81"/>
      <c r="F608" s="73" t="s">
        <v>649</v>
      </c>
      <c r="G608" s="73">
        <v>0</v>
      </c>
      <c r="H608" s="73">
        <v>5</v>
      </c>
      <c r="I608" s="74" t="s">
        <v>641</v>
      </c>
      <c r="J608" s="75" t="s">
        <v>634</v>
      </c>
      <c r="K608" s="74"/>
      <c r="L608" s="82">
        <v>7.2000000000000005E-4</v>
      </c>
      <c r="M608" s="138">
        <v>7.2000000000000005E-4</v>
      </c>
      <c r="N608" s="138">
        <v>7.2000000000000005E-4</v>
      </c>
      <c r="O608" s="138">
        <v>7.2000000000000005E-4</v>
      </c>
      <c r="P608" s="138">
        <v>7.2000000000000005E-4</v>
      </c>
      <c r="Q608" s="138">
        <v>7.2000000000000005E-4</v>
      </c>
      <c r="R608" s="138">
        <v>7.2000000000000005E-4</v>
      </c>
      <c r="S608" s="138">
        <v>7.2000000000000005E-4</v>
      </c>
      <c r="T608" s="138">
        <v>7.2000000000000005E-4</v>
      </c>
      <c r="U608" s="138">
        <v>7.2000000000000005E-4</v>
      </c>
      <c r="V608" s="138">
        <v>7.2000000000000005E-4</v>
      </c>
      <c r="W608" s="138">
        <v>7.2000000000000005E-4</v>
      </c>
      <c r="X608" s="138">
        <v>7.2000000000000005E-4</v>
      </c>
      <c r="Y608" s="138">
        <f t="shared" si="438"/>
        <v>7.2000000000000005E-4</v>
      </c>
      <c r="Z608" s="138">
        <f t="shared" si="439"/>
        <v>7.2000000000000005E-4</v>
      </c>
      <c r="AA608" s="138">
        <f t="shared" si="440"/>
        <v>7.2000000000000005E-4</v>
      </c>
      <c r="AB608" s="138">
        <f t="shared" si="441"/>
        <v>7.2000000000000005E-4</v>
      </c>
      <c r="AC608" s="138">
        <f t="shared" si="442"/>
        <v>7.2000000000000005E-4</v>
      </c>
      <c r="AD608" s="138">
        <f t="shared" si="443"/>
        <v>7.2000000000000005E-4</v>
      </c>
      <c r="AE608" s="138">
        <f t="shared" si="444"/>
        <v>7.2000000000000005E-4</v>
      </c>
      <c r="AF608" s="138">
        <f t="shared" si="445"/>
        <v>7.2000000000000005E-4</v>
      </c>
      <c r="AG608" s="138">
        <f t="shared" si="446"/>
        <v>7.2000000000000005E-4</v>
      </c>
      <c r="AH608" s="138">
        <f t="shared" si="447"/>
        <v>7.2000000000000005E-4</v>
      </c>
      <c r="AI608" s="138">
        <f t="shared" si="448"/>
        <v>7.2000000000000005E-4</v>
      </c>
      <c r="AJ608" s="138">
        <f t="shared" si="449"/>
        <v>7.2000000000000005E-4</v>
      </c>
      <c r="AK608" s="138">
        <f t="shared" si="450"/>
        <v>7.2000000000000005E-4</v>
      </c>
      <c r="AL608" s="138">
        <f t="shared" si="451"/>
        <v>7.2000000000000005E-4</v>
      </c>
      <c r="AM608" s="138">
        <f t="shared" si="452"/>
        <v>7.1999999999999983E-4</v>
      </c>
      <c r="AO608" s="77" t="str">
        <f t="shared" si="409"/>
        <v>DS-1 (Residential)</v>
      </c>
      <c r="AP608" s="78" t="s">
        <v>662</v>
      </c>
      <c r="AQ608" s="77" t="str">
        <f t="shared" si="410"/>
        <v>Rider ETAC (Energy Transistion Assistance Charge)</v>
      </c>
      <c r="AR608" s="78" t="str">
        <f t="shared" si="411"/>
        <v>Billing Cycle</v>
      </c>
      <c r="AS608" s="79">
        <f t="shared" si="412"/>
        <v>5</v>
      </c>
      <c r="AT608" s="78">
        <f t="shared" si="413"/>
        <v>0</v>
      </c>
      <c r="AU608" s="78">
        <f t="shared" si="414"/>
        <v>7.2000000000000005E-4</v>
      </c>
      <c r="AV608" s="78">
        <f t="shared" si="415"/>
        <v>7.2000000000000005E-4</v>
      </c>
      <c r="AW608" s="78">
        <f t="shared" si="416"/>
        <v>7.2000000000000005E-4</v>
      </c>
      <c r="AX608" s="78">
        <f t="shared" si="417"/>
        <v>7.2000000000000005E-4</v>
      </c>
      <c r="AY608" s="78">
        <f t="shared" si="418"/>
        <v>7.2000000000000005E-4</v>
      </c>
      <c r="AZ608" s="78">
        <f t="shared" si="419"/>
        <v>7.2000000000000005E-4</v>
      </c>
      <c r="BA608" s="78">
        <f t="shared" si="420"/>
        <v>7.2000000000000005E-4</v>
      </c>
      <c r="BB608" s="78">
        <f t="shared" si="421"/>
        <v>7.2000000000000005E-4</v>
      </c>
      <c r="BC608" s="78">
        <f t="shared" si="422"/>
        <v>7.2000000000000005E-4</v>
      </c>
      <c r="BD608" s="78">
        <f t="shared" si="423"/>
        <v>7.2000000000000005E-4</v>
      </c>
      <c r="BE608" s="78">
        <f t="shared" si="424"/>
        <v>7.2000000000000005E-4</v>
      </c>
      <c r="BF608" s="88">
        <f t="shared" si="425"/>
        <v>7.2000000000000005E-4</v>
      </c>
      <c r="BG608" s="88">
        <f t="shared" si="426"/>
        <v>7.2000000000000005E-4</v>
      </c>
      <c r="BH608" s="88">
        <f t="shared" si="427"/>
        <v>7.2000000000000005E-4</v>
      </c>
      <c r="BI608" s="88">
        <f t="shared" si="428"/>
        <v>7.2000000000000005E-4</v>
      </c>
      <c r="BJ608" s="88">
        <f t="shared" si="429"/>
        <v>7.2000000000000005E-4</v>
      </c>
      <c r="BK608" s="88">
        <f t="shared" si="430"/>
        <v>7.2000000000000005E-4</v>
      </c>
      <c r="BL608" s="88">
        <f t="shared" si="431"/>
        <v>7.2000000000000005E-4</v>
      </c>
      <c r="BM608" s="88">
        <f t="shared" si="432"/>
        <v>7.2000000000000005E-4</v>
      </c>
      <c r="BN608" s="88">
        <f t="shared" si="433"/>
        <v>7.2000000000000005E-4</v>
      </c>
      <c r="BO608" s="88">
        <f t="shared" si="434"/>
        <v>7.2000000000000005E-4</v>
      </c>
      <c r="BP608" s="88">
        <f t="shared" si="435"/>
        <v>7.2000000000000005E-4</v>
      </c>
      <c r="BQ608" s="88">
        <f t="shared" si="436"/>
        <v>7.2000000000000005E-4</v>
      </c>
      <c r="BR608" s="88">
        <f t="shared" si="437"/>
        <v>7.2000000000000005E-4</v>
      </c>
      <c r="BS608" s="77"/>
      <c r="BT608" s="77"/>
    </row>
    <row r="609" spans="1:72" ht="14.1" customHeight="1" x14ac:dyDescent="0.2">
      <c r="A609" s="55" t="str">
        <f t="shared" si="408"/>
        <v>DS-2 (Small General Service)_Rider ETAC (Energy Transistion Assistance Charge)</v>
      </c>
      <c r="B609" s="80" t="s">
        <v>665</v>
      </c>
      <c r="C609" s="83" t="s">
        <v>913</v>
      </c>
      <c r="D609" s="150"/>
      <c r="E609" s="81"/>
      <c r="F609" s="73" t="s">
        <v>649</v>
      </c>
      <c r="G609" s="73">
        <v>0</v>
      </c>
      <c r="H609" s="73">
        <v>5</v>
      </c>
      <c r="I609" s="74" t="s">
        <v>641</v>
      </c>
      <c r="J609" s="75" t="s">
        <v>634</v>
      </c>
      <c r="K609" s="74"/>
      <c r="L609" s="82">
        <v>7.2000000000000005E-4</v>
      </c>
      <c r="M609" s="138">
        <v>7.2000000000000005E-4</v>
      </c>
      <c r="N609" s="138">
        <v>7.2000000000000005E-4</v>
      </c>
      <c r="O609" s="138">
        <v>7.2000000000000005E-4</v>
      </c>
      <c r="P609" s="138">
        <v>7.2000000000000005E-4</v>
      </c>
      <c r="Q609" s="138">
        <v>7.2000000000000005E-4</v>
      </c>
      <c r="R609" s="138">
        <v>7.2000000000000005E-4</v>
      </c>
      <c r="S609" s="138">
        <v>7.2000000000000005E-4</v>
      </c>
      <c r="T609" s="138">
        <v>7.2000000000000005E-4</v>
      </c>
      <c r="U609" s="138">
        <v>7.2000000000000005E-4</v>
      </c>
      <c r="V609" s="138">
        <v>7.2000000000000005E-4</v>
      </c>
      <c r="W609" s="138">
        <v>7.2000000000000005E-4</v>
      </c>
      <c r="X609" s="138">
        <v>7.2000000000000005E-4</v>
      </c>
      <c r="Y609" s="138">
        <f t="shared" si="438"/>
        <v>7.2000000000000005E-4</v>
      </c>
      <c r="Z609" s="138">
        <f t="shared" si="439"/>
        <v>7.2000000000000005E-4</v>
      </c>
      <c r="AA609" s="138">
        <f t="shared" si="440"/>
        <v>7.2000000000000005E-4</v>
      </c>
      <c r="AB609" s="138">
        <f t="shared" si="441"/>
        <v>7.2000000000000005E-4</v>
      </c>
      <c r="AC609" s="138">
        <f t="shared" si="442"/>
        <v>7.2000000000000005E-4</v>
      </c>
      <c r="AD609" s="138">
        <f t="shared" si="443"/>
        <v>7.2000000000000005E-4</v>
      </c>
      <c r="AE609" s="138">
        <f t="shared" si="444"/>
        <v>7.2000000000000005E-4</v>
      </c>
      <c r="AF609" s="138">
        <f t="shared" si="445"/>
        <v>7.2000000000000005E-4</v>
      </c>
      <c r="AG609" s="138">
        <f t="shared" si="446"/>
        <v>7.2000000000000005E-4</v>
      </c>
      <c r="AH609" s="138">
        <f t="shared" si="447"/>
        <v>7.2000000000000005E-4</v>
      </c>
      <c r="AI609" s="138">
        <f t="shared" si="448"/>
        <v>7.2000000000000005E-4</v>
      </c>
      <c r="AJ609" s="138">
        <f t="shared" si="449"/>
        <v>7.2000000000000005E-4</v>
      </c>
      <c r="AK609" s="138">
        <f t="shared" si="450"/>
        <v>7.2000000000000005E-4</v>
      </c>
      <c r="AL609" s="138">
        <f t="shared" si="451"/>
        <v>7.2000000000000005E-4</v>
      </c>
      <c r="AM609" s="138">
        <f t="shared" si="452"/>
        <v>7.1999999999999983E-4</v>
      </c>
      <c r="AO609" s="77" t="str">
        <f t="shared" si="409"/>
        <v>DS-2 (Small General Service)</v>
      </c>
      <c r="AP609" s="78" t="s">
        <v>664</v>
      </c>
      <c r="AQ609" s="77" t="str">
        <f t="shared" si="410"/>
        <v>Rider ETAC (Energy Transistion Assistance Charge)</v>
      </c>
      <c r="AR609" s="78" t="str">
        <f t="shared" si="411"/>
        <v>Billing Cycle</v>
      </c>
      <c r="AS609" s="79">
        <f t="shared" si="412"/>
        <v>5</v>
      </c>
      <c r="AT609" s="78">
        <f t="shared" si="413"/>
        <v>0</v>
      </c>
      <c r="AU609" s="78">
        <f t="shared" si="414"/>
        <v>7.2000000000000005E-4</v>
      </c>
      <c r="AV609" s="78">
        <f t="shared" si="415"/>
        <v>7.2000000000000005E-4</v>
      </c>
      <c r="AW609" s="78">
        <f t="shared" si="416"/>
        <v>7.2000000000000005E-4</v>
      </c>
      <c r="AX609" s="78">
        <f t="shared" si="417"/>
        <v>7.2000000000000005E-4</v>
      </c>
      <c r="AY609" s="78">
        <f t="shared" si="418"/>
        <v>7.2000000000000005E-4</v>
      </c>
      <c r="AZ609" s="78">
        <f t="shared" si="419"/>
        <v>7.2000000000000005E-4</v>
      </c>
      <c r="BA609" s="78">
        <f t="shared" si="420"/>
        <v>7.2000000000000005E-4</v>
      </c>
      <c r="BB609" s="78">
        <f t="shared" si="421"/>
        <v>7.2000000000000005E-4</v>
      </c>
      <c r="BC609" s="78">
        <f t="shared" si="422"/>
        <v>7.2000000000000005E-4</v>
      </c>
      <c r="BD609" s="78">
        <f t="shared" si="423"/>
        <v>7.2000000000000005E-4</v>
      </c>
      <c r="BE609" s="78">
        <f t="shared" si="424"/>
        <v>7.2000000000000005E-4</v>
      </c>
      <c r="BF609" s="88">
        <f t="shared" si="425"/>
        <v>7.2000000000000005E-4</v>
      </c>
      <c r="BG609" s="88">
        <f t="shared" si="426"/>
        <v>7.2000000000000005E-4</v>
      </c>
      <c r="BH609" s="88">
        <f t="shared" si="427"/>
        <v>7.2000000000000005E-4</v>
      </c>
      <c r="BI609" s="88">
        <f t="shared" si="428"/>
        <v>7.2000000000000005E-4</v>
      </c>
      <c r="BJ609" s="88">
        <f t="shared" si="429"/>
        <v>7.2000000000000005E-4</v>
      </c>
      <c r="BK609" s="88">
        <f t="shared" si="430"/>
        <v>7.2000000000000005E-4</v>
      </c>
      <c r="BL609" s="88">
        <f t="shared" si="431"/>
        <v>7.2000000000000005E-4</v>
      </c>
      <c r="BM609" s="88">
        <f t="shared" si="432"/>
        <v>7.2000000000000005E-4</v>
      </c>
      <c r="BN609" s="88">
        <f t="shared" si="433"/>
        <v>7.2000000000000005E-4</v>
      </c>
      <c r="BO609" s="88">
        <f t="shared" si="434"/>
        <v>7.2000000000000005E-4</v>
      </c>
      <c r="BP609" s="88">
        <f t="shared" si="435"/>
        <v>7.2000000000000005E-4</v>
      </c>
      <c r="BQ609" s="88">
        <f t="shared" si="436"/>
        <v>7.2000000000000005E-4</v>
      </c>
      <c r="BR609" s="88">
        <f t="shared" si="437"/>
        <v>7.2000000000000005E-4</v>
      </c>
      <c r="BS609" s="77"/>
      <c r="BT609" s="77"/>
    </row>
    <row r="610" spans="1:72" ht="14.1" customHeight="1" x14ac:dyDescent="0.2">
      <c r="A610" s="55" t="str">
        <f t="shared" si="408"/>
        <v>DS-3 (General Delivery Service)_Rider ETAC (Energy Transistion Assistance Charge)</v>
      </c>
      <c r="B610" s="80" t="s">
        <v>666</v>
      </c>
      <c r="C610" s="83" t="s">
        <v>913</v>
      </c>
      <c r="D610" s="150"/>
      <c r="E610" s="81"/>
      <c r="F610" s="73" t="s">
        <v>649</v>
      </c>
      <c r="G610" s="73">
        <v>0</v>
      </c>
      <c r="H610" s="73">
        <v>5</v>
      </c>
      <c r="I610" s="74" t="s">
        <v>641</v>
      </c>
      <c r="J610" s="75" t="s">
        <v>634</v>
      </c>
      <c r="K610" s="74"/>
      <c r="L610" s="82">
        <v>7.2000000000000005E-4</v>
      </c>
      <c r="M610" s="138">
        <v>7.2000000000000005E-4</v>
      </c>
      <c r="N610" s="138">
        <v>7.2000000000000005E-4</v>
      </c>
      <c r="O610" s="138">
        <v>7.2000000000000005E-4</v>
      </c>
      <c r="P610" s="138">
        <v>7.2000000000000005E-4</v>
      </c>
      <c r="Q610" s="138">
        <v>7.2000000000000005E-4</v>
      </c>
      <c r="R610" s="138">
        <v>7.2000000000000005E-4</v>
      </c>
      <c r="S610" s="138">
        <v>7.2000000000000005E-4</v>
      </c>
      <c r="T610" s="138">
        <v>7.2000000000000005E-4</v>
      </c>
      <c r="U610" s="138">
        <v>7.2000000000000005E-4</v>
      </c>
      <c r="V610" s="138">
        <v>7.2000000000000005E-4</v>
      </c>
      <c r="W610" s="138">
        <v>7.2000000000000005E-4</v>
      </c>
      <c r="X610" s="138">
        <v>7.2000000000000005E-4</v>
      </c>
      <c r="Y610" s="138">
        <f t="shared" si="438"/>
        <v>7.2000000000000005E-4</v>
      </c>
      <c r="Z610" s="138">
        <f t="shared" si="439"/>
        <v>7.2000000000000005E-4</v>
      </c>
      <c r="AA610" s="138">
        <f t="shared" si="440"/>
        <v>7.2000000000000005E-4</v>
      </c>
      <c r="AB610" s="138">
        <f t="shared" si="441"/>
        <v>7.2000000000000005E-4</v>
      </c>
      <c r="AC610" s="138">
        <f t="shared" si="442"/>
        <v>7.2000000000000005E-4</v>
      </c>
      <c r="AD610" s="138">
        <f t="shared" si="443"/>
        <v>7.2000000000000005E-4</v>
      </c>
      <c r="AE610" s="138">
        <f t="shared" si="444"/>
        <v>7.2000000000000005E-4</v>
      </c>
      <c r="AF610" s="138">
        <f t="shared" si="445"/>
        <v>7.2000000000000005E-4</v>
      </c>
      <c r="AG610" s="138">
        <f t="shared" si="446"/>
        <v>7.2000000000000005E-4</v>
      </c>
      <c r="AH610" s="138">
        <f t="shared" si="447"/>
        <v>7.2000000000000005E-4</v>
      </c>
      <c r="AI610" s="138">
        <f t="shared" si="448"/>
        <v>7.2000000000000005E-4</v>
      </c>
      <c r="AJ610" s="138">
        <f t="shared" si="449"/>
        <v>7.2000000000000005E-4</v>
      </c>
      <c r="AK610" s="138">
        <f t="shared" si="450"/>
        <v>7.2000000000000005E-4</v>
      </c>
      <c r="AL610" s="138">
        <f t="shared" si="451"/>
        <v>7.2000000000000005E-4</v>
      </c>
      <c r="AM610" s="138">
        <f t="shared" si="452"/>
        <v>7.1999999999999983E-4</v>
      </c>
      <c r="AO610" s="77" t="str">
        <f t="shared" si="409"/>
        <v>DS-3 (General Delivery Service)</v>
      </c>
      <c r="AP610" s="78" t="s">
        <v>667</v>
      </c>
      <c r="AQ610" s="77" t="str">
        <f t="shared" si="410"/>
        <v>Rider ETAC (Energy Transistion Assistance Charge)</v>
      </c>
      <c r="AR610" s="78" t="str">
        <f t="shared" si="411"/>
        <v>Billing Cycle</v>
      </c>
      <c r="AS610" s="79">
        <f t="shared" si="412"/>
        <v>5</v>
      </c>
      <c r="AT610" s="78">
        <f t="shared" si="413"/>
        <v>0</v>
      </c>
      <c r="AU610" s="78">
        <f t="shared" si="414"/>
        <v>7.2000000000000005E-4</v>
      </c>
      <c r="AV610" s="78">
        <f t="shared" si="415"/>
        <v>7.2000000000000005E-4</v>
      </c>
      <c r="AW610" s="78">
        <f t="shared" si="416"/>
        <v>7.2000000000000005E-4</v>
      </c>
      <c r="AX610" s="78">
        <f t="shared" si="417"/>
        <v>7.2000000000000005E-4</v>
      </c>
      <c r="AY610" s="78">
        <f t="shared" si="418"/>
        <v>7.2000000000000005E-4</v>
      </c>
      <c r="AZ610" s="78">
        <f t="shared" si="419"/>
        <v>7.2000000000000005E-4</v>
      </c>
      <c r="BA610" s="78">
        <f t="shared" si="420"/>
        <v>7.2000000000000005E-4</v>
      </c>
      <c r="BB610" s="78">
        <f t="shared" si="421"/>
        <v>7.2000000000000005E-4</v>
      </c>
      <c r="BC610" s="78">
        <f t="shared" si="422"/>
        <v>7.2000000000000005E-4</v>
      </c>
      <c r="BD610" s="78">
        <f t="shared" si="423"/>
        <v>7.2000000000000005E-4</v>
      </c>
      <c r="BE610" s="78">
        <f t="shared" si="424"/>
        <v>7.2000000000000005E-4</v>
      </c>
      <c r="BF610" s="88">
        <f t="shared" si="425"/>
        <v>7.2000000000000005E-4</v>
      </c>
      <c r="BG610" s="88">
        <f t="shared" si="426"/>
        <v>7.2000000000000005E-4</v>
      </c>
      <c r="BH610" s="88">
        <f t="shared" si="427"/>
        <v>7.2000000000000005E-4</v>
      </c>
      <c r="BI610" s="88">
        <f t="shared" si="428"/>
        <v>7.2000000000000005E-4</v>
      </c>
      <c r="BJ610" s="88">
        <f t="shared" si="429"/>
        <v>7.2000000000000005E-4</v>
      </c>
      <c r="BK610" s="88">
        <f t="shared" si="430"/>
        <v>7.2000000000000005E-4</v>
      </c>
      <c r="BL610" s="88">
        <f t="shared" si="431"/>
        <v>7.2000000000000005E-4</v>
      </c>
      <c r="BM610" s="88">
        <f t="shared" si="432"/>
        <v>7.2000000000000005E-4</v>
      </c>
      <c r="BN610" s="88">
        <f t="shared" si="433"/>
        <v>7.2000000000000005E-4</v>
      </c>
      <c r="BO610" s="88">
        <f t="shared" si="434"/>
        <v>7.2000000000000005E-4</v>
      </c>
      <c r="BP610" s="88">
        <f t="shared" si="435"/>
        <v>7.2000000000000005E-4</v>
      </c>
      <c r="BQ610" s="88">
        <f t="shared" si="436"/>
        <v>7.2000000000000005E-4</v>
      </c>
      <c r="BR610" s="88">
        <f t="shared" si="437"/>
        <v>7.2000000000000005E-4</v>
      </c>
      <c r="BS610" s="77"/>
      <c r="BT610" s="77"/>
    </row>
    <row r="611" spans="1:72" ht="14.1" customHeight="1" x14ac:dyDescent="0.2">
      <c r="A611" s="55" t="str">
        <f t="shared" si="408"/>
        <v>DS-4 (Large General Service)_Rider ETAC (Energy Transistion Assistance Charge)</v>
      </c>
      <c r="B611" s="80" t="s">
        <v>639</v>
      </c>
      <c r="C611" s="83" t="s">
        <v>913</v>
      </c>
      <c r="D611" s="150"/>
      <c r="E611" s="81"/>
      <c r="F611" s="73" t="s">
        <v>649</v>
      </c>
      <c r="G611" s="73">
        <v>0</v>
      </c>
      <c r="H611" s="73">
        <v>5</v>
      </c>
      <c r="I611" s="74" t="s">
        <v>641</v>
      </c>
      <c r="J611" s="75" t="s">
        <v>634</v>
      </c>
      <c r="K611" s="74"/>
      <c r="L611" s="82">
        <v>7.2000000000000005E-4</v>
      </c>
      <c r="M611" s="138">
        <v>7.2000000000000005E-4</v>
      </c>
      <c r="N611" s="138">
        <v>7.2000000000000005E-4</v>
      </c>
      <c r="O611" s="138">
        <v>7.2000000000000005E-4</v>
      </c>
      <c r="P611" s="138">
        <v>7.2000000000000005E-4</v>
      </c>
      <c r="Q611" s="138">
        <v>7.2000000000000005E-4</v>
      </c>
      <c r="R611" s="138">
        <v>7.2000000000000005E-4</v>
      </c>
      <c r="S611" s="138">
        <v>7.2000000000000005E-4</v>
      </c>
      <c r="T611" s="138">
        <v>7.2000000000000005E-4</v>
      </c>
      <c r="U611" s="138">
        <v>7.2000000000000005E-4</v>
      </c>
      <c r="V611" s="138">
        <v>7.2000000000000005E-4</v>
      </c>
      <c r="W611" s="138">
        <v>7.2000000000000005E-4</v>
      </c>
      <c r="X611" s="138">
        <v>7.2000000000000005E-4</v>
      </c>
      <c r="Y611" s="138">
        <f t="shared" si="438"/>
        <v>7.2000000000000005E-4</v>
      </c>
      <c r="Z611" s="138">
        <f t="shared" si="439"/>
        <v>7.2000000000000005E-4</v>
      </c>
      <c r="AA611" s="138">
        <f t="shared" si="440"/>
        <v>7.2000000000000005E-4</v>
      </c>
      <c r="AB611" s="138">
        <f t="shared" si="441"/>
        <v>7.2000000000000005E-4</v>
      </c>
      <c r="AC611" s="138">
        <f t="shared" si="442"/>
        <v>7.2000000000000005E-4</v>
      </c>
      <c r="AD611" s="138">
        <f t="shared" si="443"/>
        <v>7.2000000000000005E-4</v>
      </c>
      <c r="AE611" s="138">
        <f t="shared" si="444"/>
        <v>7.2000000000000005E-4</v>
      </c>
      <c r="AF611" s="138">
        <f t="shared" si="445"/>
        <v>7.2000000000000005E-4</v>
      </c>
      <c r="AG611" s="138">
        <f t="shared" si="446"/>
        <v>7.2000000000000005E-4</v>
      </c>
      <c r="AH611" s="138">
        <f t="shared" si="447"/>
        <v>7.2000000000000005E-4</v>
      </c>
      <c r="AI611" s="138">
        <f t="shared" si="448"/>
        <v>7.2000000000000005E-4</v>
      </c>
      <c r="AJ611" s="138">
        <f t="shared" si="449"/>
        <v>7.2000000000000005E-4</v>
      </c>
      <c r="AK611" s="138">
        <f t="shared" si="450"/>
        <v>7.2000000000000005E-4</v>
      </c>
      <c r="AL611" s="138">
        <f t="shared" si="451"/>
        <v>7.2000000000000005E-4</v>
      </c>
      <c r="AM611" s="138">
        <f t="shared" si="452"/>
        <v>7.1999999999999983E-4</v>
      </c>
      <c r="AO611" s="77" t="str">
        <f t="shared" si="409"/>
        <v>DS-4 (Large General Service)</v>
      </c>
      <c r="AP611" s="78" t="s">
        <v>642</v>
      </c>
      <c r="AQ611" s="77" t="str">
        <f t="shared" si="410"/>
        <v>Rider ETAC (Energy Transistion Assistance Charge)</v>
      </c>
      <c r="AR611" s="78" t="str">
        <f t="shared" si="411"/>
        <v>Billing Cycle</v>
      </c>
      <c r="AS611" s="79">
        <f t="shared" si="412"/>
        <v>5</v>
      </c>
      <c r="AT611" s="78">
        <f t="shared" si="413"/>
        <v>0</v>
      </c>
      <c r="AU611" s="78">
        <f t="shared" si="414"/>
        <v>7.2000000000000005E-4</v>
      </c>
      <c r="AV611" s="78">
        <f t="shared" si="415"/>
        <v>7.2000000000000005E-4</v>
      </c>
      <c r="AW611" s="78">
        <f t="shared" si="416"/>
        <v>7.2000000000000005E-4</v>
      </c>
      <c r="AX611" s="78">
        <f t="shared" si="417"/>
        <v>7.2000000000000005E-4</v>
      </c>
      <c r="AY611" s="78">
        <f t="shared" si="418"/>
        <v>7.2000000000000005E-4</v>
      </c>
      <c r="AZ611" s="78">
        <f t="shared" si="419"/>
        <v>7.2000000000000005E-4</v>
      </c>
      <c r="BA611" s="78">
        <f t="shared" si="420"/>
        <v>7.2000000000000005E-4</v>
      </c>
      <c r="BB611" s="78">
        <f t="shared" si="421"/>
        <v>7.2000000000000005E-4</v>
      </c>
      <c r="BC611" s="78">
        <f t="shared" si="422"/>
        <v>7.2000000000000005E-4</v>
      </c>
      <c r="BD611" s="78">
        <f t="shared" si="423"/>
        <v>7.2000000000000005E-4</v>
      </c>
      <c r="BE611" s="78">
        <f t="shared" si="424"/>
        <v>7.2000000000000005E-4</v>
      </c>
      <c r="BF611" s="88">
        <f t="shared" si="425"/>
        <v>7.2000000000000005E-4</v>
      </c>
      <c r="BG611" s="88">
        <f t="shared" si="426"/>
        <v>7.2000000000000005E-4</v>
      </c>
      <c r="BH611" s="88">
        <f t="shared" si="427"/>
        <v>7.2000000000000005E-4</v>
      </c>
      <c r="BI611" s="88">
        <f t="shared" si="428"/>
        <v>7.2000000000000005E-4</v>
      </c>
      <c r="BJ611" s="88">
        <f t="shared" si="429"/>
        <v>7.2000000000000005E-4</v>
      </c>
      <c r="BK611" s="88">
        <f t="shared" si="430"/>
        <v>7.2000000000000005E-4</v>
      </c>
      <c r="BL611" s="88">
        <f t="shared" si="431"/>
        <v>7.2000000000000005E-4</v>
      </c>
      <c r="BM611" s="88">
        <f t="shared" si="432"/>
        <v>7.2000000000000005E-4</v>
      </c>
      <c r="BN611" s="88">
        <f t="shared" si="433"/>
        <v>7.2000000000000005E-4</v>
      </c>
      <c r="BO611" s="88">
        <f t="shared" si="434"/>
        <v>7.2000000000000005E-4</v>
      </c>
      <c r="BP611" s="88">
        <f t="shared" si="435"/>
        <v>7.2000000000000005E-4</v>
      </c>
      <c r="BQ611" s="88">
        <f t="shared" si="436"/>
        <v>7.2000000000000005E-4</v>
      </c>
      <c r="BR611" s="88">
        <f t="shared" si="437"/>
        <v>7.2000000000000005E-4</v>
      </c>
      <c r="BS611" s="77"/>
      <c r="BT611" s="77"/>
    </row>
    <row r="612" spans="1:72" ht="14.1" customHeight="1" x14ac:dyDescent="0.2">
      <c r="A612" s="55" t="str">
        <f t="shared" si="408"/>
        <v>DS-5 (Lighting Service)_Rider ETAC (Energy Transistion Assistance Charge)</v>
      </c>
      <c r="B612" s="80" t="s">
        <v>647</v>
      </c>
      <c r="C612" s="83" t="s">
        <v>913</v>
      </c>
      <c r="D612" s="150"/>
      <c r="E612" s="81"/>
      <c r="F612" s="73" t="s">
        <v>649</v>
      </c>
      <c r="G612" s="73">
        <v>0</v>
      </c>
      <c r="H612" s="73">
        <v>5</v>
      </c>
      <c r="I612" s="74" t="s">
        <v>641</v>
      </c>
      <c r="J612" s="75" t="s">
        <v>634</v>
      </c>
      <c r="K612" s="74"/>
      <c r="L612" s="82">
        <v>7.2000000000000005E-4</v>
      </c>
      <c r="M612" s="138">
        <v>7.2000000000000005E-4</v>
      </c>
      <c r="N612" s="138">
        <v>7.2000000000000005E-4</v>
      </c>
      <c r="O612" s="138">
        <v>7.2000000000000005E-4</v>
      </c>
      <c r="P612" s="138">
        <v>7.2000000000000005E-4</v>
      </c>
      <c r="Q612" s="138">
        <v>7.2000000000000005E-4</v>
      </c>
      <c r="R612" s="138">
        <v>7.2000000000000005E-4</v>
      </c>
      <c r="S612" s="138">
        <v>7.2000000000000005E-4</v>
      </c>
      <c r="T612" s="138">
        <v>7.2000000000000005E-4</v>
      </c>
      <c r="U612" s="138">
        <v>7.2000000000000005E-4</v>
      </c>
      <c r="V612" s="138">
        <v>7.2000000000000005E-4</v>
      </c>
      <c r="W612" s="138">
        <v>7.2000000000000005E-4</v>
      </c>
      <c r="X612" s="138">
        <v>7.2000000000000005E-4</v>
      </c>
      <c r="Y612" s="138">
        <f t="shared" si="438"/>
        <v>7.2000000000000005E-4</v>
      </c>
      <c r="Z612" s="138">
        <f t="shared" si="439"/>
        <v>7.2000000000000005E-4</v>
      </c>
      <c r="AA612" s="138">
        <f t="shared" si="440"/>
        <v>7.2000000000000005E-4</v>
      </c>
      <c r="AB612" s="138">
        <f t="shared" si="441"/>
        <v>7.2000000000000005E-4</v>
      </c>
      <c r="AC612" s="138">
        <f t="shared" si="442"/>
        <v>7.2000000000000005E-4</v>
      </c>
      <c r="AD612" s="138">
        <f t="shared" si="443"/>
        <v>7.2000000000000005E-4</v>
      </c>
      <c r="AE612" s="138">
        <f t="shared" si="444"/>
        <v>7.2000000000000005E-4</v>
      </c>
      <c r="AF612" s="138">
        <f t="shared" si="445"/>
        <v>7.2000000000000005E-4</v>
      </c>
      <c r="AG612" s="138">
        <f t="shared" si="446"/>
        <v>7.2000000000000005E-4</v>
      </c>
      <c r="AH612" s="138">
        <f t="shared" si="447"/>
        <v>7.2000000000000005E-4</v>
      </c>
      <c r="AI612" s="138">
        <f t="shared" si="448"/>
        <v>7.2000000000000005E-4</v>
      </c>
      <c r="AJ612" s="138">
        <f t="shared" si="449"/>
        <v>7.2000000000000005E-4</v>
      </c>
      <c r="AK612" s="138">
        <f t="shared" si="450"/>
        <v>7.2000000000000005E-4</v>
      </c>
      <c r="AL612" s="138">
        <f t="shared" si="451"/>
        <v>7.2000000000000005E-4</v>
      </c>
      <c r="AM612" s="138">
        <f t="shared" si="452"/>
        <v>7.1999999999999983E-4</v>
      </c>
      <c r="AO612" s="77" t="str">
        <f t="shared" si="409"/>
        <v>DS-5 (Lighting Service)</v>
      </c>
      <c r="AP612" s="78" t="s">
        <v>650</v>
      </c>
      <c r="AQ612" s="77" t="str">
        <f t="shared" si="410"/>
        <v>Rider ETAC (Energy Transistion Assistance Charge)</v>
      </c>
      <c r="AR612" s="78" t="str">
        <f t="shared" si="411"/>
        <v>Billing Cycle</v>
      </c>
      <c r="AS612" s="79">
        <f t="shared" si="412"/>
        <v>5</v>
      </c>
      <c r="AT612" s="78">
        <f t="shared" si="413"/>
        <v>0</v>
      </c>
      <c r="AU612" s="78">
        <f t="shared" si="414"/>
        <v>7.2000000000000005E-4</v>
      </c>
      <c r="AV612" s="78">
        <f t="shared" si="415"/>
        <v>7.2000000000000005E-4</v>
      </c>
      <c r="AW612" s="78">
        <f t="shared" si="416"/>
        <v>7.2000000000000005E-4</v>
      </c>
      <c r="AX612" s="78">
        <f t="shared" si="417"/>
        <v>7.2000000000000005E-4</v>
      </c>
      <c r="AY612" s="78">
        <f t="shared" si="418"/>
        <v>7.2000000000000005E-4</v>
      </c>
      <c r="AZ612" s="78">
        <f t="shared" si="419"/>
        <v>7.2000000000000005E-4</v>
      </c>
      <c r="BA612" s="78">
        <f t="shared" si="420"/>
        <v>7.2000000000000005E-4</v>
      </c>
      <c r="BB612" s="78">
        <f t="shared" si="421"/>
        <v>7.2000000000000005E-4</v>
      </c>
      <c r="BC612" s="78">
        <f t="shared" si="422"/>
        <v>7.2000000000000005E-4</v>
      </c>
      <c r="BD612" s="78">
        <f t="shared" si="423"/>
        <v>7.2000000000000005E-4</v>
      </c>
      <c r="BE612" s="78">
        <f t="shared" si="424"/>
        <v>7.2000000000000005E-4</v>
      </c>
      <c r="BF612" s="88">
        <f t="shared" si="425"/>
        <v>7.2000000000000005E-4</v>
      </c>
      <c r="BG612" s="88">
        <f t="shared" si="426"/>
        <v>7.2000000000000005E-4</v>
      </c>
      <c r="BH612" s="88">
        <f t="shared" si="427"/>
        <v>7.2000000000000005E-4</v>
      </c>
      <c r="BI612" s="88">
        <f t="shared" si="428"/>
        <v>7.2000000000000005E-4</v>
      </c>
      <c r="BJ612" s="88">
        <f t="shared" si="429"/>
        <v>7.2000000000000005E-4</v>
      </c>
      <c r="BK612" s="88">
        <f t="shared" si="430"/>
        <v>7.2000000000000005E-4</v>
      </c>
      <c r="BL612" s="88">
        <f t="shared" si="431"/>
        <v>7.2000000000000005E-4</v>
      </c>
      <c r="BM612" s="88">
        <f t="shared" si="432"/>
        <v>7.2000000000000005E-4</v>
      </c>
      <c r="BN612" s="88">
        <f t="shared" si="433"/>
        <v>7.2000000000000005E-4</v>
      </c>
      <c r="BO612" s="88">
        <f t="shared" si="434"/>
        <v>7.2000000000000005E-4</v>
      </c>
      <c r="BP612" s="88">
        <f t="shared" si="435"/>
        <v>7.2000000000000005E-4</v>
      </c>
      <c r="BQ612" s="88">
        <f t="shared" si="436"/>
        <v>7.2000000000000005E-4</v>
      </c>
      <c r="BR612" s="88">
        <f t="shared" si="437"/>
        <v>7.2000000000000005E-4</v>
      </c>
      <c r="BS612" s="77"/>
      <c r="BT612" s="77"/>
    </row>
    <row r="613" spans="1:72" ht="14.1" customHeight="1" x14ac:dyDescent="0.2">
      <c r="A613" s="55" t="str">
        <f t="shared" si="408"/>
        <v>DS-6 (DS-3) Temp. Sensitive DS_Rider ETAC (Energy Transistion Assistance Charge)</v>
      </c>
      <c r="B613" s="80" t="s">
        <v>643</v>
      </c>
      <c r="C613" s="83" t="s">
        <v>913</v>
      </c>
      <c r="D613" s="150"/>
      <c r="E613" s="81"/>
      <c r="F613" s="73" t="s">
        <v>649</v>
      </c>
      <c r="G613" s="73">
        <v>0</v>
      </c>
      <c r="H613" s="73">
        <v>5</v>
      </c>
      <c r="I613" s="74" t="s">
        <v>641</v>
      </c>
      <c r="J613" s="75" t="s">
        <v>634</v>
      </c>
      <c r="K613" s="74"/>
      <c r="L613" s="82">
        <v>7.2000000000000005E-4</v>
      </c>
      <c r="M613" s="138">
        <v>7.2000000000000005E-4</v>
      </c>
      <c r="N613" s="138">
        <v>7.2000000000000005E-4</v>
      </c>
      <c r="O613" s="138">
        <v>7.2000000000000005E-4</v>
      </c>
      <c r="P613" s="138">
        <v>7.2000000000000005E-4</v>
      </c>
      <c r="Q613" s="138">
        <v>7.2000000000000005E-4</v>
      </c>
      <c r="R613" s="138">
        <v>7.2000000000000005E-4</v>
      </c>
      <c r="S613" s="138">
        <v>7.2000000000000005E-4</v>
      </c>
      <c r="T613" s="138">
        <v>7.2000000000000005E-4</v>
      </c>
      <c r="U613" s="138">
        <v>7.2000000000000005E-4</v>
      </c>
      <c r="V613" s="138">
        <v>7.2000000000000005E-4</v>
      </c>
      <c r="W613" s="138">
        <v>7.2000000000000005E-4</v>
      </c>
      <c r="X613" s="138">
        <v>7.2000000000000005E-4</v>
      </c>
      <c r="Y613" s="138">
        <f t="shared" si="438"/>
        <v>7.2000000000000005E-4</v>
      </c>
      <c r="Z613" s="138">
        <f t="shared" si="439"/>
        <v>7.2000000000000005E-4</v>
      </c>
      <c r="AA613" s="138">
        <f t="shared" si="440"/>
        <v>7.2000000000000005E-4</v>
      </c>
      <c r="AB613" s="138">
        <f t="shared" si="441"/>
        <v>7.2000000000000005E-4</v>
      </c>
      <c r="AC613" s="138">
        <f t="shared" si="442"/>
        <v>7.2000000000000005E-4</v>
      </c>
      <c r="AD613" s="138">
        <f t="shared" si="443"/>
        <v>7.2000000000000005E-4</v>
      </c>
      <c r="AE613" s="138">
        <f t="shared" si="444"/>
        <v>7.2000000000000005E-4</v>
      </c>
      <c r="AF613" s="138">
        <f t="shared" si="445"/>
        <v>7.2000000000000005E-4</v>
      </c>
      <c r="AG613" s="138">
        <f t="shared" si="446"/>
        <v>7.2000000000000005E-4</v>
      </c>
      <c r="AH613" s="138">
        <f t="shared" si="447"/>
        <v>7.2000000000000005E-4</v>
      </c>
      <c r="AI613" s="138">
        <f t="shared" si="448"/>
        <v>7.2000000000000005E-4</v>
      </c>
      <c r="AJ613" s="138">
        <f t="shared" si="449"/>
        <v>7.2000000000000005E-4</v>
      </c>
      <c r="AK613" s="138">
        <f t="shared" si="450"/>
        <v>7.2000000000000005E-4</v>
      </c>
      <c r="AL613" s="138">
        <f t="shared" si="451"/>
        <v>7.2000000000000005E-4</v>
      </c>
      <c r="AM613" s="138">
        <f t="shared" si="452"/>
        <v>7.1999999999999983E-4</v>
      </c>
      <c r="AO613" s="77" t="str">
        <f t="shared" si="409"/>
        <v>DS-6 (DS-3) Temp. Sensitive DS</v>
      </c>
      <c r="AP613" s="78" t="s">
        <v>644</v>
      </c>
      <c r="AQ613" s="77" t="str">
        <f t="shared" si="410"/>
        <v>Rider ETAC (Energy Transistion Assistance Charge)</v>
      </c>
      <c r="AR613" s="78" t="str">
        <f t="shared" si="411"/>
        <v>Billing Cycle</v>
      </c>
      <c r="AS613" s="79">
        <f t="shared" si="412"/>
        <v>5</v>
      </c>
      <c r="AT613" s="78">
        <f t="shared" si="413"/>
        <v>0</v>
      </c>
      <c r="AU613" s="78">
        <f t="shared" si="414"/>
        <v>7.2000000000000005E-4</v>
      </c>
      <c r="AV613" s="78">
        <f t="shared" si="415"/>
        <v>7.2000000000000005E-4</v>
      </c>
      <c r="AW613" s="78">
        <f t="shared" si="416"/>
        <v>7.2000000000000005E-4</v>
      </c>
      <c r="AX613" s="78">
        <f t="shared" si="417"/>
        <v>7.2000000000000005E-4</v>
      </c>
      <c r="AY613" s="78">
        <f t="shared" si="418"/>
        <v>7.2000000000000005E-4</v>
      </c>
      <c r="AZ613" s="78">
        <f t="shared" si="419"/>
        <v>7.2000000000000005E-4</v>
      </c>
      <c r="BA613" s="78">
        <f t="shared" si="420"/>
        <v>7.2000000000000005E-4</v>
      </c>
      <c r="BB613" s="78">
        <f t="shared" si="421"/>
        <v>7.2000000000000005E-4</v>
      </c>
      <c r="BC613" s="78">
        <f t="shared" si="422"/>
        <v>7.2000000000000005E-4</v>
      </c>
      <c r="BD613" s="78">
        <f t="shared" si="423"/>
        <v>7.2000000000000005E-4</v>
      </c>
      <c r="BE613" s="78">
        <f t="shared" si="424"/>
        <v>7.2000000000000005E-4</v>
      </c>
      <c r="BF613" s="88">
        <f t="shared" si="425"/>
        <v>7.2000000000000005E-4</v>
      </c>
      <c r="BG613" s="88">
        <f t="shared" si="426"/>
        <v>7.2000000000000005E-4</v>
      </c>
      <c r="BH613" s="88">
        <f t="shared" si="427"/>
        <v>7.2000000000000005E-4</v>
      </c>
      <c r="BI613" s="88">
        <f t="shared" si="428"/>
        <v>7.2000000000000005E-4</v>
      </c>
      <c r="BJ613" s="88">
        <f t="shared" si="429"/>
        <v>7.2000000000000005E-4</v>
      </c>
      <c r="BK613" s="88">
        <f t="shared" si="430"/>
        <v>7.2000000000000005E-4</v>
      </c>
      <c r="BL613" s="88">
        <f t="shared" si="431"/>
        <v>7.2000000000000005E-4</v>
      </c>
      <c r="BM613" s="88">
        <f t="shared" si="432"/>
        <v>7.2000000000000005E-4</v>
      </c>
      <c r="BN613" s="88">
        <f t="shared" si="433"/>
        <v>7.2000000000000005E-4</v>
      </c>
      <c r="BO613" s="88">
        <f t="shared" si="434"/>
        <v>7.2000000000000005E-4</v>
      </c>
      <c r="BP613" s="88">
        <f t="shared" si="435"/>
        <v>7.2000000000000005E-4</v>
      </c>
      <c r="BQ613" s="88">
        <f t="shared" si="436"/>
        <v>7.2000000000000005E-4</v>
      </c>
      <c r="BR613" s="88">
        <f t="shared" si="437"/>
        <v>7.2000000000000005E-4</v>
      </c>
      <c r="BS613" s="77"/>
      <c r="BT613" s="77"/>
    </row>
    <row r="614" spans="1:72" ht="14.1" customHeight="1" x14ac:dyDescent="0.2">
      <c r="A614" s="55" t="str">
        <f t="shared" si="408"/>
        <v>DS-6 (DS-4) Temp. Sensitive DS_Rider ETAC (Energy Transistion Assistance Charge)</v>
      </c>
      <c r="B614" s="80" t="s">
        <v>645</v>
      </c>
      <c r="C614" s="83" t="s">
        <v>913</v>
      </c>
      <c r="D614" s="150"/>
      <c r="E614" s="81"/>
      <c r="F614" s="73" t="s">
        <v>649</v>
      </c>
      <c r="G614" s="73">
        <v>0</v>
      </c>
      <c r="H614" s="73">
        <v>5</v>
      </c>
      <c r="I614" s="74" t="s">
        <v>641</v>
      </c>
      <c r="J614" s="75" t="s">
        <v>634</v>
      </c>
      <c r="K614" s="74"/>
      <c r="L614" s="82">
        <v>7.2000000000000005E-4</v>
      </c>
      <c r="M614" s="138">
        <v>7.2000000000000005E-4</v>
      </c>
      <c r="N614" s="138">
        <v>7.2000000000000005E-4</v>
      </c>
      <c r="O614" s="138">
        <v>7.2000000000000005E-4</v>
      </c>
      <c r="P614" s="138">
        <v>7.2000000000000005E-4</v>
      </c>
      <c r="Q614" s="138">
        <v>7.2000000000000005E-4</v>
      </c>
      <c r="R614" s="138">
        <v>7.2000000000000005E-4</v>
      </c>
      <c r="S614" s="138">
        <v>7.2000000000000005E-4</v>
      </c>
      <c r="T614" s="138">
        <v>7.2000000000000005E-4</v>
      </c>
      <c r="U614" s="138">
        <v>7.2000000000000005E-4</v>
      </c>
      <c r="V614" s="138">
        <v>7.2000000000000005E-4</v>
      </c>
      <c r="W614" s="138">
        <v>7.2000000000000005E-4</v>
      </c>
      <c r="X614" s="138">
        <v>7.2000000000000005E-4</v>
      </c>
      <c r="Y614" s="138">
        <f t="shared" si="438"/>
        <v>7.2000000000000005E-4</v>
      </c>
      <c r="Z614" s="138">
        <f t="shared" si="439"/>
        <v>7.2000000000000005E-4</v>
      </c>
      <c r="AA614" s="138">
        <f t="shared" si="440"/>
        <v>7.2000000000000005E-4</v>
      </c>
      <c r="AB614" s="138">
        <f t="shared" si="441"/>
        <v>7.2000000000000005E-4</v>
      </c>
      <c r="AC614" s="138">
        <f t="shared" si="442"/>
        <v>7.2000000000000005E-4</v>
      </c>
      <c r="AD614" s="138">
        <f t="shared" si="443"/>
        <v>7.2000000000000005E-4</v>
      </c>
      <c r="AE614" s="138">
        <f t="shared" si="444"/>
        <v>7.2000000000000005E-4</v>
      </c>
      <c r="AF614" s="138">
        <f t="shared" si="445"/>
        <v>7.2000000000000005E-4</v>
      </c>
      <c r="AG614" s="138">
        <f t="shared" si="446"/>
        <v>7.2000000000000005E-4</v>
      </c>
      <c r="AH614" s="138">
        <f t="shared" si="447"/>
        <v>7.2000000000000005E-4</v>
      </c>
      <c r="AI614" s="138">
        <f t="shared" si="448"/>
        <v>7.2000000000000005E-4</v>
      </c>
      <c r="AJ614" s="138">
        <f t="shared" si="449"/>
        <v>7.2000000000000005E-4</v>
      </c>
      <c r="AK614" s="138">
        <f t="shared" si="450"/>
        <v>7.2000000000000005E-4</v>
      </c>
      <c r="AL614" s="138">
        <f t="shared" si="451"/>
        <v>7.2000000000000005E-4</v>
      </c>
      <c r="AM614" s="138">
        <f t="shared" si="452"/>
        <v>7.1999999999999983E-4</v>
      </c>
      <c r="AO614" s="77" t="str">
        <f t="shared" si="409"/>
        <v>DS-6 (DS-4) Temp. Sensitive DS</v>
      </c>
      <c r="AP614" s="78" t="s">
        <v>646</v>
      </c>
      <c r="AQ614" s="77" t="str">
        <f t="shared" si="410"/>
        <v>Rider ETAC (Energy Transistion Assistance Charge)</v>
      </c>
      <c r="AR614" s="78" t="str">
        <f t="shared" si="411"/>
        <v>Billing Cycle</v>
      </c>
      <c r="AS614" s="79">
        <f t="shared" si="412"/>
        <v>5</v>
      </c>
      <c r="AT614" s="78">
        <f t="shared" si="413"/>
        <v>0</v>
      </c>
      <c r="AU614" s="78">
        <f t="shared" si="414"/>
        <v>7.2000000000000005E-4</v>
      </c>
      <c r="AV614" s="78">
        <f t="shared" si="415"/>
        <v>7.2000000000000005E-4</v>
      </c>
      <c r="AW614" s="78">
        <f t="shared" si="416"/>
        <v>7.2000000000000005E-4</v>
      </c>
      <c r="AX614" s="78">
        <f t="shared" si="417"/>
        <v>7.2000000000000005E-4</v>
      </c>
      <c r="AY614" s="78">
        <f t="shared" si="418"/>
        <v>7.2000000000000005E-4</v>
      </c>
      <c r="AZ614" s="78">
        <f t="shared" si="419"/>
        <v>7.2000000000000005E-4</v>
      </c>
      <c r="BA614" s="78">
        <f t="shared" si="420"/>
        <v>7.2000000000000005E-4</v>
      </c>
      <c r="BB614" s="78">
        <f t="shared" si="421"/>
        <v>7.2000000000000005E-4</v>
      </c>
      <c r="BC614" s="78">
        <f t="shared" si="422"/>
        <v>7.2000000000000005E-4</v>
      </c>
      <c r="BD614" s="78">
        <f t="shared" si="423"/>
        <v>7.2000000000000005E-4</v>
      </c>
      <c r="BE614" s="78">
        <f t="shared" si="424"/>
        <v>7.2000000000000005E-4</v>
      </c>
      <c r="BF614" s="88">
        <f t="shared" si="425"/>
        <v>7.2000000000000005E-4</v>
      </c>
      <c r="BG614" s="88">
        <f t="shared" si="426"/>
        <v>7.2000000000000005E-4</v>
      </c>
      <c r="BH614" s="88">
        <f t="shared" si="427"/>
        <v>7.2000000000000005E-4</v>
      </c>
      <c r="BI614" s="88">
        <f t="shared" si="428"/>
        <v>7.2000000000000005E-4</v>
      </c>
      <c r="BJ614" s="88">
        <f t="shared" si="429"/>
        <v>7.2000000000000005E-4</v>
      </c>
      <c r="BK614" s="88">
        <f t="shared" si="430"/>
        <v>7.2000000000000005E-4</v>
      </c>
      <c r="BL614" s="88">
        <f t="shared" si="431"/>
        <v>7.2000000000000005E-4</v>
      </c>
      <c r="BM614" s="88">
        <f t="shared" si="432"/>
        <v>7.2000000000000005E-4</v>
      </c>
      <c r="BN614" s="88">
        <f t="shared" si="433"/>
        <v>7.2000000000000005E-4</v>
      </c>
      <c r="BO614" s="88">
        <f t="shared" si="434"/>
        <v>7.2000000000000005E-4</v>
      </c>
      <c r="BP614" s="88">
        <f t="shared" si="435"/>
        <v>7.2000000000000005E-4</v>
      </c>
      <c r="BQ614" s="88">
        <f t="shared" si="436"/>
        <v>7.2000000000000005E-4</v>
      </c>
      <c r="BR614" s="88">
        <f t="shared" si="437"/>
        <v>7.2000000000000005E-4</v>
      </c>
      <c r="BS614" s="77"/>
      <c r="BT614" s="77"/>
    </row>
    <row r="615" spans="1:72" ht="14.1" customHeight="1" x14ac:dyDescent="0.2">
      <c r="A615" s="55" t="str">
        <f t="shared" si="408"/>
        <v>DS-3 (General Delivery Service)_Capacity Charge Summer (kw-dy)</v>
      </c>
      <c r="B615" s="80" t="s">
        <v>666</v>
      </c>
      <c r="C615" s="83" t="s">
        <v>914</v>
      </c>
      <c r="D615" s="151"/>
      <c r="E615" s="81"/>
      <c r="F615" s="73" t="s">
        <v>640</v>
      </c>
      <c r="G615" s="73">
        <v>0</v>
      </c>
      <c r="H615" s="73">
        <v>6</v>
      </c>
      <c r="I615" s="74" t="s">
        <v>641</v>
      </c>
      <c r="J615" s="75" t="s">
        <v>634</v>
      </c>
      <c r="K615" s="74"/>
      <c r="L615" s="82">
        <v>0.01</v>
      </c>
      <c r="M615" s="138">
        <v>0.01</v>
      </c>
      <c r="N615" s="138">
        <v>0.01</v>
      </c>
      <c r="O615" s="138">
        <v>0.01</v>
      </c>
      <c r="P615" s="138">
        <v>0.01</v>
      </c>
      <c r="Q615" s="138">
        <v>0.01</v>
      </c>
      <c r="R615" s="138">
        <v>0.03</v>
      </c>
      <c r="S615" s="138">
        <v>0.03</v>
      </c>
      <c r="T615" s="138">
        <v>0.03</v>
      </c>
      <c r="U615" s="138">
        <v>0.03</v>
      </c>
      <c r="V615" s="138">
        <v>0.03</v>
      </c>
      <c r="W615" s="138">
        <v>0.03</v>
      </c>
      <c r="X615" s="138">
        <v>0.03</v>
      </c>
      <c r="Y615" s="138">
        <f t="shared" si="438"/>
        <v>0.03</v>
      </c>
      <c r="Z615" s="138">
        <f t="shared" si="439"/>
        <v>0.03</v>
      </c>
      <c r="AA615" s="138">
        <f t="shared" si="440"/>
        <v>0.03</v>
      </c>
      <c r="AB615" s="138">
        <f t="shared" si="441"/>
        <v>0.03</v>
      </c>
      <c r="AC615" s="138">
        <f t="shared" si="442"/>
        <v>0.03</v>
      </c>
      <c r="AD615" s="138">
        <f t="shared" si="443"/>
        <v>0.03</v>
      </c>
      <c r="AE615" s="138">
        <f t="shared" si="444"/>
        <v>0.03</v>
      </c>
      <c r="AF615" s="138">
        <f t="shared" si="445"/>
        <v>0.03</v>
      </c>
      <c r="AG615" s="138">
        <f t="shared" si="446"/>
        <v>0.03</v>
      </c>
      <c r="AH615" s="138">
        <f t="shared" si="447"/>
        <v>0.03</v>
      </c>
      <c r="AI615" s="138">
        <f t="shared" si="448"/>
        <v>0.03</v>
      </c>
      <c r="AJ615" s="138">
        <f t="shared" si="449"/>
        <v>0.03</v>
      </c>
      <c r="AK615" s="138">
        <f>AJ615</f>
        <v>0.03</v>
      </c>
      <c r="AL615" s="138">
        <f t="shared" ref="AL615:AL662" si="453">AVERAGE(Z615:AK615)</f>
        <v>3.0000000000000009E-2</v>
      </c>
      <c r="AM615" s="138">
        <f t="shared" ref="AM615:AM662" si="454">AVERAGE(N615:AK615)</f>
        <v>2.6666666666666682E-2</v>
      </c>
      <c r="AO615" s="77" t="str">
        <f t="shared" si="409"/>
        <v>DS-3 (General Delivery Service)</v>
      </c>
      <c r="AP615" s="78" t="s">
        <v>667</v>
      </c>
      <c r="AQ615" s="77" t="str">
        <f t="shared" si="410"/>
        <v>Capacity Charge Summer (kw-dy)</v>
      </c>
      <c r="AR615" s="78" t="str">
        <f t="shared" si="411"/>
        <v>Prorated</v>
      </c>
      <c r="AS615" s="79">
        <f t="shared" si="412"/>
        <v>6</v>
      </c>
      <c r="AT615" s="78">
        <f t="shared" si="413"/>
        <v>0</v>
      </c>
      <c r="AU615" s="78">
        <f t="shared" si="414"/>
        <v>0.01</v>
      </c>
      <c r="AV615" s="78">
        <f t="shared" si="415"/>
        <v>0.01</v>
      </c>
      <c r="AW615" s="78">
        <f t="shared" si="416"/>
        <v>0.01</v>
      </c>
      <c r="AX615" s="78">
        <f t="shared" si="417"/>
        <v>0.01</v>
      </c>
      <c r="AY615" s="78">
        <f t="shared" si="418"/>
        <v>0.01</v>
      </c>
      <c r="AZ615" s="78">
        <f t="shared" si="419"/>
        <v>0.03</v>
      </c>
      <c r="BA615" s="78">
        <f t="shared" si="420"/>
        <v>0.03</v>
      </c>
      <c r="BB615" s="78">
        <f t="shared" si="421"/>
        <v>0.03</v>
      </c>
      <c r="BC615" s="78">
        <f t="shared" si="422"/>
        <v>0.03</v>
      </c>
      <c r="BD615" s="78">
        <f t="shared" si="423"/>
        <v>0.03</v>
      </c>
      <c r="BE615" s="78">
        <f t="shared" si="424"/>
        <v>0.03</v>
      </c>
      <c r="BF615" s="88">
        <f t="shared" si="425"/>
        <v>0.03</v>
      </c>
      <c r="BG615" s="88">
        <f t="shared" si="426"/>
        <v>0.03</v>
      </c>
      <c r="BH615" s="88">
        <f t="shared" si="427"/>
        <v>0.03</v>
      </c>
      <c r="BI615" s="88">
        <f t="shared" si="428"/>
        <v>0.03</v>
      </c>
      <c r="BJ615" s="88">
        <f t="shared" si="429"/>
        <v>0.03</v>
      </c>
      <c r="BK615" s="88">
        <f t="shared" si="430"/>
        <v>0.03</v>
      </c>
      <c r="BL615" s="88">
        <f t="shared" si="431"/>
        <v>0.03</v>
      </c>
      <c r="BM615" s="88">
        <f t="shared" si="432"/>
        <v>0.03</v>
      </c>
      <c r="BN615" s="88">
        <f t="shared" si="433"/>
        <v>0.03</v>
      </c>
      <c r="BO615" s="88">
        <f t="shared" si="434"/>
        <v>0.03</v>
      </c>
      <c r="BP615" s="88">
        <f t="shared" si="435"/>
        <v>0.03</v>
      </c>
      <c r="BQ615" s="88">
        <f t="shared" si="436"/>
        <v>0.03</v>
      </c>
      <c r="BR615" s="88">
        <f t="shared" si="437"/>
        <v>0.03</v>
      </c>
      <c r="BS615" s="77"/>
      <c r="BT615" s="77"/>
    </row>
    <row r="616" spans="1:72" ht="14.1" customHeight="1" x14ac:dyDescent="0.2">
      <c r="A616" s="55" t="str">
        <f t="shared" si="408"/>
        <v>DS-4 (Large General Service)_Capacity Charge Summer (kw-dy)</v>
      </c>
      <c r="B616" s="80" t="s">
        <v>639</v>
      </c>
      <c r="C616" s="83" t="s">
        <v>914</v>
      </c>
      <c r="D616" s="151"/>
      <c r="E616" s="81"/>
      <c r="F616" s="73" t="s">
        <v>640</v>
      </c>
      <c r="G616" s="73">
        <v>0</v>
      </c>
      <c r="H616" s="73">
        <v>6</v>
      </c>
      <c r="I616" s="74" t="s">
        <v>641</v>
      </c>
      <c r="J616" s="75" t="s">
        <v>634</v>
      </c>
      <c r="K616" s="74"/>
      <c r="L616" s="82">
        <v>0.01</v>
      </c>
      <c r="M616" s="138">
        <v>0.01</v>
      </c>
      <c r="N616" s="138">
        <v>0.01</v>
      </c>
      <c r="O616" s="138">
        <v>0.01</v>
      </c>
      <c r="P616" s="138">
        <v>0.01</v>
      </c>
      <c r="Q616" s="138">
        <v>0.01</v>
      </c>
      <c r="R616" s="138">
        <v>0.03</v>
      </c>
      <c r="S616" s="138">
        <v>0.03</v>
      </c>
      <c r="T616" s="138">
        <v>0.03</v>
      </c>
      <c r="U616" s="138">
        <v>0.03</v>
      </c>
      <c r="V616" s="138">
        <v>0.03</v>
      </c>
      <c r="W616" s="138">
        <v>0.03</v>
      </c>
      <c r="X616" s="138">
        <v>0.03</v>
      </c>
      <c r="Y616" s="138">
        <f t="shared" si="438"/>
        <v>0.03</v>
      </c>
      <c r="Z616" s="138">
        <f t="shared" si="439"/>
        <v>0.03</v>
      </c>
      <c r="AA616" s="138">
        <f t="shared" si="440"/>
        <v>0.03</v>
      </c>
      <c r="AB616" s="138">
        <f t="shared" si="441"/>
        <v>0.03</v>
      </c>
      <c r="AC616" s="138">
        <f t="shared" si="442"/>
        <v>0.03</v>
      </c>
      <c r="AD616" s="138">
        <f t="shared" si="443"/>
        <v>0.03</v>
      </c>
      <c r="AE616" s="138">
        <f t="shared" si="444"/>
        <v>0.03</v>
      </c>
      <c r="AF616" s="138">
        <f t="shared" si="445"/>
        <v>0.03</v>
      </c>
      <c r="AG616" s="138">
        <f t="shared" si="446"/>
        <v>0.03</v>
      </c>
      <c r="AH616" s="138">
        <f t="shared" si="447"/>
        <v>0.03</v>
      </c>
      <c r="AI616" s="138">
        <f t="shared" si="448"/>
        <v>0.03</v>
      </c>
      <c r="AJ616" s="138">
        <f t="shared" si="449"/>
        <v>0.03</v>
      </c>
      <c r="AK616" s="138">
        <f t="shared" si="449"/>
        <v>0.03</v>
      </c>
      <c r="AL616" s="138">
        <f t="shared" si="453"/>
        <v>3.0000000000000009E-2</v>
      </c>
      <c r="AM616" s="138">
        <f t="shared" si="454"/>
        <v>2.6666666666666682E-2</v>
      </c>
      <c r="AO616" s="77" t="str">
        <f t="shared" si="409"/>
        <v>DS-4 (Large General Service)</v>
      </c>
      <c r="AP616" s="78" t="s">
        <v>642</v>
      </c>
      <c r="AQ616" s="77" t="str">
        <f t="shared" si="410"/>
        <v>Capacity Charge Summer (kw-dy)</v>
      </c>
      <c r="AR616" s="78" t="str">
        <f t="shared" si="411"/>
        <v>Prorated</v>
      </c>
      <c r="AS616" s="79">
        <f t="shared" si="412"/>
        <v>6</v>
      </c>
      <c r="AT616" s="78">
        <f t="shared" si="413"/>
        <v>0</v>
      </c>
      <c r="AU616" s="78">
        <f t="shared" si="414"/>
        <v>0.01</v>
      </c>
      <c r="AV616" s="78">
        <f t="shared" si="415"/>
        <v>0.01</v>
      </c>
      <c r="AW616" s="78">
        <f t="shared" si="416"/>
        <v>0.01</v>
      </c>
      <c r="AX616" s="78">
        <f t="shared" si="417"/>
        <v>0.01</v>
      </c>
      <c r="AY616" s="78">
        <f t="shared" si="418"/>
        <v>0.01</v>
      </c>
      <c r="AZ616" s="78">
        <f t="shared" si="419"/>
        <v>0.03</v>
      </c>
      <c r="BA616" s="78">
        <f t="shared" si="420"/>
        <v>0.03</v>
      </c>
      <c r="BB616" s="78">
        <f t="shared" si="421"/>
        <v>0.03</v>
      </c>
      <c r="BC616" s="78">
        <f t="shared" si="422"/>
        <v>0.03</v>
      </c>
      <c r="BD616" s="78">
        <f t="shared" si="423"/>
        <v>0.03</v>
      </c>
      <c r="BE616" s="78">
        <f t="shared" si="424"/>
        <v>0.03</v>
      </c>
      <c r="BF616" s="88">
        <f t="shared" si="425"/>
        <v>0.03</v>
      </c>
      <c r="BG616" s="88">
        <f t="shared" si="426"/>
        <v>0.03</v>
      </c>
      <c r="BH616" s="88">
        <f t="shared" si="427"/>
        <v>0.03</v>
      </c>
      <c r="BI616" s="88">
        <f t="shared" si="428"/>
        <v>0.03</v>
      </c>
      <c r="BJ616" s="88">
        <f t="shared" si="429"/>
        <v>0.03</v>
      </c>
      <c r="BK616" s="88">
        <f t="shared" si="430"/>
        <v>0.03</v>
      </c>
      <c r="BL616" s="88">
        <f t="shared" si="431"/>
        <v>0.03</v>
      </c>
      <c r="BM616" s="88">
        <f t="shared" si="432"/>
        <v>0.03</v>
      </c>
      <c r="BN616" s="88">
        <f t="shared" si="433"/>
        <v>0.03</v>
      </c>
      <c r="BO616" s="88">
        <f t="shared" si="434"/>
        <v>0.03</v>
      </c>
      <c r="BP616" s="88">
        <f t="shared" si="435"/>
        <v>0.03</v>
      </c>
      <c r="BQ616" s="88">
        <f t="shared" si="436"/>
        <v>0.03</v>
      </c>
      <c r="BR616" s="88">
        <f t="shared" si="437"/>
        <v>0.03</v>
      </c>
      <c r="BS616" s="77"/>
      <c r="BT616" s="77"/>
    </row>
    <row r="617" spans="1:72" ht="14.1" customHeight="1" x14ac:dyDescent="0.2">
      <c r="A617" s="55" t="str">
        <f t="shared" si="408"/>
        <v>DS-6 (DS-3) Temp. Sensitive DS_Capacity Charge Summer (kw-dy)</v>
      </c>
      <c r="B617" s="80" t="s">
        <v>643</v>
      </c>
      <c r="C617" s="83" t="s">
        <v>914</v>
      </c>
      <c r="D617" s="151"/>
      <c r="E617" s="81"/>
      <c r="F617" s="73" t="s">
        <v>640</v>
      </c>
      <c r="G617" s="73">
        <v>0</v>
      </c>
      <c r="H617" s="73">
        <v>6</v>
      </c>
      <c r="I617" s="74" t="s">
        <v>641</v>
      </c>
      <c r="J617" s="75" t="s">
        <v>634</v>
      </c>
      <c r="K617" s="74"/>
      <c r="L617" s="82">
        <v>0</v>
      </c>
      <c r="M617" s="138">
        <v>0</v>
      </c>
      <c r="N617" s="138">
        <v>0</v>
      </c>
      <c r="O617" s="138">
        <v>0</v>
      </c>
      <c r="P617" s="138">
        <v>0</v>
      </c>
      <c r="Q617" s="138">
        <v>0</v>
      </c>
      <c r="R617" s="138">
        <v>0</v>
      </c>
      <c r="S617" s="138">
        <v>0</v>
      </c>
      <c r="T617" s="138">
        <v>0</v>
      </c>
      <c r="U617" s="138">
        <v>0</v>
      </c>
      <c r="V617" s="138">
        <v>0</v>
      </c>
      <c r="W617" s="138">
        <v>0</v>
      </c>
      <c r="X617" s="138">
        <v>0</v>
      </c>
      <c r="Y617" s="138">
        <f t="shared" si="438"/>
        <v>0</v>
      </c>
      <c r="Z617" s="138">
        <f t="shared" si="439"/>
        <v>0</v>
      </c>
      <c r="AA617" s="138">
        <f t="shared" si="440"/>
        <v>0</v>
      </c>
      <c r="AB617" s="138">
        <f t="shared" si="441"/>
        <v>0</v>
      </c>
      <c r="AC617" s="138">
        <f t="shared" si="442"/>
        <v>0</v>
      </c>
      <c r="AD617" s="138">
        <f t="shared" si="443"/>
        <v>0</v>
      </c>
      <c r="AE617" s="138">
        <f t="shared" si="444"/>
        <v>0</v>
      </c>
      <c r="AF617" s="138">
        <f t="shared" si="445"/>
        <v>0</v>
      </c>
      <c r="AG617" s="138">
        <f t="shared" si="446"/>
        <v>0</v>
      </c>
      <c r="AH617" s="138">
        <f t="shared" si="447"/>
        <v>0</v>
      </c>
      <c r="AI617" s="138">
        <f t="shared" si="448"/>
        <v>0</v>
      </c>
      <c r="AJ617" s="138">
        <f t="shared" ref="AJ617:AK662" si="455">AI617</f>
        <v>0</v>
      </c>
      <c r="AK617" s="138">
        <f t="shared" si="455"/>
        <v>0</v>
      </c>
      <c r="AL617" s="138">
        <f t="shared" si="453"/>
        <v>0</v>
      </c>
      <c r="AM617" s="138">
        <f t="shared" si="454"/>
        <v>0</v>
      </c>
      <c r="AO617" s="77" t="str">
        <f t="shared" si="409"/>
        <v>DS-6 (DS-3) Temp. Sensitive DS</v>
      </c>
      <c r="AP617" s="78" t="s">
        <v>644</v>
      </c>
      <c r="AQ617" s="77" t="str">
        <f t="shared" si="410"/>
        <v>Capacity Charge Summer (kw-dy)</v>
      </c>
      <c r="AR617" s="78" t="str">
        <f t="shared" si="411"/>
        <v>Prorated</v>
      </c>
      <c r="AS617" s="79">
        <f t="shared" si="412"/>
        <v>6</v>
      </c>
      <c r="AT617" s="78">
        <f t="shared" si="413"/>
        <v>0</v>
      </c>
      <c r="AU617" s="78">
        <f t="shared" si="414"/>
        <v>0</v>
      </c>
      <c r="AV617" s="78">
        <f t="shared" si="415"/>
        <v>0</v>
      </c>
      <c r="AW617" s="78">
        <f t="shared" si="416"/>
        <v>0</v>
      </c>
      <c r="AX617" s="78">
        <f t="shared" si="417"/>
        <v>0</v>
      </c>
      <c r="AY617" s="78">
        <f t="shared" si="418"/>
        <v>0</v>
      </c>
      <c r="AZ617" s="78">
        <f t="shared" si="419"/>
        <v>0</v>
      </c>
      <c r="BA617" s="78">
        <f t="shared" si="420"/>
        <v>0</v>
      </c>
      <c r="BB617" s="78">
        <f t="shared" si="421"/>
        <v>0</v>
      </c>
      <c r="BC617" s="78">
        <f t="shared" si="422"/>
        <v>0</v>
      </c>
      <c r="BD617" s="78">
        <f t="shared" si="423"/>
        <v>0</v>
      </c>
      <c r="BE617" s="78">
        <f t="shared" si="424"/>
        <v>0</v>
      </c>
      <c r="BF617" s="88">
        <f t="shared" si="425"/>
        <v>0</v>
      </c>
      <c r="BG617" s="88">
        <f t="shared" si="426"/>
        <v>0</v>
      </c>
      <c r="BH617" s="88">
        <f t="shared" si="427"/>
        <v>0</v>
      </c>
      <c r="BI617" s="88">
        <f t="shared" si="428"/>
        <v>0</v>
      </c>
      <c r="BJ617" s="88">
        <f t="shared" si="429"/>
        <v>0</v>
      </c>
      <c r="BK617" s="88">
        <f t="shared" si="430"/>
        <v>0</v>
      </c>
      <c r="BL617" s="88">
        <f t="shared" si="431"/>
        <v>0</v>
      </c>
      <c r="BM617" s="88">
        <f t="shared" si="432"/>
        <v>0</v>
      </c>
      <c r="BN617" s="88">
        <f t="shared" si="433"/>
        <v>0</v>
      </c>
      <c r="BO617" s="88">
        <f t="shared" si="434"/>
        <v>0</v>
      </c>
      <c r="BP617" s="88">
        <f t="shared" si="435"/>
        <v>0</v>
      </c>
      <c r="BQ617" s="88">
        <f t="shared" si="436"/>
        <v>0</v>
      </c>
      <c r="BR617" s="88">
        <f t="shared" si="437"/>
        <v>0</v>
      </c>
      <c r="BS617" s="77"/>
      <c r="BT617" s="77"/>
    </row>
    <row r="618" spans="1:72" ht="14.1" customHeight="1" x14ac:dyDescent="0.2">
      <c r="A618" s="55" t="str">
        <f t="shared" si="408"/>
        <v>DS-6 (DS-4) Temp. Sensitive DS_Capacity Charge Summer (kw-dy)</v>
      </c>
      <c r="B618" s="80" t="s">
        <v>645</v>
      </c>
      <c r="C618" s="83" t="s">
        <v>914</v>
      </c>
      <c r="D618" s="151"/>
      <c r="E618" s="81"/>
      <c r="F618" s="73" t="s">
        <v>640</v>
      </c>
      <c r="G618" s="73">
        <v>0</v>
      </c>
      <c r="H618" s="73">
        <v>6</v>
      </c>
      <c r="I618" s="74" t="s">
        <v>641</v>
      </c>
      <c r="J618" s="75" t="s">
        <v>634</v>
      </c>
      <c r="K618" s="74"/>
      <c r="L618" s="82">
        <v>0</v>
      </c>
      <c r="M618" s="138">
        <v>0</v>
      </c>
      <c r="N618" s="138">
        <v>0</v>
      </c>
      <c r="O618" s="138">
        <v>0</v>
      </c>
      <c r="P618" s="138">
        <v>0</v>
      </c>
      <c r="Q618" s="138">
        <v>0</v>
      </c>
      <c r="R618" s="138">
        <v>0</v>
      </c>
      <c r="S618" s="138">
        <v>0</v>
      </c>
      <c r="T618" s="138">
        <v>0</v>
      </c>
      <c r="U618" s="138">
        <v>0</v>
      </c>
      <c r="V618" s="138">
        <v>0</v>
      </c>
      <c r="W618" s="138">
        <v>0</v>
      </c>
      <c r="X618" s="138">
        <v>0</v>
      </c>
      <c r="Y618" s="138">
        <f t="shared" si="438"/>
        <v>0</v>
      </c>
      <c r="Z618" s="138">
        <f t="shared" si="439"/>
        <v>0</v>
      </c>
      <c r="AA618" s="138">
        <f t="shared" si="440"/>
        <v>0</v>
      </c>
      <c r="AB618" s="138">
        <f t="shared" si="441"/>
        <v>0</v>
      </c>
      <c r="AC618" s="138">
        <f t="shared" si="442"/>
        <v>0</v>
      </c>
      <c r="AD618" s="138">
        <f t="shared" si="443"/>
        <v>0</v>
      </c>
      <c r="AE618" s="138">
        <f t="shared" si="444"/>
        <v>0</v>
      </c>
      <c r="AF618" s="138">
        <f t="shared" si="445"/>
        <v>0</v>
      </c>
      <c r="AG618" s="138">
        <f t="shared" si="446"/>
        <v>0</v>
      </c>
      <c r="AH618" s="138">
        <f t="shared" si="447"/>
        <v>0</v>
      </c>
      <c r="AI618" s="138">
        <f t="shared" si="448"/>
        <v>0</v>
      </c>
      <c r="AJ618" s="138">
        <f t="shared" si="455"/>
        <v>0</v>
      </c>
      <c r="AK618" s="138">
        <f t="shared" si="455"/>
        <v>0</v>
      </c>
      <c r="AL618" s="138">
        <f t="shared" si="453"/>
        <v>0</v>
      </c>
      <c r="AM618" s="138">
        <f t="shared" si="454"/>
        <v>0</v>
      </c>
      <c r="AO618" s="77" t="str">
        <f t="shared" si="409"/>
        <v>DS-6 (DS-4) Temp. Sensitive DS</v>
      </c>
      <c r="AP618" s="78" t="s">
        <v>646</v>
      </c>
      <c r="AQ618" s="77" t="str">
        <f t="shared" si="410"/>
        <v>Capacity Charge Summer (kw-dy)</v>
      </c>
      <c r="AR618" s="78" t="str">
        <f t="shared" si="411"/>
        <v>Prorated</v>
      </c>
      <c r="AS618" s="79">
        <f t="shared" si="412"/>
        <v>6</v>
      </c>
      <c r="AT618" s="78">
        <f t="shared" si="413"/>
        <v>0</v>
      </c>
      <c r="AU618" s="78">
        <f t="shared" si="414"/>
        <v>0</v>
      </c>
      <c r="AV618" s="78">
        <f t="shared" si="415"/>
        <v>0</v>
      </c>
      <c r="AW618" s="78">
        <f t="shared" si="416"/>
        <v>0</v>
      </c>
      <c r="AX618" s="78">
        <f t="shared" si="417"/>
        <v>0</v>
      </c>
      <c r="AY618" s="78">
        <f t="shared" si="418"/>
        <v>0</v>
      </c>
      <c r="AZ618" s="78">
        <f t="shared" si="419"/>
        <v>0</v>
      </c>
      <c r="BA618" s="78">
        <f t="shared" si="420"/>
        <v>0</v>
      </c>
      <c r="BB618" s="78">
        <f t="shared" si="421"/>
        <v>0</v>
      </c>
      <c r="BC618" s="78">
        <f t="shared" si="422"/>
        <v>0</v>
      </c>
      <c r="BD618" s="78">
        <f t="shared" si="423"/>
        <v>0</v>
      </c>
      <c r="BE618" s="78">
        <f t="shared" si="424"/>
        <v>0</v>
      </c>
      <c r="BF618" s="88">
        <f t="shared" si="425"/>
        <v>0</v>
      </c>
      <c r="BG618" s="88">
        <f t="shared" si="426"/>
        <v>0</v>
      </c>
      <c r="BH618" s="88">
        <f t="shared" si="427"/>
        <v>0</v>
      </c>
      <c r="BI618" s="88">
        <f t="shared" si="428"/>
        <v>0</v>
      </c>
      <c r="BJ618" s="88">
        <f t="shared" si="429"/>
        <v>0</v>
      </c>
      <c r="BK618" s="88">
        <f t="shared" si="430"/>
        <v>0</v>
      </c>
      <c r="BL618" s="88">
        <f t="shared" si="431"/>
        <v>0</v>
      </c>
      <c r="BM618" s="88">
        <f t="shared" si="432"/>
        <v>0</v>
      </c>
      <c r="BN618" s="88">
        <f t="shared" si="433"/>
        <v>0</v>
      </c>
      <c r="BO618" s="88">
        <f t="shared" si="434"/>
        <v>0</v>
      </c>
      <c r="BP618" s="88">
        <f t="shared" si="435"/>
        <v>0</v>
      </c>
      <c r="BQ618" s="88">
        <f t="shared" si="436"/>
        <v>0</v>
      </c>
      <c r="BR618" s="88">
        <f t="shared" si="437"/>
        <v>0</v>
      </c>
      <c r="BS618" s="77"/>
      <c r="BT618" s="77"/>
    </row>
    <row r="619" spans="1:72" ht="14.1" customHeight="1" x14ac:dyDescent="0.2">
      <c r="A619" s="55" t="str">
        <f t="shared" si="408"/>
        <v>DS-3 (General Delivery Service)_Capacity Charge Fall (kw-dy)</v>
      </c>
      <c r="B619" s="80" t="s">
        <v>666</v>
      </c>
      <c r="C619" s="83" t="s">
        <v>915</v>
      </c>
      <c r="D619" s="151"/>
      <c r="E619" s="81"/>
      <c r="F619" s="73" t="s">
        <v>640</v>
      </c>
      <c r="G619" s="73">
        <v>0</v>
      </c>
      <c r="H619" s="73">
        <v>6</v>
      </c>
      <c r="I619" s="74" t="s">
        <v>641</v>
      </c>
      <c r="J619" s="75" t="s">
        <v>634</v>
      </c>
      <c r="K619" s="74"/>
      <c r="L619" s="82">
        <v>1.4999999999999999E-2</v>
      </c>
      <c r="M619" s="138">
        <v>1.4999999999999999E-2</v>
      </c>
      <c r="N619" s="138">
        <v>1.4999999999999999E-2</v>
      </c>
      <c r="O619" s="138">
        <v>1.4999999999999999E-2</v>
      </c>
      <c r="P619" s="138">
        <v>1.4999999999999999E-2</v>
      </c>
      <c r="Q619" s="138">
        <v>1.4999999999999999E-2</v>
      </c>
      <c r="R619" s="138">
        <v>1.4999999999999999E-2</v>
      </c>
      <c r="S619" s="138">
        <v>1.4999999999999999E-2</v>
      </c>
      <c r="T619" s="138">
        <v>1.4999999999999999E-2</v>
      </c>
      <c r="U619" s="138">
        <v>1.4999999999999999E-2</v>
      </c>
      <c r="V619" s="138">
        <v>1.4999999999999999E-2</v>
      </c>
      <c r="W619" s="138">
        <v>1.4999999999999999E-2</v>
      </c>
      <c r="X619" s="138">
        <v>1.4999999999999999E-2</v>
      </c>
      <c r="Y619" s="138">
        <f t="shared" si="438"/>
        <v>1.4999999999999999E-2</v>
      </c>
      <c r="Z619" s="138">
        <f t="shared" si="439"/>
        <v>1.4999999999999999E-2</v>
      </c>
      <c r="AA619" s="138">
        <f t="shared" si="440"/>
        <v>1.4999999999999999E-2</v>
      </c>
      <c r="AB619" s="138">
        <f t="shared" si="441"/>
        <v>1.4999999999999999E-2</v>
      </c>
      <c r="AC619" s="138">
        <f t="shared" si="442"/>
        <v>1.4999999999999999E-2</v>
      </c>
      <c r="AD619" s="138">
        <f t="shared" si="443"/>
        <v>1.4999999999999999E-2</v>
      </c>
      <c r="AE619" s="138">
        <f t="shared" si="444"/>
        <v>1.4999999999999999E-2</v>
      </c>
      <c r="AF619" s="138">
        <f t="shared" si="445"/>
        <v>1.4999999999999999E-2</v>
      </c>
      <c r="AG619" s="138">
        <f t="shared" si="446"/>
        <v>1.4999999999999999E-2</v>
      </c>
      <c r="AH619" s="138">
        <f t="shared" si="447"/>
        <v>1.4999999999999999E-2</v>
      </c>
      <c r="AI619" s="138">
        <f t="shared" si="448"/>
        <v>1.4999999999999999E-2</v>
      </c>
      <c r="AJ619" s="138">
        <f t="shared" si="455"/>
        <v>1.4999999999999999E-2</v>
      </c>
      <c r="AK619" s="138">
        <f t="shared" si="455"/>
        <v>1.4999999999999999E-2</v>
      </c>
      <c r="AL619" s="138">
        <f t="shared" si="453"/>
        <v>1.5000000000000005E-2</v>
      </c>
      <c r="AM619" s="138">
        <f t="shared" si="454"/>
        <v>1.5000000000000008E-2</v>
      </c>
      <c r="AO619" s="77" t="str">
        <f t="shared" si="409"/>
        <v>DS-3 (General Delivery Service)</v>
      </c>
      <c r="AP619" s="78" t="s">
        <v>667</v>
      </c>
      <c r="AQ619" s="77" t="str">
        <f t="shared" si="410"/>
        <v>Capacity Charge Fall (kw-dy)</v>
      </c>
      <c r="AR619" s="78" t="str">
        <f t="shared" si="411"/>
        <v>Prorated</v>
      </c>
      <c r="AS619" s="79">
        <f t="shared" si="412"/>
        <v>6</v>
      </c>
      <c r="AT619" s="78">
        <f t="shared" si="413"/>
        <v>0</v>
      </c>
      <c r="AU619" s="78">
        <f t="shared" si="414"/>
        <v>1.4999999999999999E-2</v>
      </c>
      <c r="AV619" s="78">
        <f t="shared" si="415"/>
        <v>1.4999999999999999E-2</v>
      </c>
      <c r="AW619" s="78">
        <f t="shared" si="416"/>
        <v>1.4999999999999999E-2</v>
      </c>
      <c r="AX619" s="78">
        <f t="shared" si="417"/>
        <v>1.4999999999999999E-2</v>
      </c>
      <c r="AY619" s="78">
        <f t="shared" si="418"/>
        <v>1.4999999999999999E-2</v>
      </c>
      <c r="AZ619" s="78">
        <f t="shared" si="419"/>
        <v>1.4999999999999999E-2</v>
      </c>
      <c r="BA619" s="78">
        <f t="shared" si="420"/>
        <v>1.4999999999999999E-2</v>
      </c>
      <c r="BB619" s="78">
        <f t="shared" si="421"/>
        <v>1.4999999999999999E-2</v>
      </c>
      <c r="BC619" s="78">
        <f t="shared" si="422"/>
        <v>1.4999999999999999E-2</v>
      </c>
      <c r="BD619" s="78">
        <f t="shared" si="423"/>
        <v>1.4999999999999999E-2</v>
      </c>
      <c r="BE619" s="78">
        <f t="shared" si="424"/>
        <v>1.4999999999999999E-2</v>
      </c>
      <c r="BF619" s="88">
        <f t="shared" si="425"/>
        <v>1.4999999999999999E-2</v>
      </c>
      <c r="BG619" s="88">
        <f t="shared" si="426"/>
        <v>1.4999999999999999E-2</v>
      </c>
      <c r="BH619" s="88">
        <f t="shared" si="427"/>
        <v>1.4999999999999999E-2</v>
      </c>
      <c r="BI619" s="88">
        <f t="shared" si="428"/>
        <v>1.4999999999999999E-2</v>
      </c>
      <c r="BJ619" s="88">
        <f t="shared" si="429"/>
        <v>1.4999999999999999E-2</v>
      </c>
      <c r="BK619" s="88">
        <f t="shared" si="430"/>
        <v>1.4999999999999999E-2</v>
      </c>
      <c r="BL619" s="88">
        <f t="shared" si="431"/>
        <v>1.4999999999999999E-2</v>
      </c>
      <c r="BM619" s="88">
        <f t="shared" si="432"/>
        <v>1.4999999999999999E-2</v>
      </c>
      <c r="BN619" s="88">
        <f t="shared" si="433"/>
        <v>1.4999999999999999E-2</v>
      </c>
      <c r="BO619" s="88">
        <f t="shared" si="434"/>
        <v>1.4999999999999999E-2</v>
      </c>
      <c r="BP619" s="88">
        <f t="shared" si="435"/>
        <v>1.4999999999999999E-2</v>
      </c>
      <c r="BQ619" s="88">
        <f t="shared" si="436"/>
        <v>1.4999999999999999E-2</v>
      </c>
      <c r="BR619" s="88">
        <f t="shared" si="437"/>
        <v>1.4999999999999999E-2</v>
      </c>
      <c r="BS619" s="77"/>
      <c r="BT619" s="77"/>
    </row>
    <row r="620" spans="1:72" ht="14.1" customHeight="1" x14ac:dyDescent="0.2">
      <c r="A620" s="55" t="str">
        <f t="shared" si="408"/>
        <v>DS-4 (Large General Service)_Capacity Charge Fall (kw-dy)</v>
      </c>
      <c r="B620" s="80" t="s">
        <v>639</v>
      </c>
      <c r="C620" s="83" t="s">
        <v>915</v>
      </c>
      <c r="D620" s="151"/>
      <c r="E620" s="81"/>
      <c r="F620" s="73" t="s">
        <v>640</v>
      </c>
      <c r="G620" s="73">
        <v>0</v>
      </c>
      <c r="H620" s="73">
        <v>6</v>
      </c>
      <c r="I620" s="74" t="s">
        <v>641</v>
      </c>
      <c r="J620" s="75" t="s">
        <v>634</v>
      </c>
      <c r="K620" s="74"/>
      <c r="L620" s="82">
        <v>1.4999999999999999E-2</v>
      </c>
      <c r="M620" s="138">
        <v>1.4999999999999999E-2</v>
      </c>
      <c r="N620" s="138">
        <v>1.4999999999999999E-2</v>
      </c>
      <c r="O620" s="138">
        <v>1.4999999999999999E-2</v>
      </c>
      <c r="P620" s="138">
        <v>1.4999999999999999E-2</v>
      </c>
      <c r="Q620" s="138">
        <v>1.4999999999999999E-2</v>
      </c>
      <c r="R620" s="138">
        <v>1.4999999999999999E-2</v>
      </c>
      <c r="S620" s="138">
        <v>1.4999999999999999E-2</v>
      </c>
      <c r="T620" s="138">
        <v>1.4999999999999999E-2</v>
      </c>
      <c r="U620" s="138">
        <v>1.4999999999999999E-2</v>
      </c>
      <c r="V620" s="138">
        <v>1.4999999999999999E-2</v>
      </c>
      <c r="W620" s="138">
        <v>1.4999999999999999E-2</v>
      </c>
      <c r="X620" s="138">
        <v>1.4999999999999999E-2</v>
      </c>
      <c r="Y620" s="138">
        <f t="shared" si="438"/>
        <v>1.4999999999999999E-2</v>
      </c>
      <c r="Z620" s="138">
        <f t="shared" si="439"/>
        <v>1.4999999999999999E-2</v>
      </c>
      <c r="AA620" s="138">
        <f t="shared" si="440"/>
        <v>1.4999999999999999E-2</v>
      </c>
      <c r="AB620" s="138">
        <f t="shared" si="441"/>
        <v>1.4999999999999999E-2</v>
      </c>
      <c r="AC620" s="138">
        <f t="shared" si="442"/>
        <v>1.4999999999999999E-2</v>
      </c>
      <c r="AD620" s="138">
        <f t="shared" si="443"/>
        <v>1.4999999999999999E-2</v>
      </c>
      <c r="AE620" s="138">
        <f t="shared" si="444"/>
        <v>1.4999999999999999E-2</v>
      </c>
      <c r="AF620" s="138">
        <f t="shared" si="445"/>
        <v>1.4999999999999999E-2</v>
      </c>
      <c r="AG620" s="138">
        <f t="shared" si="446"/>
        <v>1.4999999999999999E-2</v>
      </c>
      <c r="AH620" s="138">
        <f t="shared" si="447"/>
        <v>1.4999999999999999E-2</v>
      </c>
      <c r="AI620" s="138">
        <f t="shared" si="448"/>
        <v>1.4999999999999999E-2</v>
      </c>
      <c r="AJ620" s="138">
        <f t="shared" si="455"/>
        <v>1.4999999999999999E-2</v>
      </c>
      <c r="AK620" s="138">
        <f t="shared" si="455"/>
        <v>1.4999999999999999E-2</v>
      </c>
      <c r="AL620" s="138">
        <f t="shared" si="453"/>
        <v>1.5000000000000005E-2</v>
      </c>
      <c r="AM620" s="138">
        <f t="shared" si="454"/>
        <v>1.5000000000000008E-2</v>
      </c>
      <c r="AO620" s="77" t="str">
        <f t="shared" si="409"/>
        <v>DS-4 (Large General Service)</v>
      </c>
      <c r="AP620" s="78" t="s">
        <v>642</v>
      </c>
      <c r="AQ620" s="77" t="str">
        <f t="shared" si="410"/>
        <v>Capacity Charge Fall (kw-dy)</v>
      </c>
      <c r="AR620" s="78" t="str">
        <f t="shared" si="411"/>
        <v>Prorated</v>
      </c>
      <c r="AS620" s="79">
        <f t="shared" si="412"/>
        <v>6</v>
      </c>
      <c r="AT620" s="78">
        <f t="shared" si="413"/>
        <v>0</v>
      </c>
      <c r="AU620" s="78">
        <f t="shared" si="414"/>
        <v>1.4999999999999999E-2</v>
      </c>
      <c r="AV620" s="78">
        <f t="shared" si="415"/>
        <v>1.4999999999999999E-2</v>
      </c>
      <c r="AW620" s="78">
        <f t="shared" si="416"/>
        <v>1.4999999999999999E-2</v>
      </c>
      <c r="AX620" s="78">
        <f t="shared" si="417"/>
        <v>1.4999999999999999E-2</v>
      </c>
      <c r="AY620" s="78">
        <f t="shared" si="418"/>
        <v>1.4999999999999999E-2</v>
      </c>
      <c r="AZ620" s="78">
        <f t="shared" si="419"/>
        <v>1.4999999999999999E-2</v>
      </c>
      <c r="BA620" s="78">
        <f t="shared" si="420"/>
        <v>1.4999999999999999E-2</v>
      </c>
      <c r="BB620" s="78">
        <f t="shared" si="421"/>
        <v>1.4999999999999999E-2</v>
      </c>
      <c r="BC620" s="78">
        <f t="shared" si="422"/>
        <v>1.4999999999999999E-2</v>
      </c>
      <c r="BD620" s="78">
        <f t="shared" si="423"/>
        <v>1.4999999999999999E-2</v>
      </c>
      <c r="BE620" s="78">
        <f t="shared" si="424"/>
        <v>1.4999999999999999E-2</v>
      </c>
      <c r="BF620" s="88">
        <f t="shared" si="425"/>
        <v>1.4999999999999999E-2</v>
      </c>
      <c r="BG620" s="88">
        <f t="shared" si="426"/>
        <v>1.4999999999999999E-2</v>
      </c>
      <c r="BH620" s="88">
        <f t="shared" si="427"/>
        <v>1.4999999999999999E-2</v>
      </c>
      <c r="BI620" s="88">
        <f t="shared" si="428"/>
        <v>1.4999999999999999E-2</v>
      </c>
      <c r="BJ620" s="88">
        <f t="shared" si="429"/>
        <v>1.4999999999999999E-2</v>
      </c>
      <c r="BK620" s="88">
        <f t="shared" si="430"/>
        <v>1.4999999999999999E-2</v>
      </c>
      <c r="BL620" s="88">
        <f t="shared" si="431"/>
        <v>1.4999999999999999E-2</v>
      </c>
      <c r="BM620" s="88">
        <f t="shared" si="432"/>
        <v>1.4999999999999999E-2</v>
      </c>
      <c r="BN620" s="88">
        <f t="shared" si="433"/>
        <v>1.4999999999999999E-2</v>
      </c>
      <c r="BO620" s="88">
        <f t="shared" si="434"/>
        <v>1.4999999999999999E-2</v>
      </c>
      <c r="BP620" s="88">
        <f t="shared" si="435"/>
        <v>1.4999999999999999E-2</v>
      </c>
      <c r="BQ620" s="88">
        <f t="shared" si="436"/>
        <v>1.4999999999999999E-2</v>
      </c>
      <c r="BR620" s="88">
        <f t="shared" si="437"/>
        <v>1.4999999999999999E-2</v>
      </c>
      <c r="BS620" s="77"/>
      <c r="BT620" s="77"/>
    </row>
    <row r="621" spans="1:72" ht="14.1" customHeight="1" x14ac:dyDescent="0.2">
      <c r="A621" s="55" t="str">
        <f t="shared" si="408"/>
        <v>DS-6 (DS-3) Temp. Sensitive DS_Capacity Charge Fall (kw-dy)</v>
      </c>
      <c r="B621" s="80" t="s">
        <v>643</v>
      </c>
      <c r="C621" s="83" t="s">
        <v>915</v>
      </c>
      <c r="D621" s="151"/>
      <c r="E621" s="81"/>
      <c r="F621" s="73" t="s">
        <v>640</v>
      </c>
      <c r="G621" s="73">
        <v>0</v>
      </c>
      <c r="H621" s="73">
        <v>6</v>
      </c>
      <c r="I621" s="74" t="s">
        <v>641</v>
      </c>
      <c r="J621" s="75" t="s">
        <v>634</v>
      </c>
      <c r="K621" s="74"/>
      <c r="L621" s="82">
        <v>0</v>
      </c>
      <c r="M621" s="138">
        <v>0</v>
      </c>
      <c r="N621" s="138">
        <v>0</v>
      </c>
      <c r="O621" s="138">
        <v>0</v>
      </c>
      <c r="P621" s="138">
        <v>0</v>
      </c>
      <c r="Q621" s="138">
        <v>0</v>
      </c>
      <c r="R621" s="138">
        <v>0</v>
      </c>
      <c r="S621" s="138">
        <v>0</v>
      </c>
      <c r="T621" s="138">
        <v>0</v>
      </c>
      <c r="U621" s="138">
        <v>0</v>
      </c>
      <c r="V621" s="138">
        <v>0</v>
      </c>
      <c r="W621" s="138">
        <v>0</v>
      </c>
      <c r="X621" s="138">
        <v>0</v>
      </c>
      <c r="Y621" s="138">
        <f t="shared" si="438"/>
        <v>0</v>
      </c>
      <c r="Z621" s="138">
        <f t="shared" si="439"/>
        <v>0</v>
      </c>
      <c r="AA621" s="138">
        <f t="shared" si="440"/>
        <v>0</v>
      </c>
      <c r="AB621" s="138">
        <f t="shared" si="441"/>
        <v>0</v>
      </c>
      <c r="AC621" s="138">
        <f t="shared" si="442"/>
        <v>0</v>
      </c>
      <c r="AD621" s="138">
        <f t="shared" si="443"/>
        <v>0</v>
      </c>
      <c r="AE621" s="138">
        <f t="shared" si="444"/>
        <v>0</v>
      </c>
      <c r="AF621" s="138">
        <f t="shared" si="445"/>
        <v>0</v>
      </c>
      <c r="AG621" s="138">
        <f t="shared" si="446"/>
        <v>0</v>
      </c>
      <c r="AH621" s="138">
        <f t="shared" si="447"/>
        <v>0</v>
      </c>
      <c r="AI621" s="138">
        <f t="shared" si="448"/>
        <v>0</v>
      </c>
      <c r="AJ621" s="138">
        <f t="shared" si="455"/>
        <v>0</v>
      </c>
      <c r="AK621" s="138">
        <f t="shared" si="455"/>
        <v>0</v>
      </c>
      <c r="AL621" s="138">
        <f t="shared" si="453"/>
        <v>0</v>
      </c>
      <c r="AM621" s="138">
        <f t="shared" si="454"/>
        <v>0</v>
      </c>
      <c r="AO621" s="77" t="str">
        <f t="shared" si="409"/>
        <v>DS-6 (DS-3) Temp. Sensitive DS</v>
      </c>
      <c r="AP621" s="78" t="s">
        <v>644</v>
      </c>
      <c r="AQ621" s="77" t="str">
        <f t="shared" si="410"/>
        <v>Capacity Charge Fall (kw-dy)</v>
      </c>
      <c r="AR621" s="78" t="str">
        <f t="shared" si="411"/>
        <v>Prorated</v>
      </c>
      <c r="AS621" s="79">
        <f t="shared" si="412"/>
        <v>6</v>
      </c>
      <c r="AT621" s="78">
        <f t="shared" si="413"/>
        <v>0</v>
      </c>
      <c r="AU621" s="78">
        <f t="shared" si="414"/>
        <v>0</v>
      </c>
      <c r="AV621" s="78">
        <f t="shared" si="415"/>
        <v>0</v>
      </c>
      <c r="AW621" s="78">
        <f t="shared" si="416"/>
        <v>0</v>
      </c>
      <c r="AX621" s="78">
        <f t="shared" si="417"/>
        <v>0</v>
      </c>
      <c r="AY621" s="78">
        <f t="shared" si="418"/>
        <v>0</v>
      </c>
      <c r="AZ621" s="78">
        <f t="shared" si="419"/>
        <v>0</v>
      </c>
      <c r="BA621" s="78">
        <f t="shared" si="420"/>
        <v>0</v>
      </c>
      <c r="BB621" s="78">
        <f t="shared" si="421"/>
        <v>0</v>
      </c>
      <c r="BC621" s="78">
        <f t="shared" si="422"/>
        <v>0</v>
      </c>
      <c r="BD621" s="78">
        <f t="shared" si="423"/>
        <v>0</v>
      </c>
      <c r="BE621" s="78">
        <f t="shared" si="424"/>
        <v>0</v>
      </c>
      <c r="BF621" s="88">
        <f t="shared" si="425"/>
        <v>0</v>
      </c>
      <c r="BG621" s="88">
        <f t="shared" si="426"/>
        <v>0</v>
      </c>
      <c r="BH621" s="88">
        <f t="shared" si="427"/>
        <v>0</v>
      </c>
      <c r="BI621" s="88">
        <f t="shared" si="428"/>
        <v>0</v>
      </c>
      <c r="BJ621" s="88">
        <f t="shared" si="429"/>
        <v>0</v>
      </c>
      <c r="BK621" s="88">
        <f t="shared" si="430"/>
        <v>0</v>
      </c>
      <c r="BL621" s="88">
        <f t="shared" si="431"/>
        <v>0</v>
      </c>
      <c r="BM621" s="88">
        <f t="shared" si="432"/>
        <v>0</v>
      </c>
      <c r="BN621" s="88">
        <f t="shared" si="433"/>
        <v>0</v>
      </c>
      <c r="BO621" s="88">
        <f t="shared" si="434"/>
        <v>0</v>
      </c>
      <c r="BP621" s="88">
        <f t="shared" si="435"/>
        <v>0</v>
      </c>
      <c r="BQ621" s="88">
        <f t="shared" si="436"/>
        <v>0</v>
      </c>
      <c r="BR621" s="88">
        <f t="shared" si="437"/>
        <v>0</v>
      </c>
      <c r="BS621" s="77"/>
      <c r="BT621" s="77"/>
    </row>
    <row r="622" spans="1:72" ht="14.1" customHeight="1" x14ac:dyDescent="0.2">
      <c r="A622" s="55" t="str">
        <f t="shared" si="408"/>
        <v>DS-6 (DS-4) Temp. Sensitive DS_Capacity Charge Fall (kw-dy)</v>
      </c>
      <c r="B622" s="80" t="s">
        <v>645</v>
      </c>
      <c r="C622" s="83" t="s">
        <v>915</v>
      </c>
      <c r="D622" s="151"/>
      <c r="E622" s="81"/>
      <c r="F622" s="73" t="s">
        <v>640</v>
      </c>
      <c r="G622" s="73">
        <v>0</v>
      </c>
      <c r="H622" s="73">
        <v>6</v>
      </c>
      <c r="I622" s="74" t="s">
        <v>641</v>
      </c>
      <c r="J622" s="75" t="s">
        <v>634</v>
      </c>
      <c r="K622" s="74"/>
      <c r="L622" s="82">
        <v>0</v>
      </c>
      <c r="M622" s="138">
        <v>0</v>
      </c>
      <c r="N622" s="138">
        <v>0</v>
      </c>
      <c r="O622" s="138">
        <v>0</v>
      </c>
      <c r="P622" s="138">
        <v>0</v>
      </c>
      <c r="Q622" s="138">
        <v>0</v>
      </c>
      <c r="R622" s="138">
        <v>0</v>
      </c>
      <c r="S622" s="138">
        <v>0</v>
      </c>
      <c r="T622" s="138">
        <v>0</v>
      </c>
      <c r="U622" s="138">
        <v>0</v>
      </c>
      <c r="V622" s="138">
        <v>0</v>
      </c>
      <c r="W622" s="138">
        <v>0</v>
      </c>
      <c r="X622" s="138">
        <v>0</v>
      </c>
      <c r="Y622" s="138">
        <f t="shared" si="438"/>
        <v>0</v>
      </c>
      <c r="Z622" s="138">
        <f t="shared" si="439"/>
        <v>0</v>
      </c>
      <c r="AA622" s="138">
        <f t="shared" si="440"/>
        <v>0</v>
      </c>
      <c r="AB622" s="138">
        <f t="shared" si="441"/>
        <v>0</v>
      </c>
      <c r="AC622" s="138">
        <f t="shared" si="442"/>
        <v>0</v>
      </c>
      <c r="AD622" s="138">
        <f t="shared" si="443"/>
        <v>0</v>
      </c>
      <c r="AE622" s="138">
        <f t="shared" si="444"/>
        <v>0</v>
      </c>
      <c r="AF622" s="138">
        <f t="shared" si="445"/>
        <v>0</v>
      </c>
      <c r="AG622" s="138">
        <f t="shared" si="446"/>
        <v>0</v>
      </c>
      <c r="AH622" s="138">
        <f t="shared" si="447"/>
        <v>0</v>
      </c>
      <c r="AI622" s="138">
        <f t="shared" si="448"/>
        <v>0</v>
      </c>
      <c r="AJ622" s="138">
        <f t="shared" si="455"/>
        <v>0</v>
      </c>
      <c r="AK622" s="138">
        <f t="shared" si="455"/>
        <v>0</v>
      </c>
      <c r="AL622" s="138">
        <f t="shared" si="453"/>
        <v>0</v>
      </c>
      <c r="AM622" s="138">
        <f t="shared" si="454"/>
        <v>0</v>
      </c>
      <c r="AO622" s="77" t="str">
        <f t="shared" si="409"/>
        <v>DS-6 (DS-4) Temp. Sensitive DS</v>
      </c>
      <c r="AP622" s="78" t="s">
        <v>646</v>
      </c>
      <c r="AQ622" s="77" t="str">
        <f t="shared" si="410"/>
        <v>Capacity Charge Fall (kw-dy)</v>
      </c>
      <c r="AR622" s="78" t="str">
        <f t="shared" si="411"/>
        <v>Prorated</v>
      </c>
      <c r="AS622" s="79">
        <f t="shared" si="412"/>
        <v>6</v>
      </c>
      <c r="AT622" s="78">
        <f t="shared" si="413"/>
        <v>0</v>
      </c>
      <c r="AU622" s="78">
        <f t="shared" si="414"/>
        <v>0</v>
      </c>
      <c r="AV622" s="78">
        <f t="shared" si="415"/>
        <v>0</v>
      </c>
      <c r="AW622" s="78">
        <f t="shared" si="416"/>
        <v>0</v>
      </c>
      <c r="AX622" s="78">
        <f t="shared" si="417"/>
        <v>0</v>
      </c>
      <c r="AY622" s="78">
        <f t="shared" si="418"/>
        <v>0</v>
      </c>
      <c r="AZ622" s="78">
        <f t="shared" si="419"/>
        <v>0</v>
      </c>
      <c r="BA622" s="78">
        <f t="shared" si="420"/>
        <v>0</v>
      </c>
      <c r="BB622" s="78">
        <f t="shared" si="421"/>
        <v>0</v>
      </c>
      <c r="BC622" s="78">
        <f t="shared" si="422"/>
        <v>0</v>
      </c>
      <c r="BD622" s="78">
        <f t="shared" si="423"/>
        <v>0</v>
      </c>
      <c r="BE622" s="78">
        <f t="shared" si="424"/>
        <v>0</v>
      </c>
      <c r="BF622" s="88">
        <f t="shared" si="425"/>
        <v>0</v>
      </c>
      <c r="BG622" s="88">
        <f t="shared" si="426"/>
        <v>0</v>
      </c>
      <c r="BH622" s="88">
        <f t="shared" si="427"/>
        <v>0</v>
      </c>
      <c r="BI622" s="88">
        <f t="shared" si="428"/>
        <v>0</v>
      </c>
      <c r="BJ622" s="88">
        <f t="shared" si="429"/>
        <v>0</v>
      </c>
      <c r="BK622" s="88">
        <f t="shared" si="430"/>
        <v>0</v>
      </c>
      <c r="BL622" s="88">
        <f t="shared" si="431"/>
        <v>0</v>
      </c>
      <c r="BM622" s="88">
        <f t="shared" si="432"/>
        <v>0</v>
      </c>
      <c r="BN622" s="88">
        <f t="shared" si="433"/>
        <v>0</v>
      </c>
      <c r="BO622" s="88">
        <f t="shared" si="434"/>
        <v>0</v>
      </c>
      <c r="BP622" s="88">
        <f t="shared" si="435"/>
        <v>0</v>
      </c>
      <c r="BQ622" s="88">
        <f t="shared" si="436"/>
        <v>0</v>
      </c>
      <c r="BR622" s="88">
        <f t="shared" si="437"/>
        <v>0</v>
      </c>
      <c r="BS622" s="77"/>
      <c r="BT622" s="77"/>
    </row>
    <row r="623" spans="1:72" ht="14.1" customHeight="1" x14ac:dyDescent="0.2">
      <c r="A623" s="55" t="str">
        <f t="shared" si="408"/>
        <v>DS-3 (General Delivery Service)_Capacity Charge Winter (kw-dy)</v>
      </c>
      <c r="B623" s="80" t="s">
        <v>666</v>
      </c>
      <c r="C623" s="83" t="s">
        <v>916</v>
      </c>
      <c r="D623" s="151"/>
      <c r="E623" s="81"/>
      <c r="F623" s="73" t="s">
        <v>640</v>
      </c>
      <c r="G623" s="73">
        <v>0</v>
      </c>
      <c r="H623" s="73">
        <v>6</v>
      </c>
      <c r="I623" s="74" t="s">
        <v>641</v>
      </c>
      <c r="J623" s="75" t="s">
        <v>634</v>
      </c>
      <c r="K623" s="74"/>
      <c r="L623" s="82">
        <v>2E-3</v>
      </c>
      <c r="M623" s="138">
        <v>2E-3</v>
      </c>
      <c r="N623" s="138">
        <v>2E-3</v>
      </c>
      <c r="O623" s="138">
        <v>2E-3</v>
      </c>
      <c r="P623" s="138">
        <v>2E-3</v>
      </c>
      <c r="Q623" s="138">
        <v>2E-3</v>
      </c>
      <c r="R623" s="138">
        <v>7.5000000000000002E-4</v>
      </c>
      <c r="S623" s="138">
        <v>7.5000000000000002E-4</v>
      </c>
      <c r="T623" s="138">
        <v>7.5000000000000002E-4</v>
      </c>
      <c r="U623" s="138">
        <v>7.5000000000000002E-4</v>
      </c>
      <c r="V623" s="138">
        <v>7.5000000000000002E-4</v>
      </c>
      <c r="W623" s="138">
        <v>7.5000000000000002E-4</v>
      </c>
      <c r="X623" s="138">
        <v>7.5000000000000002E-4</v>
      </c>
      <c r="Y623" s="138">
        <f t="shared" si="438"/>
        <v>7.5000000000000002E-4</v>
      </c>
      <c r="Z623" s="138">
        <f t="shared" si="439"/>
        <v>7.5000000000000002E-4</v>
      </c>
      <c r="AA623" s="138">
        <f t="shared" si="440"/>
        <v>7.5000000000000002E-4</v>
      </c>
      <c r="AB623" s="138">
        <f t="shared" si="441"/>
        <v>7.5000000000000002E-4</v>
      </c>
      <c r="AC623" s="138">
        <f t="shared" si="442"/>
        <v>7.5000000000000002E-4</v>
      </c>
      <c r="AD623" s="138">
        <f t="shared" si="443"/>
        <v>7.5000000000000002E-4</v>
      </c>
      <c r="AE623" s="138">
        <f t="shared" si="444"/>
        <v>7.5000000000000002E-4</v>
      </c>
      <c r="AF623" s="138">
        <f t="shared" si="445"/>
        <v>7.5000000000000002E-4</v>
      </c>
      <c r="AG623" s="138">
        <f t="shared" si="446"/>
        <v>7.5000000000000002E-4</v>
      </c>
      <c r="AH623" s="138">
        <f t="shared" si="447"/>
        <v>7.5000000000000002E-4</v>
      </c>
      <c r="AI623" s="138">
        <f t="shared" si="448"/>
        <v>7.5000000000000002E-4</v>
      </c>
      <c r="AJ623" s="138">
        <f t="shared" si="455"/>
        <v>7.5000000000000002E-4</v>
      </c>
      <c r="AK623" s="138">
        <f t="shared" si="455"/>
        <v>7.5000000000000002E-4</v>
      </c>
      <c r="AL623" s="138">
        <f t="shared" si="453"/>
        <v>7.4999999999999991E-4</v>
      </c>
      <c r="AM623" s="138">
        <f t="shared" si="454"/>
        <v>9.5833333333333393E-4</v>
      </c>
      <c r="AO623" s="77" t="str">
        <f t="shared" si="409"/>
        <v>DS-3 (General Delivery Service)</v>
      </c>
      <c r="AP623" s="78" t="s">
        <v>667</v>
      </c>
      <c r="AQ623" s="77" t="str">
        <f t="shared" si="410"/>
        <v>Capacity Charge Winter (kw-dy)</v>
      </c>
      <c r="AR623" s="78" t="str">
        <f t="shared" si="411"/>
        <v>Prorated</v>
      </c>
      <c r="AS623" s="79">
        <f t="shared" si="412"/>
        <v>6</v>
      </c>
      <c r="AT623" s="78">
        <f t="shared" si="413"/>
        <v>0</v>
      </c>
      <c r="AU623" s="78">
        <f t="shared" si="414"/>
        <v>2E-3</v>
      </c>
      <c r="AV623" s="78">
        <f t="shared" si="415"/>
        <v>2E-3</v>
      </c>
      <c r="AW623" s="78">
        <f t="shared" si="416"/>
        <v>2E-3</v>
      </c>
      <c r="AX623" s="78">
        <f t="shared" si="417"/>
        <v>2E-3</v>
      </c>
      <c r="AY623" s="78">
        <f t="shared" si="418"/>
        <v>2E-3</v>
      </c>
      <c r="AZ623" s="78">
        <f t="shared" si="419"/>
        <v>7.5000000000000002E-4</v>
      </c>
      <c r="BA623" s="78">
        <f t="shared" si="420"/>
        <v>7.5000000000000002E-4</v>
      </c>
      <c r="BB623" s="78">
        <f t="shared" si="421"/>
        <v>7.5000000000000002E-4</v>
      </c>
      <c r="BC623" s="78">
        <f t="shared" si="422"/>
        <v>7.5000000000000002E-4</v>
      </c>
      <c r="BD623" s="78">
        <f t="shared" si="423"/>
        <v>7.5000000000000002E-4</v>
      </c>
      <c r="BE623" s="78">
        <f t="shared" si="424"/>
        <v>7.5000000000000002E-4</v>
      </c>
      <c r="BF623" s="88">
        <f t="shared" si="425"/>
        <v>7.5000000000000002E-4</v>
      </c>
      <c r="BG623" s="88">
        <f t="shared" si="426"/>
        <v>7.5000000000000002E-4</v>
      </c>
      <c r="BH623" s="88">
        <f t="shared" si="427"/>
        <v>7.5000000000000002E-4</v>
      </c>
      <c r="BI623" s="88">
        <f t="shared" si="428"/>
        <v>7.5000000000000002E-4</v>
      </c>
      <c r="BJ623" s="88">
        <f t="shared" si="429"/>
        <v>7.5000000000000002E-4</v>
      </c>
      <c r="BK623" s="88">
        <f t="shared" si="430"/>
        <v>7.5000000000000002E-4</v>
      </c>
      <c r="BL623" s="88">
        <f t="shared" si="431"/>
        <v>7.5000000000000002E-4</v>
      </c>
      <c r="BM623" s="88">
        <f t="shared" si="432"/>
        <v>7.5000000000000002E-4</v>
      </c>
      <c r="BN623" s="88">
        <f t="shared" si="433"/>
        <v>7.5000000000000002E-4</v>
      </c>
      <c r="BO623" s="88">
        <f t="shared" si="434"/>
        <v>7.5000000000000002E-4</v>
      </c>
      <c r="BP623" s="88">
        <f t="shared" si="435"/>
        <v>7.5000000000000002E-4</v>
      </c>
      <c r="BQ623" s="88">
        <f t="shared" si="436"/>
        <v>7.5000000000000002E-4</v>
      </c>
      <c r="BR623" s="88">
        <f t="shared" si="437"/>
        <v>7.5000000000000002E-4</v>
      </c>
      <c r="BS623" s="77"/>
      <c r="BT623" s="77"/>
    </row>
    <row r="624" spans="1:72" ht="14.1" customHeight="1" x14ac:dyDescent="0.2">
      <c r="A624" s="55" t="str">
        <f t="shared" si="408"/>
        <v>DS-4 (Large General Service)_Capacity Charge Winter (kw-dy)</v>
      </c>
      <c r="B624" s="80" t="s">
        <v>639</v>
      </c>
      <c r="C624" s="83" t="s">
        <v>916</v>
      </c>
      <c r="D624" s="151"/>
      <c r="E624" s="81"/>
      <c r="F624" s="73" t="s">
        <v>640</v>
      </c>
      <c r="G624" s="73">
        <v>0</v>
      </c>
      <c r="H624" s="73">
        <v>6</v>
      </c>
      <c r="I624" s="74" t="s">
        <v>641</v>
      </c>
      <c r="J624" s="75" t="s">
        <v>634</v>
      </c>
      <c r="K624" s="74"/>
      <c r="L624" s="82">
        <v>2E-3</v>
      </c>
      <c r="M624" s="138">
        <v>2E-3</v>
      </c>
      <c r="N624" s="138">
        <v>2E-3</v>
      </c>
      <c r="O624" s="138">
        <v>2E-3</v>
      </c>
      <c r="P624" s="138">
        <v>2E-3</v>
      </c>
      <c r="Q624" s="138">
        <v>2E-3</v>
      </c>
      <c r="R624" s="138">
        <v>7.5000000000000002E-4</v>
      </c>
      <c r="S624" s="138">
        <v>7.5000000000000002E-4</v>
      </c>
      <c r="T624" s="138">
        <v>7.5000000000000002E-4</v>
      </c>
      <c r="U624" s="138">
        <v>7.5000000000000002E-4</v>
      </c>
      <c r="V624" s="138">
        <v>7.5000000000000002E-4</v>
      </c>
      <c r="W624" s="138">
        <v>7.5000000000000002E-4</v>
      </c>
      <c r="X624" s="138">
        <v>7.5000000000000002E-4</v>
      </c>
      <c r="Y624" s="138">
        <f t="shared" si="438"/>
        <v>7.5000000000000002E-4</v>
      </c>
      <c r="Z624" s="138">
        <f t="shared" si="439"/>
        <v>7.5000000000000002E-4</v>
      </c>
      <c r="AA624" s="138">
        <f t="shared" si="440"/>
        <v>7.5000000000000002E-4</v>
      </c>
      <c r="AB624" s="138">
        <f t="shared" si="441"/>
        <v>7.5000000000000002E-4</v>
      </c>
      <c r="AC624" s="138">
        <f t="shared" si="442"/>
        <v>7.5000000000000002E-4</v>
      </c>
      <c r="AD624" s="138">
        <f t="shared" si="443"/>
        <v>7.5000000000000002E-4</v>
      </c>
      <c r="AE624" s="138">
        <f t="shared" si="444"/>
        <v>7.5000000000000002E-4</v>
      </c>
      <c r="AF624" s="138">
        <f t="shared" si="445"/>
        <v>7.5000000000000002E-4</v>
      </c>
      <c r="AG624" s="138">
        <f t="shared" si="446"/>
        <v>7.5000000000000002E-4</v>
      </c>
      <c r="AH624" s="138">
        <f t="shared" si="447"/>
        <v>7.5000000000000002E-4</v>
      </c>
      <c r="AI624" s="138">
        <f t="shared" si="448"/>
        <v>7.5000000000000002E-4</v>
      </c>
      <c r="AJ624" s="138">
        <f t="shared" si="455"/>
        <v>7.5000000000000002E-4</v>
      </c>
      <c r="AK624" s="138">
        <f t="shared" si="455"/>
        <v>7.5000000000000002E-4</v>
      </c>
      <c r="AL624" s="138">
        <f t="shared" si="453"/>
        <v>7.4999999999999991E-4</v>
      </c>
      <c r="AM624" s="138">
        <f t="shared" si="454"/>
        <v>9.5833333333333393E-4</v>
      </c>
      <c r="AO624" s="77" t="str">
        <f t="shared" si="409"/>
        <v>DS-4 (Large General Service)</v>
      </c>
      <c r="AP624" s="78" t="s">
        <v>642</v>
      </c>
      <c r="AQ624" s="77" t="str">
        <f t="shared" si="410"/>
        <v>Capacity Charge Winter (kw-dy)</v>
      </c>
      <c r="AR624" s="78" t="str">
        <f t="shared" si="411"/>
        <v>Prorated</v>
      </c>
      <c r="AS624" s="79">
        <f t="shared" si="412"/>
        <v>6</v>
      </c>
      <c r="AT624" s="78">
        <f t="shared" si="413"/>
        <v>0</v>
      </c>
      <c r="AU624" s="78">
        <f t="shared" si="414"/>
        <v>2E-3</v>
      </c>
      <c r="AV624" s="78">
        <f t="shared" si="415"/>
        <v>2E-3</v>
      </c>
      <c r="AW624" s="78">
        <f t="shared" si="416"/>
        <v>2E-3</v>
      </c>
      <c r="AX624" s="78">
        <f t="shared" si="417"/>
        <v>2E-3</v>
      </c>
      <c r="AY624" s="78">
        <f t="shared" si="418"/>
        <v>2E-3</v>
      </c>
      <c r="AZ624" s="78">
        <f t="shared" si="419"/>
        <v>7.5000000000000002E-4</v>
      </c>
      <c r="BA624" s="78">
        <f t="shared" si="420"/>
        <v>7.5000000000000002E-4</v>
      </c>
      <c r="BB624" s="78">
        <f t="shared" si="421"/>
        <v>7.5000000000000002E-4</v>
      </c>
      <c r="BC624" s="78">
        <f t="shared" si="422"/>
        <v>7.5000000000000002E-4</v>
      </c>
      <c r="BD624" s="78">
        <f t="shared" si="423"/>
        <v>7.5000000000000002E-4</v>
      </c>
      <c r="BE624" s="78">
        <f t="shared" si="424"/>
        <v>7.5000000000000002E-4</v>
      </c>
      <c r="BF624" s="88">
        <f t="shared" si="425"/>
        <v>7.5000000000000002E-4</v>
      </c>
      <c r="BG624" s="88">
        <f t="shared" si="426"/>
        <v>7.5000000000000002E-4</v>
      </c>
      <c r="BH624" s="88">
        <f t="shared" si="427"/>
        <v>7.5000000000000002E-4</v>
      </c>
      <c r="BI624" s="88">
        <f t="shared" si="428"/>
        <v>7.5000000000000002E-4</v>
      </c>
      <c r="BJ624" s="88">
        <f t="shared" si="429"/>
        <v>7.5000000000000002E-4</v>
      </c>
      <c r="BK624" s="88">
        <f t="shared" si="430"/>
        <v>7.5000000000000002E-4</v>
      </c>
      <c r="BL624" s="88">
        <f t="shared" si="431"/>
        <v>7.5000000000000002E-4</v>
      </c>
      <c r="BM624" s="88">
        <f t="shared" si="432"/>
        <v>7.5000000000000002E-4</v>
      </c>
      <c r="BN624" s="88">
        <f t="shared" si="433"/>
        <v>7.5000000000000002E-4</v>
      </c>
      <c r="BO624" s="88">
        <f t="shared" si="434"/>
        <v>7.5000000000000002E-4</v>
      </c>
      <c r="BP624" s="88">
        <f t="shared" si="435"/>
        <v>7.5000000000000002E-4</v>
      </c>
      <c r="BQ624" s="88">
        <f t="shared" si="436"/>
        <v>7.5000000000000002E-4</v>
      </c>
      <c r="BR624" s="88">
        <f t="shared" si="437"/>
        <v>7.5000000000000002E-4</v>
      </c>
      <c r="BS624" s="77"/>
      <c r="BT624" s="77"/>
    </row>
    <row r="625" spans="1:72" ht="14.1" customHeight="1" x14ac:dyDescent="0.2">
      <c r="A625" s="55" t="str">
        <f t="shared" si="408"/>
        <v>DS-6 (DS-3) Temp. Sensitive DS_Capacity Charge Winter (kw-dy)</v>
      </c>
      <c r="B625" s="80" t="s">
        <v>643</v>
      </c>
      <c r="C625" s="83" t="s">
        <v>916</v>
      </c>
      <c r="D625" s="151"/>
      <c r="E625" s="81"/>
      <c r="F625" s="73" t="s">
        <v>640</v>
      </c>
      <c r="G625" s="73">
        <v>0</v>
      </c>
      <c r="H625" s="73">
        <v>6</v>
      </c>
      <c r="I625" s="74" t="s">
        <v>641</v>
      </c>
      <c r="J625" s="75" t="s">
        <v>634</v>
      </c>
      <c r="K625" s="74"/>
      <c r="L625" s="82">
        <v>0</v>
      </c>
      <c r="M625" s="138">
        <v>0</v>
      </c>
      <c r="N625" s="138">
        <v>0</v>
      </c>
      <c r="O625" s="138">
        <v>0</v>
      </c>
      <c r="P625" s="138">
        <v>0</v>
      </c>
      <c r="Q625" s="138">
        <v>0</v>
      </c>
      <c r="R625" s="138">
        <v>0</v>
      </c>
      <c r="S625" s="138">
        <v>0</v>
      </c>
      <c r="T625" s="138">
        <v>0</v>
      </c>
      <c r="U625" s="138">
        <v>0</v>
      </c>
      <c r="V625" s="138">
        <v>0</v>
      </c>
      <c r="W625" s="138">
        <v>0</v>
      </c>
      <c r="X625" s="138">
        <v>0</v>
      </c>
      <c r="Y625" s="138">
        <f t="shared" si="438"/>
        <v>0</v>
      </c>
      <c r="Z625" s="138">
        <f t="shared" si="439"/>
        <v>0</v>
      </c>
      <c r="AA625" s="138">
        <f t="shared" si="440"/>
        <v>0</v>
      </c>
      <c r="AB625" s="138">
        <f t="shared" si="441"/>
        <v>0</v>
      </c>
      <c r="AC625" s="138">
        <f t="shared" si="442"/>
        <v>0</v>
      </c>
      <c r="AD625" s="138">
        <f t="shared" si="443"/>
        <v>0</v>
      </c>
      <c r="AE625" s="138">
        <f t="shared" si="444"/>
        <v>0</v>
      </c>
      <c r="AF625" s="138">
        <f t="shared" si="445"/>
        <v>0</v>
      </c>
      <c r="AG625" s="138">
        <f t="shared" si="446"/>
        <v>0</v>
      </c>
      <c r="AH625" s="138">
        <f t="shared" si="447"/>
        <v>0</v>
      </c>
      <c r="AI625" s="138">
        <f t="shared" si="448"/>
        <v>0</v>
      </c>
      <c r="AJ625" s="138">
        <f t="shared" si="455"/>
        <v>0</v>
      </c>
      <c r="AK625" s="138">
        <f t="shared" si="455"/>
        <v>0</v>
      </c>
      <c r="AL625" s="138">
        <f t="shared" si="453"/>
        <v>0</v>
      </c>
      <c r="AM625" s="138">
        <f t="shared" si="454"/>
        <v>0</v>
      </c>
      <c r="AO625" s="77" t="str">
        <f t="shared" si="409"/>
        <v>DS-6 (DS-3) Temp. Sensitive DS</v>
      </c>
      <c r="AP625" s="78" t="s">
        <v>644</v>
      </c>
      <c r="AQ625" s="77" t="str">
        <f t="shared" si="410"/>
        <v>Capacity Charge Winter (kw-dy)</v>
      </c>
      <c r="AR625" s="78" t="str">
        <f t="shared" si="411"/>
        <v>Prorated</v>
      </c>
      <c r="AS625" s="79">
        <f t="shared" si="412"/>
        <v>6</v>
      </c>
      <c r="AT625" s="78">
        <f t="shared" si="413"/>
        <v>0</v>
      </c>
      <c r="AU625" s="78">
        <f t="shared" si="414"/>
        <v>0</v>
      </c>
      <c r="AV625" s="78">
        <f t="shared" si="415"/>
        <v>0</v>
      </c>
      <c r="AW625" s="78">
        <f t="shared" si="416"/>
        <v>0</v>
      </c>
      <c r="AX625" s="78">
        <f t="shared" si="417"/>
        <v>0</v>
      </c>
      <c r="AY625" s="78">
        <f t="shared" si="418"/>
        <v>0</v>
      </c>
      <c r="AZ625" s="78">
        <f t="shared" si="419"/>
        <v>0</v>
      </c>
      <c r="BA625" s="78">
        <f t="shared" si="420"/>
        <v>0</v>
      </c>
      <c r="BB625" s="78">
        <f t="shared" si="421"/>
        <v>0</v>
      </c>
      <c r="BC625" s="78">
        <f t="shared" si="422"/>
        <v>0</v>
      </c>
      <c r="BD625" s="78">
        <f t="shared" si="423"/>
        <v>0</v>
      </c>
      <c r="BE625" s="78">
        <f t="shared" si="424"/>
        <v>0</v>
      </c>
      <c r="BF625" s="88">
        <f t="shared" si="425"/>
        <v>0</v>
      </c>
      <c r="BG625" s="88">
        <f t="shared" si="426"/>
        <v>0</v>
      </c>
      <c r="BH625" s="88">
        <f t="shared" si="427"/>
        <v>0</v>
      </c>
      <c r="BI625" s="88">
        <f t="shared" si="428"/>
        <v>0</v>
      </c>
      <c r="BJ625" s="88">
        <f t="shared" si="429"/>
        <v>0</v>
      </c>
      <c r="BK625" s="88">
        <f t="shared" si="430"/>
        <v>0</v>
      </c>
      <c r="BL625" s="88">
        <f t="shared" si="431"/>
        <v>0</v>
      </c>
      <c r="BM625" s="88">
        <f t="shared" si="432"/>
        <v>0</v>
      </c>
      <c r="BN625" s="88">
        <f t="shared" si="433"/>
        <v>0</v>
      </c>
      <c r="BO625" s="88">
        <f t="shared" si="434"/>
        <v>0</v>
      </c>
      <c r="BP625" s="88">
        <f t="shared" si="435"/>
        <v>0</v>
      </c>
      <c r="BQ625" s="88">
        <f t="shared" si="436"/>
        <v>0</v>
      </c>
      <c r="BR625" s="88">
        <f t="shared" si="437"/>
        <v>0</v>
      </c>
      <c r="BS625" s="77"/>
      <c r="BT625" s="77"/>
    </row>
    <row r="626" spans="1:72" ht="14.1" customHeight="1" x14ac:dyDescent="0.2">
      <c r="A626" s="55" t="str">
        <f t="shared" si="408"/>
        <v>DS-6 (DS-4) Temp. Sensitive DS_Capacity Charge Winter (kw-dy)</v>
      </c>
      <c r="B626" s="80" t="s">
        <v>645</v>
      </c>
      <c r="C626" s="83" t="s">
        <v>916</v>
      </c>
      <c r="D626" s="151"/>
      <c r="E626" s="81"/>
      <c r="F626" s="73" t="s">
        <v>640</v>
      </c>
      <c r="G626" s="73">
        <v>0</v>
      </c>
      <c r="H626" s="73">
        <v>6</v>
      </c>
      <c r="I626" s="74" t="s">
        <v>641</v>
      </c>
      <c r="J626" s="75" t="s">
        <v>634</v>
      </c>
      <c r="K626" s="74"/>
      <c r="L626" s="82">
        <v>0</v>
      </c>
      <c r="M626" s="138">
        <v>0</v>
      </c>
      <c r="N626" s="138">
        <v>0</v>
      </c>
      <c r="O626" s="138">
        <v>0</v>
      </c>
      <c r="P626" s="138">
        <v>0</v>
      </c>
      <c r="Q626" s="138">
        <v>0</v>
      </c>
      <c r="R626" s="138">
        <v>0</v>
      </c>
      <c r="S626" s="138">
        <v>0</v>
      </c>
      <c r="T626" s="138">
        <v>0</v>
      </c>
      <c r="U626" s="138">
        <v>0</v>
      </c>
      <c r="V626" s="138">
        <v>0</v>
      </c>
      <c r="W626" s="138">
        <v>0</v>
      </c>
      <c r="X626" s="138">
        <v>0</v>
      </c>
      <c r="Y626" s="138">
        <f t="shared" si="438"/>
        <v>0</v>
      </c>
      <c r="Z626" s="138">
        <f t="shared" si="439"/>
        <v>0</v>
      </c>
      <c r="AA626" s="138">
        <f t="shared" si="440"/>
        <v>0</v>
      </c>
      <c r="AB626" s="138">
        <f t="shared" si="441"/>
        <v>0</v>
      </c>
      <c r="AC626" s="138">
        <f t="shared" si="442"/>
        <v>0</v>
      </c>
      <c r="AD626" s="138">
        <f t="shared" si="443"/>
        <v>0</v>
      </c>
      <c r="AE626" s="138">
        <f t="shared" si="444"/>
        <v>0</v>
      </c>
      <c r="AF626" s="138">
        <f t="shared" si="445"/>
        <v>0</v>
      </c>
      <c r="AG626" s="138">
        <f t="shared" si="446"/>
        <v>0</v>
      </c>
      <c r="AH626" s="138">
        <f t="shared" si="447"/>
        <v>0</v>
      </c>
      <c r="AI626" s="138">
        <f t="shared" si="448"/>
        <v>0</v>
      </c>
      <c r="AJ626" s="138">
        <f t="shared" si="455"/>
        <v>0</v>
      </c>
      <c r="AK626" s="138">
        <f t="shared" si="455"/>
        <v>0</v>
      </c>
      <c r="AL626" s="138">
        <f t="shared" si="453"/>
        <v>0</v>
      </c>
      <c r="AM626" s="138">
        <f t="shared" si="454"/>
        <v>0</v>
      </c>
      <c r="AO626" s="77" t="str">
        <f t="shared" si="409"/>
        <v>DS-6 (DS-4) Temp. Sensitive DS</v>
      </c>
      <c r="AP626" s="78" t="s">
        <v>646</v>
      </c>
      <c r="AQ626" s="77" t="str">
        <f t="shared" si="410"/>
        <v>Capacity Charge Winter (kw-dy)</v>
      </c>
      <c r="AR626" s="78" t="str">
        <f t="shared" si="411"/>
        <v>Prorated</v>
      </c>
      <c r="AS626" s="79">
        <f t="shared" si="412"/>
        <v>6</v>
      </c>
      <c r="AT626" s="78">
        <f t="shared" si="413"/>
        <v>0</v>
      </c>
      <c r="AU626" s="78">
        <f t="shared" si="414"/>
        <v>0</v>
      </c>
      <c r="AV626" s="78">
        <f t="shared" si="415"/>
        <v>0</v>
      </c>
      <c r="AW626" s="78">
        <f t="shared" si="416"/>
        <v>0</v>
      </c>
      <c r="AX626" s="78">
        <f t="shared" si="417"/>
        <v>0</v>
      </c>
      <c r="AY626" s="78">
        <f t="shared" si="418"/>
        <v>0</v>
      </c>
      <c r="AZ626" s="78">
        <f t="shared" si="419"/>
        <v>0</v>
      </c>
      <c r="BA626" s="78">
        <f t="shared" si="420"/>
        <v>0</v>
      </c>
      <c r="BB626" s="78">
        <f t="shared" si="421"/>
        <v>0</v>
      </c>
      <c r="BC626" s="78">
        <f t="shared" si="422"/>
        <v>0</v>
      </c>
      <c r="BD626" s="78">
        <f t="shared" si="423"/>
        <v>0</v>
      </c>
      <c r="BE626" s="78">
        <f t="shared" si="424"/>
        <v>0</v>
      </c>
      <c r="BF626" s="88">
        <f t="shared" si="425"/>
        <v>0</v>
      </c>
      <c r="BG626" s="88">
        <f t="shared" si="426"/>
        <v>0</v>
      </c>
      <c r="BH626" s="88">
        <f t="shared" si="427"/>
        <v>0</v>
      </c>
      <c r="BI626" s="88">
        <f t="shared" si="428"/>
        <v>0</v>
      </c>
      <c r="BJ626" s="88">
        <f t="shared" si="429"/>
        <v>0</v>
      </c>
      <c r="BK626" s="88">
        <f t="shared" si="430"/>
        <v>0</v>
      </c>
      <c r="BL626" s="88">
        <f t="shared" si="431"/>
        <v>0</v>
      </c>
      <c r="BM626" s="88">
        <f t="shared" si="432"/>
        <v>0</v>
      </c>
      <c r="BN626" s="88">
        <f t="shared" si="433"/>
        <v>0</v>
      </c>
      <c r="BO626" s="88">
        <f t="shared" si="434"/>
        <v>0</v>
      </c>
      <c r="BP626" s="88">
        <f t="shared" si="435"/>
        <v>0</v>
      </c>
      <c r="BQ626" s="88">
        <f t="shared" si="436"/>
        <v>0</v>
      </c>
      <c r="BR626" s="88">
        <f t="shared" si="437"/>
        <v>0</v>
      </c>
      <c r="BS626" s="77"/>
      <c r="BT626" s="77"/>
    </row>
    <row r="627" spans="1:72" ht="14.1" customHeight="1" x14ac:dyDescent="0.2">
      <c r="A627" s="55" t="str">
        <f t="shared" si="408"/>
        <v>DS-3 (General Delivery Service)_Capacity Charge Spring (kw-dy)</v>
      </c>
      <c r="B627" s="80" t="s">
        <v>666</v>
      </c>
      <c r="C627" s="83" t="s">
        <v>917</v>
      </c>
      <c r="D627" s="151"/>
      <c r="E627" s="81"/>
      <c r="F627" s="73" t="s">
        <v>640</v>
      </c>
      <c r="G627" s="73">
        <v>0</v>
      </c>
      <c r="H627" s="73">
        <v>6</v>
      </c>
      <c r="I627" s="74" t="s">
        <v>641</v>
      </c>
      <c r="J627" s="75" t="s">
        <v>634</v>
      </c>
      <c r="K627" s="74"/>
      <c r="L627" s="82">
        <v>0.01</v>
      </c>
      <c r="M627" s="138">
        <v>0.01</v>
      </c>
      <c r="N627" s="138">
        <v>0.01</v>
      </c>
      <c r="O627" s="138">
        <v>0.01</v>
      </c>
      <c r="P627" s="138">
        <v>0.01</v>
      </c>
      <c r="Q627" s="138">
        <v>0.01</v>
      </c>
      <c r="R627" s="138">
        <v>3.4099999999999998E-2</v>
      </c>
      <c r="S627" s="138">
        <v>3.4099999999999998E-2</v>
      </c>
      <c r="T627" s="138">
        <v>3.4099999999999998E-2</v>
      </c>
      <c r="U627" s="138">
        <v>3.4099999999999998E-2</v>
      </c>
      <c r="V627" s="138">
        <v>3.4099999999999998E-2</v>
      </c>
      <c r="W627" s="138">
        <v>3.4099999999999998E-2</v>
      </c>
      <c r="X627" s="138">
        <v>3.4099999999999998E-2</v>
      </c>
      <c r="Y627" s="138">
        <f t="shared" si="438"/>
        <v>3.4099999999999998E-2</v>
      </c>
      <c r="Z627" s="138">
        <f t="shared" si="439"/>
        <v>3.4099999999999998E-2</v>
      </c>
      <c r="AA627" s="138">
        <f t="shared" si="440"/>
        <v>3.4099999999999998E-2</v>
      </c>
      <c r="AB627" s="138">
        <f t="shared" si="441"/>
        <v>3.4099999999999998E-2</v>
      </c>
      <c r="AC627" s="138">
        <f t="shared" si="442"/>
        <v>3.4099999999999998E-2</v>
      </c>
      <c r="AD627" s="138">
        <f t="shared" si="443"/>
        <v>3.4099999999999998E-2</v>
      </c>
      <c r="AE627" s="138">
        <f t="shared" si="444"/>
        <v>3.4099999999999998E-2</v>
      </c>
      <c r="AF627" s="138">
        <f t="shared" si="445"/>
        <v>3.4099999999999998E-2</v>
      </c>
      <c r="AG627" s="138">
        <f t="shared" si="446"/>
        <v>3.4099999999999998E-2</v>
      </c>
      <c r="AH627" s="138">
        <f t="shared" si="447"/>
        <v>3.4099999999999998E-2</v>
      </c>
      <c r="AI627" s="138">
        <f t="shared" si="448"/>
        <v>3.4099999999999998E-2</v>
      </c>
      <c r="AJ627" s="138">
        <f t="shared" si="455"/>
        <v>3.4099999999999998E-2</v>
      </c>
      <c r="AK627" s="138">
        <f t="shared" si="455"/>
        <v>3.4099999999999998E-2</v>
      </c>
      <c r="AL627" s="138">
        <f t="shared" si="453"/>
        <v>3.4100000000000005E-2</v>
      </c>
      <c r="AM627" s="138">
        <f t="shared" si="454"/>
        <v>3.008333333333334E-2</v>
      </c>
      <c r="AO627" s="77" t="str">
        <f t="shared" si="409"/>
        <v>DS-3 (General Delivery Service)</v>
      </c>
      <c r="AP627" s="78" t="s">
        <v>667</v>
      </c>
      <c r="AQ627" s="77" t="str">
        <f t="shared" si="410"/>
        <v>Capacity Charge Spring (kw-dy)</v>
      </c>
      <c r="AR627" s="78" t="str">
        <f t="shared" si="411"/>
        <v>Prorated</v>
      </c>
      <c r="AS627" s="79">
        <f t="shared" si="412"/>
        <v>6</v>
      </c>
      <c r="AT627" s="78">
        <f t="shared" si="413"/>
        <v>0</v>
      </c>
      <c r="AU627" s="78">
        <f t="shared" si="414"/>
        <v>0.01</v>
      </c>
      <c r="AV627" s="78">
        <f t="shared" si="415"/>
        <v>0.01</v>
      </c>
      <c r="AW627" s="78">
        <f t="shared" si="416"/>
        <v>0.01</v>
      </c>
      <c r="AX627" s="78">
        <f t="shared" si="417"/>
        <v>0.01</v>
      </c>
      <c r="AY627" s="78">
        <f t="shared" si="418"/>
        <v>0.01</v>
      </c>
      <c r="AZ627" s="78">
        <f t="shared" si="419"/>
        <v>3.4099999999999998E-2</v>
      </c>
      <c r="BA627" s="78">
        <f t="shared" si="420"/>
        <v>3.4099999999999998E-2</v>
      </c>
      <c r="BB627" s="78">
        <f t="shared" si="421"/>
        <v>3.4099999999999998E-2</v>
      </c>
      <c r="BC627" s="78">
        <f t="shared" si="422"/>
        <v>3.4099999999999998E-2</v>
      </c>
      <c r="BD627" s="78">
        <f t="shared" si="423"/>
        <v>3.4099999999999998E-2</v>
      </c>
      <c r="BE627" s="78">
        <f t="shared" si="424"/>
        <v>3.4099999999999998E-2</v>
      </c>
      <c r="BF627" s="88">
        <f t="shared" si="425"/>
        <v>3.4099999999999998E-2</v>
      </c>
      <c r="BG627" s="88">
        <f t="shared" si="426"/>
        <v>3.4099999999999998E-2</v>
      </c>
      <c r="BH627" s="88">
        <f t="shared" si="427"/>
        <v>3.4099999999999998E-2</v>
      </c>
      <c r="BI627" s="88">
        <f t="shared" si="428"/>
        <v>3.4099999999999998E-2</v>
      </c>
      <c r="BJ627" s="88">
        <f t="shared" si="429"/>
        <v>3.4099999999999998E-2</v>
      </c>
      <c r="BK627" s="88">
        <f t="shared" si="430"/>
        <v>3.4099999999999998E-2</v>
      </c>
      <c r="BL627" s="88">
        <f t="shared" si="431"/>
        <v>3.4099999999999998E-2</v>
      </c>
      <c r="BM627" s="88">
        <f t="shared" si="432"/>
        <v>3.4099999999999998E-2</v>
      </c>
      <c r="BN627" s="88">
        <f t="shared" si="433"/>
        <v>3.4099999999999998E-2</v>
      </c>
      <c r="BO627" s="88">
        <f t="shared" si="434"/>
        <v>3.4099999999999998E-2</v>
      </c>
      <c r="BP627" s="88">
        <f t="shared" si="435"/>
        <v>3.4099999999999998E-2</v>
      </c>
      <c r="BQ627" s="88">
        <f t="shared" si="436"/>
        <v>3.4099999999999998E-2</v>
      </c>
      <c r="BR627" s="88">
        <f t="shared" si="437"/>
        <v>3.4099999999999998E-2</v>
      </c>
      <c r="BS627" s="77"/>
      <c r="BT627" s="77"/>
    </row>
    <row r="628" spans="1:72" ht="14.1" customHeight="1" x14ac:dyDescent="0.2">
      <c r="A628" s="55" t="str">
        <f t="shared" si="408"/>
        <v>DS-4 (Large General Service)_Capacity Charge Spring (kw-dy)</v>
      </c>
      <c r="B628" s="80" t="s">
        <v>639</v>
      </c>
      <c r="C628" s="83" t="s">
        <v>917</v>
      </c>
      <c r="D628" s="151"/>
      <c r="E628" s="81"/>
      <c r="F628" s="73" t="s">
        <v>640</v>
      </c>
      <c r="G628" s="73">
        <v>0</v>
      </c>
      <c r="H628" s="73">
        <v>6</v>
      </c>
      <c r="I628" s="74" t="s">
        <v>641</v>
      </c>
      <c r="J628" s="75" t="s">
        <v>634</v>
      </c>
      <c r="K628" s="74"/>
      <c r="L628" s="82">
        <v>0.01</v>
      </c>
      <c r="M628" s="138">
        <v>0.01</v>
      </c>
      <c r="N628" s="138">
        <v>0.01</v>
      </c>
      <c r="O628" s="138">
        <v>0.01</v>
      </c>
      <c r="P628" s="138">
        <v>0.01</v>
      </c>
      <c r="Q628" s="138">
        <v>0.01</v>
      </c>
      <c r="R628" s="138">
        <v>3.4099999999999998E-2</v>
      </c>
      <c r="S628" s="138">
        <v>3.4099999999999998E-2</v>
      </c>
      <c r="T628" s="138">
        <v>3.4099999999999998E-2</v>
      </c>
      <c r="U628" s="138">
        <v>3.4099999999999998E-2</v>
      </c>
      <c r="V628" s="138">
        <v>3.4099999999999998E-2</v>
      </c>
      <c r="W628" s="138">
        <v>3.4099999999999998E-2</v>
      </c>
      <c r="X628" s="138">
        <v>3.4099999999999998E-2</v>
      </c>
      <c r="Y628" s="138">
        <f t="shared" si="438"/>
        <v>3.4099999999999998E-2</v>
      </c>
      <c r="Z628" s="138">
        <f t="shared" si="439"/>
        <v>3.4099999999999998E-2</v>
      </c>
      <c r="AA628" s="138">
        <f t="shared" si="440"/>
        <v>3.4099999999999998E-2</v>
      </c>
      <c r="AB628" s="138">
        <f t="shared" si="441"/>
        <v>3.4099999999999998E-2</v>
      </c>
      <c r="AC628" s="138">
        <f t="shared" si="442"/>
        <v>3.4099999999999998E-2</v>
      </c>
      <c r="AD628" s="138">
        <f t="shared" si="443"/>
        <v>3.4099999999999998E-2</v>
      </c>
      <c r="AE628" s="138">
        <f t="shared" si="444"/>
        <v>3.4099999999999998E-2</v>
      </c>
      <c r="AF628" s="138">
        <f t="shared" si="445"/>
        <v>3.4099999999999998E-2</v>
      </c>
      <c r="AG628" s="138">
        <f t="shared" si="446"/>
        <v>3.4099999999999998E-2</v>
      </c>
      <c r="AH628" s="138">
        <f t="shared" si="447"/>
        <v>3.4099999999999998E-2</v>
      </c>
      <c r="AI628" s="138">
        <f t="shared" si="448"/>
        <v>3.4099999999999998E-2</v>
      </c>
      <c r="AJ628" s="138">
        <f t="shared" si="455"/>
        <v>3.4099999999999998E-2</v>
      </c>
      <c r="AK628" s="138">
        <f t="shared" si="455"/>
        <v>3.4099999999999998E-2</v>
      </c>
      <c r="AL628" s="138">
        <f t="shared" si="453"/>
        <v>3.4100000000000005E-2</v>
      </c>
      <c r="AM628" s="138">
        <f t="shared" si="454"/>
        <v>3.008333333333334E-2</v>
      </c>
      <c r="AO628" s="77" t="str">
        <f t="shared" si="409"/>
        <v>DS-4 (Large General Service)</v>
      </c>
      <c r="AP628" s="78" t="s">
        <v>642</v>
      </c>
      <c r="AQ628" s="77" t="str">
        <f t="shared" si="410"/>
        <v>Capacity Charge Spring (kw-dy)</v>
      </c>
      <c r="AR628" s="78" t="str">
        <f t="shared" si="411"/>
        <v>Prorated</v>
      </c>
      <c r="AS628" s="79">
        <f t="shared" si="412"/>
        <v>6</v>
      </c>
      <c r="AT628" s="78">
        <f t="shared" si="413"/>
        <v>0</v>
      </c>
      <c r="AU628" s="78">
        <f t="shared" si="414"/>
        <v>0.01</v>
      </c>
      <c r="AV628" s="78">
        <f t="shared" si="415"/>
        <v>0.01</v>
      </c>
      <c r="AW628" s="78">
        <f t="shared" si="416"/>
        <v>0.01</v>
      </c>
      <c r="AX628" s="78">
        <f t="shared" si="417"/>
        <v>0.01</v>
      </c>
      <c r="AY628" s="78">
        <f t="shared" si="418"/>
        <v>0.01</v>
      </c>
      <c r="AZ628" s="78">
        <f t="shared" si="419"/>
        <v>3.4099999999999998E-2</v>
      </c>
      <c r="BA628" s="78">
        <f t="shared" si="420"/>
        <v>3.4099999999999998E-2</v>
      </c>
      <c r="BB628" s="78">
        <f t="shared" si="421"/>
        <v>3.4099999999999998E-2</v>
      </c>
      <c r="BC628" s="78">
        <f t="shared" si="422"/>
        <v>3.4099999999999998E-2</v>
      </c>
      <c r="BD628" s="78">
        <f t="shared" si="423"/>
        <v>3.4099999999999998E-2</v>
      </c>
      <c r="BE628" s="78">
        <f t="shared" si="424"/>
        <v>3.4099999999999998E-2</v>
      </c>
      <c r="BF628" s="88">
        <f t="shared" si="425"/>
        <v>3.4099999999999998E-2</v>
      </c>
      <c r="BG628" s="88">
        <f t="shared" si="426"/>
        <v>3.4099999999999998E-2</v>
      </c>
      <c r="BH628" s="88">
        <f t="shared" si="427"/>
        <v>3.4099999999999998E-2</v>
      </c>
      <c r="BI628" s="88">
        <f t="shared" si="428"/>
        <v>3.4099999999999998E-2</v>
      </c>
      <c r="BJ628" s="88">
        <f t="shared" si="429"/>
        <v>3.4099999999999998E-2</v>
      </c>
      <c r="BK628" s="88">
        <f t="shared" si="430"/>
        <v>3.4099999999999998E-2</v>
      </c>
      <c r="BL628" s="88">
        <f t="shared" si="431"/>
        <v>3.4099999999999998E-2</v>
      </c>
      <c r="BM628" s="88">
        <f t="shared" si="432"/>
        <v>3.4099999999999998E-2</v>
      </c>
      <c r="BN628" s="88">
        <f t="shared" si="433"/>
        <v>3.4099999999999998E-2</v>
      </c>
      <c r="BO628" s="88">
        <f t="shared" si="434"/>
        <v>3.4099999999999998E-2</v>
      </c>
      <c r="BP628" s="88">
        <f t="shared" si="435"/>
        <v>3.4099999999999998E-2</v>
      </c>
      <c r="BQ628" s="88">
        <f t="shared" si="436"/>
        <v>3.4099999999999998E-2</v>
      </c>
      <c r="BR628" s="88">
        <f t="shared" si="437"/>
        <v>3.4099999999999998E-2</v>
      </c>
      <c r="BS628" s="77"/>
      <c r="BT628" s="77"/>
    </row>
    <row r="629" spans="1:72" ht="14.1" customHeight="1" x14ac:dyDescent="0.2">
      <c r="A629" s="55" t="str">
        <f t="shared" si="408"/>
        <v>DS-6 (DS-3) Temp. Sensitive DS_Capacity Charge Spring (kw-dy)</v>
      </c>
      <c r="B629" s="80" t="s">
        <v>643</v>
      </c>
      <c r="C629" s="83" t="s">
        <v>917</v>
      </c>
      <c r="D629" s="151"/>
      <c r="E629" s="81"/>
      <c r="F629" s="73" t="s">
        <v>640</v>
      </c>
      <c r="G629" s="73">
        <v>0</v>
      </c>
      <c r="H629" s="73">
        <v>6</v>
      </c>
      <c r="I629" s="74" t="s">
        <v>641</v>
      </c>
      <c r="J629" s="75" t="s">
        <v>634</v>
      </c>
      <c r="K629" s="74"/>
      <c r="L629" s="82">
        <v>0</v>
      </c>
      <c r="M629" s="138">
        <v>0</v>
      </c>
      <c r="N629" s="138">
        <v>0</v>
      </c>
      <c r="O629" s="138">
        <v>0</v>
      </c>
      <c r="P629" s="138">
        <v>0</v>
      </c>
      <c r="Q629" s="138">
        <v>0</v>
      </c>
      <c r="R629" s="138">
        <v>0</v>
      </c>
      <c r="S629" s="138">
        <v>0</v>
      </c>
      <c r="T629" s="138">
        <v>0</v>
      </c>
      <c r="U629" s="138">
        <v>0</v>
      </c>
      <c r="V629" s="138">
        <v>0</v>
      </c>
      <c r="W629" s="138">
        <v>0</v>
      </c>
      <c r="X629" s="138">
        <v>0</v>
      </c>
      <c r="Y629" s="138">
        <f t="shared" si="438"/>
        <v>0</v>
      </c>
      <c r="Z629" s="138">
        <f t="shared" si="439"/>
        <v>0</v>
      </c>
      <c r="AA629" s="138">
        <f t="shared" si="440"/>
        <v>0</v>
      </c>
      <c r="AB629" s="138">
        <f t="shared" si="441"/>
        <v>0</v>
      </c>
      <c r="AC629" s="138">
        <f t="shared" si="442"/>
        <v>0</v>
      </c>
      <c r="AD629" s="138">
        <f t="shared" si="443"/>
        <v>0</v>
      </c>
      <c r="AE629" s="138">
        <f t="shared" si="444"/>
        <v>0</v>
      </c>
      <c r="AF629" s="138">
        <f t="shared" si="445"/>
        <v>0</v>
      </c>
      <c r="AG629" s="138">
        <f t="shared" si="446"/>
        <v>0</v>
      </c>
      <c r="AH629" s="138">
        <f t="shared" si="447"/>
        <v>0</v>
      </c>
      <c r="AI629" s="138">
        <f t="shared" si="448"/>
        <v>0</v>
      </c>
      <c r="AJ629" s="138">
        <f t="shared" si="455"/>
        <v>0</v>
      </c>
      <c r="AK629" s="138">
        <f t="shared" si="455"/>
        <v>0</v>
      </c>
      <c r="AL629" s="138">
        <f t="shared" si="453"/>
        <v>0</v>
      </c>
      <c r="AM629" s="138">
        <f t="shared" si="454"/>
        <v>0</v>
      </c>
      <c r="AO629" s="77" t="str">
        <f t="shared" si="409"/>
        <v>DS-6 (DS-3) Temp. Sensitive DS</v>
      </c>
      <c r="AP629" s="78" t="s">
        <v>644</v>
      </c>
      <c r="AQ629" s="77" t="str">
        <f t="shared" si="410"/>
        <v>Capacity Charge Spring (kw-dy)</v>
      </c>
      <c r="AR629" s="78" t="str">
        <f t="shared" si="411"/>
        <v>Prorated</v>
      </c>
      <c r="AS629" s="79">
        <f t="shared" si="412"/>
        <v>6</v>
      </c>
      <c r="AT629" s="78">
        <f t="shared" si="413"/>
        <v>0</v>
      </c>
      <c r="AU629" s="78">
        <f t="shared" si="414"/>
        <v>0</v>
      </c>
      <c r="AV629" s="78">
        <f t="shared" si="415"/>
        <v>0</v>
      </c>
      <c r="AW629" s="78">
        <f t="shared" si="416"/>
        <v>0</v>
      </c>
      <c r="AX629" s="78">
        <f t="shared" si="417"/>
        <v>0</v>
      </c>
      <c r="AY629" s="78">
        <f t="shared" si="418"/>
        <v>0</v>
      </c>
      <c r="AZ629" s="78">
        <f t="shared" si="419"/>
        <v>0</v>
      </c>
      <c r="BA629" s="78">
        <f t="shared" si="420"/>
        <v>0</v>
      </c>
      <c r="BB629" s="78">
        <f t="shared" si="421"/>
        <v>0</v>
      </c>
      <c r="BC629" s="78">
        <f t="shared" si="422"/>
        <v>0</v>
      </c>
      <c r="BD629" s="78">
        <f t="shared" si="423"/>
        <v>0</v>
      </c>
      <c r="BE629" s="78">
        <f t="shared" si="424"/>
        <v>0</v>
      </c>
      <c r="BF629" s="88">
        <f t="shared" si="425"/>
        <v>0</v>
      </c>
      <c r="BG629" s="88">
        <f t="shared" si="426"/>
        <v>0</v>
      </c>
      <c r="BH629" s="88">
        <f t="shared" si="427"/>
        <v>0</v>
      </c>
      <c r="BI629" s="88">
        <f t="shared" si="428"/>
        <v>0</v>
      </c>
      <c r="BJ629" s="88">
        <f t="shared" si="429"/>
        <v>0</v>
      </c>
      <c r="BK629" s="88">
        <f t="shared" si="430"/>
        <v>0</v>
      </c>
      <c r="BL629" s="88">
        <f t="shared" si="431"/>
        <v>0</v>
      </c>
      <c r="BM629" s="88">
        <f t="shared" si="432"/>
        <v>0</v>
      </c>
      <c r="BN629" s="88">
        <f t="shared" si="433"/>
        <v>0</v>
      </c>
      <c r="BO629" s="88">
        <f t="shared" si="434"/>
        <v>0</v>
      </c>
      <c r="BP629" s="88">
        <f t="shared" si="435"/>
        <v>0</v>
      </c>
      <c r="BQ629" s="88">
        <f t="shared" si="436"/>
        <v>0</v>
      </c>
      <c r="BR629" s="88">
        <f t="shared" si="437"/>
        <v>0</v>
      </c>
      <c r="BS629" s="77"/>
      <c r="BT629" s="77"/>
    </row>
    <row r="630" spans="1:72" ht="14.1" customHeight="1" x14ac:dyDescent="0.2">
      <c r="A630" s="55" t="str">
        <f t="shared" si="408"/>
        <v>DS-6 (DS-4) Temp. Sensitive DS_Capacity Charge Spring (kw-dy)</v>
      </c>
      <c r="B630" s="80" t="s">
        <v>645</v>
      </c>
      <c r="C630" s="83" t="s">
        <v>917</v>
      </c>
      <c r="D630" s="151"/>
      <c r="E630" s="81"/>
      <c r="F630" s="73" t="s">
        <v>640</v>
      </c>
      <c r="G630" s="73">
        <v>0</v>
      </c>
      <c r="H630" s="73">
        <v>6</v>
      </c>
      <c r="I630" s="74" t="s">
        <v>641</v>
      </c>
      <c r="J630" s="75" t="s">
        <v>634</v>
      </c>
      <c r="K630" s="74"/>
      <c r="L630" s="82">
        <v>0</v>
      </c>
      <c r="M630" s="138">
        <v>0</v>
      </c>
      <c r="N630" s="138">
        <v>0</v>
      </c>
      <c r="O630" s="138">
        <v>0</v>
      </c>
      <c r="P630" s="138">
        <v>0</v>
      </c>
      <c r="Q630" s="138">
        <v>0</v>
      </c>
      <c r="R630" s="138">
        <v>0</v>
      </c>
      <c r="S630" s="138">
        <v>0</v>
      </c>
      <c r="T630" s="138">
        <v>0</v>
      </c>
      <c r="U630" s="138">
        <v>0</v>
      </c>
      <c r="V630" s="138">
        <v>0</v>
      </c>
      <c r="W630" s="138">
        <v>0</v>
      </c>
      <c r="X630" s="138">
        <v>0</v>
      </c>
      <c r="Y630" s="138">
        <f t="shared" si="438"/>
        <v>0</v>
      </c>
      <c r="Z630" s="138">
        <f t="shared" si="439"/>
        <v>0</v>
      </c>
      <c r="AA630" s="138">
        <f t="shared" si="440"/>
        <v>0</v>
      </c>
      <c r="AB630" s="138">
        <f t="shared" si="441"/>
        <v>0</v>
      </c>
      <c r="AC630" s="138">
        <f t="shared" si="442"/>
        <v>0</v>
      </c>
      <c r="AD630" s="138">
        <f t="shared" si="443"/>
        <v>0</v>
      </c>
      <c r="AE630" s="138">
        <f t="shared" si="444"/>
        <v>0</v>
      </c>
      <c r="AF630" s="138">
        <f t="shared" si="445"/>
        <v>0</v>
      </c>
      <c r="AG630" s="138">
        <f t="shared" si="446"/>
        <v>0</v>
      </c>
      <c r="AH630" s="138">
        <f t="shared" si="447"/>
        <v>0</v>
      </c>
      <c r="AI630" s="138">
        <f t="shared" si="448"/>
        <v>0</v>
      </c>
      <c r="AJ630" s="138">
        <f t="shared" si="455"/>
        <v>0</v>
      </c>
      <c r="AK630" s="138">
        <f t="shared" si="455"/>
        <v>0</v>
      </c>
      <c r="AL630" s="138">
        <f t="shared" si="453"/>
        <v>0</v>
      </c>
      <c r="AM630" s="138">
        <f t="shared" si="454"/>
        <v>0</v>
      </c>
      <c r="AO630" s="77" t="str">
        <f t="shared" si="409"/>
        <v>DS-6 (DS-4) Temp. Sensitive DS</v>
      </c>
      <c r="AP630" s="78" t="s">
        <v>646</v>
      </c>
      <c r="AQ630" s="77" t="str">
        <f t="shared" si="410"/>
        <v>Capacity Charge Spring (kw-dy)</v>
      </c>
      <c r="AR630" s="78" t="str">
        <f t="shared" si="411"/>
        <v>Prorated</v>
      </c>
      <c r="AS630" s="79">
        <f t="shared" si="412"/>
        <v>6</v>
      </c>
      <c r="AT630" s="78">
        <f t="shared" si="413"/>
        <v>0</v>
      </c>
      <c r="AU630" s="78">
        <f t="shared" si="414"/>
        <v>0</v>
      </c>
      <c r="AV630" s="78">
        <f t="shared" si="415"/>
        <v>0</v>
      </c>
      <c r="AW630" s="78">
        <f t="shared" si="416"/>
        <v>0</v>
      </c>
      <c r="AX630" s="78">
        <f t="shared" si="417"/>
        <v>0</v>
      </c>
      <c r="AY630" s="78">
        <f t="shared" si="418"/>
        <v>0</v>
      </c>
      <c r="AZ630" s="78">
        <f t="shared" si="419"/>
        <v>0</v>
      </c>
      <c r="BA630" s="78">
        <f t="shared" si="420"/>
        <v>0</v>
      </c>
      <c r="BB630" s="78">
        <f t="shared" si="421"/>
        <v>0</v>
      </c>
      <c r="BC630" s="78">
        <f t="shared" si="422"/>
        <v>0</v>
      </c>
      <c r="BD630" s="78">
        <f t="shared" si="423"/>
        <v>0</v>
      </c>
      <c r="BE630" s="78">
        <f t="shared" si="424"/>
        <v>0</v>
      </c>
      <c r="BF630" s="88">
        <f t="shared" si="425"/>
        <v>0</v>
      </c>
      <c r="BG630" s="88">
        <f t="shared" si="426"/>
        <v>0</v>
      </c>
      <c r="BH630" s="88">
        <f t="shared" si="427"/>
        <v>0</v>
      </c>
      <c r="BI630" s="88">
        <f t="shared" si="428"/>
        <v>0</v>
      </c>
      <c r="BJ630" s="88">
        <f t="shared" si="429"/>
        <v>0</v>
      </c>
      <c r="BK630" s="88">
        <f t="shared" si="430"/>
        <v>0</v>
      </c>
      <c r="BL630" s="88">
        <f t="shared" si="431"/>
        <v>0</v>
      </c>
      <c r="BM630" s="88">
        <f t="shared" si="432"/>
        <v>0</v>
      </c>
      <c r="BN630" s="88">
        <f t="shared" si="433"/>
        <v>0</v>
      </c>
      <c r="BO630" s="88">
        <f t="shared" si="434"/>
        <v>0</v>
      </c>
      <c r="BP630" s="88">
        <f t="shared" si="435"/>
        <v>0</v>
      </c>
      <c r="BQ630" s="88">
        <f t="shared" si="436"/>
        <v>0</v>
      </c>
      <c r="BR630" s="88">
        <f t="shared" si="437"/>
        <v>0</v>
      </c>
      <c r="BS630" s="77"/>
      <c r="BT630" s="77"/>
    </row>
    <row r="631" spans="1:72" ht="14.1" customHeight="1" x14ac:dyDescent="0.2">
      <c r="A631" s="55" t="str">
        <f t="shared" si="408"/>
        <v>DS-1 (Residential)_MAP-R (Delivery Service Cost Adjustment)</v>
      </c>
      <c r="B631" s="80" t="s">
        <v>90</v>
      </c>
      <c r="C631" s="83" t="s">
        <v>918</v>
      </c>
      <c r="D631" s="151"/>
      <c r="E631" s="81"/>
      <c r="F631" s="73" t="s">
        <v>649</v>
      </c>
      <c r="G631" s="73">
        <v>0</v>
      </c>
      <c r="H631" s="73">
        <v>6</v>
      </c>
      <c r="I631" s="74" t="s">
        <v>641</v>
      </c>
      <c r="J631" s="75" t="s">
        <v>634</v>
      </c>
      <c r="K631" s="74"/>
      <c r="L631" s="82">
        <v>0</v>
      </c>
      <c r="M631" s="138">
        <v>9.8000000000000004E-2</v>
      </c>
      <c r="N631" s="138">
        <v>9.8000000000000004E-2</v>
      </c>
      <c r="O631" s="138">
        <v>9.8000000000000004E-2</v>
      </c>
      <c r="P631" s="138">
        <v>9.8000000000000004E-2</v>
      </c>
      <c r="Q631" s="138">
        <v>9.8000000000000004E-2</v>
      </c>
      <c r="R631" s="138">
        <v>9.8000000000000004E-2</v>
      </c>
      <c r="S631" s="138">
        <v>9.8000000000000004E-2</v>
      </c>
      <c r="T631" s="138">
        <v>9.8000000000000004E-2</v>
      </c>
      <c r="U631" s="138">
        <v>9.8000000000000004E-2</v>
      </c>
      <c r="V631" s="138">
        <v>9.8000000000000004E-2</v>
      </c>
      <c r="W631" s="138">
        <v>9.8000000000000004E-2</v>
      </c>
      <c r="X631" s="138">
        <v>9.8000000000000004E-2</v>
      </c>
      <c r="Y631" s="138">
        <f t="shared" si="438"/>
        <v>9.8000000000000004E-2</v>
      </c>
      <c r="Z631" s="138">
        <f t="shared" si="439"/>
        <v>9.8000000000000004E-2</v>
      </c>
      <c r="AA631" s="138">
        <f t="shared" si="440"/>
        <v>9.8000000000000004E-2</v>
      </c>
      <c r="AB631" s="138">
        <f t="shared" si="441"/>
        <v>9.8000000000000004E-2</v>
      </c>
      <c r="AC631" s="138">
        <f t="shared" si="442"/>
        <v>9.8000000000000004E-2</v>
      </c>
      <c r="AD631" s="138">
        <f t="shared" si="443"/>
        <v>9.8000000000000004E-2</v>
      </c>
      <c r="AE631" s="138">
        <f t="shared" si="444"/>
        <v>9.8000000000000004E-2</v>
      </c>
      <c r="AF631" s="138">
        <f t="shared" si="445"/>
        <v>9.8000000000000004E-2</v>
      </c>
      <c r="AG631" s="138">
        <f t="shared" si="446"/>
        <v>9.8000000000000004E-2</v>
      </c>
      <c r="AH631" s="138">
        <f t="shared" si="447"/>
        <v>9.8000000000000004E-2</v>
      </c>
      <c r="AI631" s="138">
        <f t="shared" si="448"/>
        <v>9.8000000000000004E-2</v>
      </c>
      <c r="AJ631" s="138">
        <f t="shared" si="455"/>
        <v>9.8000000000000004E-2</v>
      </c>
      <c r="AK631" s="138">
        <f t="shared" si="455"/>
        <v>9.8000000000000004E-2</v>
      </c>
      <c r="AL631" s="138">
        <f t="shared" si="453"/>
        <v>9.799999999999999E-2</v>
      </c>
      <c r="AM631" s="138">
        <f t="shared" si="454"/>
        <v>9.8000000000000018E-2</v>
      </c>
      <c r="AO631" s="77" t="str">
        <f t="shared" si="409"/>
        <v>DS-1 (Residential)</v>
      </c>
      <c r="AP631" s="78" t="s">
        <v>662</v>
      </c>
      <c r="AQ631" s="77" t="str">
        <f t="shared" si="410"/>
        <v>MAP-R (Delivery Service Cost Adjustment)</v>
      </c>
      <c r="AR631" s="78" t="str">
        <f t="shared" si="411"/>
        <v>Billing Cycle</v>
      </c>
      <c r="AS631" s="79">
        <f t="shared" si="412"/>
        <v>6</v>
      </c>
      <c r="AT631" s="78">
        <f t="shared" si="413"/>
        <v>0</v>
      </c>
      <c r="AU631" s="78">
        <f t="shared" si="414"/>
        <v>9.8000000000000004E-2</v>
      </c>
      <c r="AV631" s="78">
        <f t="shared" si="415"/>
        <v>9.8000000000000004E-2</v>
      </c>
      <c r="AW631" s="78">
        <f t="shared" si="416"/>
        <v>9.8000000000000004E-2</v>
      </c>
      <c r="AX631" s="78">
        <f t="shared" si="417"/>
        <v>9.8000000000000004E-2</v>
      </c>
      <c r="AY631" s="78">
        <f t="shared" si="418"/>
        <v>9.8000000000000004E-2</v>
      </c>
      <c r="AZ631" s="78">
        <f t="shared" si="419"/>
        <v>9.8000000000000004E-2</v>
      </c>
      <c r="BA631" s="78">
        <f t="shared" si="420"/>
        <v>9.8000000000000004E-2</v>
      </c>
      <c r="BB631" s="78">
        <f t="shared" si="421"/>
        <v>9.8000000000000004E-2</v>
      </c>
      <c r="BC631" s="78">
        <f t="shared" si="422"/>
        <v>9.8000000000000004E-2</v>
      </c>
      <c r="BD631" s="78">
        <f t="shared" si="423"/>
        <v>9.8000000000000004E-2</v>
      </c>
      <c r="BE631" s="78">
        <f t="shared" si="424"/>
        <v>9.8000000000000004E-2</v>
      </c>
      <c r="BF631" s="88">
        <f t="shared" si="425"/>
        <v>9.8000000000000004E-2</v>
      </c>
      <c r="BG631" s="88">
        <f t="shared" si="426"/>
        <v>9.8000000000000004E-2</v>
      </c>
      <c r="BH631" s="88">
        <f t="shared" si="427"/>
        <v>9.8000000000000004E-2</v>
      </c>
      <c r="BI631" s="88">
        <f t="shared" si="428"/>
        <v>9.8000000000000004E-2</v>
      </c>
      <c r="BJ631" s="88">
        <f t="shared" si="429"/>
        <v>9.8000000000000004E-2</v>
      </c>
      <c r="BK631" s="88">
        <f t="shared" si="430"/>
        <v>9.8000000000000004E-2</v>
      </c>
      <c r="BL631" s="88">
        <f t="shared" si="431"/>
        <v>9.8000000000000004E-2</v>
      </c>
      <c r="BM631" s="88">
        <f t="shared" si="432"/>
        <v>9.8000000000000004E-2</v>
      </c>
      <c r="BN631" s="88">
        <f t="shared" si="433"/>
        <v>9.8000000000000004E-2</v>
      </c>
      <c r="BO631" s="88">
        <f t="shared" si="434"/>
        <v>9.8000000000000004E-2</v>
      </c>
      <c r="BP631" s="88">
        <f t="shared" si="435"/>
        <v>9.8000000000000004E-2</v>
      </c>
      <c r="BQ631" s="88">
        <f t="shared" si="436"/>
        <v>9.8000000000000004E-2</v>
      </c>
      <c r="BR631" s="88">
        <f t="shared" si="437"/>
        <v>9.8000000000000004E-2</v>
      </c>
      <c r="BS631" s="77"/>
      <c r="BT631" s="77"/>
    </row>
    <row r="632" spans="1:72" ht="14.1" customHeight="1" x14ac:dyDescent="0.2">
      <c r="A632" s="55" t="str">
        <f t="shared" si="408"/>
        <v>DS-2 (Small General Service)_MAP-R (Delivery Service Cost Adjustment)</v>
      </c>
      <c r="B632" s="80" t="s">
        <v>665</v>
      </c>
      <c r="C632" s="83" t="s">
        <v>918</v>
      </c>
      <c r="D632" s="151"/>
      <c r="E632" s="81"/>
      <c r="F632" s="73" t="s">
        <v>649</v>
      </c>
      <c r="G632" s="73">
        <v>0</v>
      </c>
      <c r="H632" s="73">
        <v>6</v>
      </c>
      <c r="I632" s="74" t="s">
        <v>641</v>
      </c>
      <c r="J632" s="75" t="s">
        <v>634</v>
      </c>
      <c r="K632" s="74"/>
      <c r="L632" s="82">
        <v>0</v>
      </c>
      <c r="M632" s="138">
        <v>9.8000000000000004E-2</v>
      </c>
      <c r="N632" s="138">
        <v>9.8000000000000004E-2</v>
      </c>
      <c r="O632" s="138">
        <v>9.8000000000000004E-2</v>
      </c>
      <c r="P632" s="138">
        <v>9.8000000000000004E-2</v>
      </c>
      <c r="Q632" s="138">
        <v>9.8000000000000004E-2</v>
      </c>
      <c r="R632" s="138">
        <v>9.8000000000000004E-2</v>
      </c>
      <c r="S632" s="138">
        <v>9.8000000000000004E-2</v>
      </c>
      <c r="T632" s="138">
        <v>9.8000000000000004E-2</v>
      </c>
      <c r="U632" s="138">
        <v>9.8000000000000004E-2</v>
      </c>
      <c r="V632" s="138">
        <v>9.8000000000000004E-2</v>
      </c>
      <c r="W632" s="138">
        <v>9.8000000000000004E-2</v>
      </c>
      <c r="X632" s="138">
        <v>9.8000000000000004E-2</v>
      </c>
      <c r="Y632" s="138">
        <f t="shared" si="438"/>
        <v>9.8000000000000004E-2</v>
      </c>
      <c r="Z632" s="138">
        <f t="shared" si="439"/>
        <v>9.8000000000000004E-2</v>
      </c>
      <c r="AA632" s="138">
        <f t="shared" si="440"/>
        <v>9.8000000000000004E-2</v>
      </c>
      <c r="AB632" s="138">
        <f t="shared" si="441"/>
        <v>9.8000000000000004E-2</v>
      </c>
      <c r="AC632" s="138">
        <f t="shared" si="442"/>
        <v>9.8000000000000004E-2</v>
      </c>
      <c r="AD632" s="138">
        <f t="shared" si="443"/>
        <v>9.8000000000000004E-2</v>
      </c>
      <c r="AE632" s="138">
        <f t="shared" si="444"/>
        <v>9.8000000000000004E-2</v>
      </c>
      <c r="AF632" s="138">
        <f t="shared" si="445"/>
        <v>9.8000000000000004E-2</v>
      </c>
      <c r="AG632" s="138">
        <f t="shared" si="446"/>
        <v>9.8000000000000004E-2</v>
      </c>
      <c r="AH632" s="138">
        <f t="shared" si="447"/>
        <v>9.8000000000000004E-2</v>
      </c>
      <c r="AI632" s="138">
        <f t="shared" si="448"/>
        <v>9.8000000000000004E-2</v>
      </c>
      <c r="AJ632" s="138">
        <f t="shared" si="455"/>
        <v>9.8000000000000004E-2</v>
      </c>
      <c r="AK632" s="138">
        <f t="shared" si="455"/>
        <v>9.8000000000000004E-2</v>
      </c>
      <c r="AL632" s="138">
        <f t="shared" si="453"/>
        <v>9.799999999999999E-2</v>
      </c>
      <c r="AM632" s="138">
        <f t="shared" si="454"/>
        <v>9.8000000000000018E-2</v>
      </c>
      <c r="AO632" s="77" t="str">
        <f t="shared" si="409"/>
        <v>DS-2 (Small General Service)</v>
      </c>
      <c r="AP632" s="78" t="s">
        <v>664</v>
      </c>
      <c r="AQ632" s="77" t="str">
        <f t="shared" si="410"/>
        <v>MAP-R (Delivery Service Cost Adjustment)</v>
      </c>
      <c r="AR632" s="78" t="str">
        <f t="shared" si="411"/>
        <v>Billing Cycle</v>
      </c>
      <c r="AS632" s="79">
        <f t="shared" si="412"/>
        <v>6</v>
      </c>
      <c r="AT632" s="78">
        <f t="shared" si="413"/>
        <v>0</v>
      </c>
      <c r="AU632" s="78">
        <f t="shared" si="414"/>
        <v>9.8000000000000004E-2</v>
      </c>
      <c r="AV632" s="78">
        <f t="shared" si="415"/>
        <v>9.8000000000000004E-2</v>
      </c>
      <c r="AW632" s="78">
        <f t="shared" si="416"/>
        <v>9.8000000000000004E-2</v>
      </c>
      <c r="AX632" s="78">
        <f t="shared" si="417"/>
        <v>9.8000000000000004E-2</v>
      </c>
      <c r="AY632" s="78">
        <f t="shared" si="418"/>
        <v>9.8000000000000004E-2</v>
      </c>
      <c r="AZ632" s="78">
        <f t="shared" si="419"/>
        <v>9.8000000000000004E-2</v>
      </c>
      <c r="BA632" s="78">
        <f t="shared" si="420"/>
        <v>9.8000000000000004E-2</v>
      </c>
      <c r="BB632" s="78">
        <f t="shared" si="421"/>
        <v>9.8000000000000004E-2</v>
      </c>
      <c r="BC632" s="78">
        <f t="shared" si="422"/>
        <v>9.8000000000000004E-2</v>
      </c>
      <c r="BD632" s="78">
        <f t="shared" si="423"/>
        <v>9.8000000000000004E-2</v>
      </c>
      <c r="BE632" s="78">
        <f t="shared" si="424"/>
        <v>9.8000000000000004E-2</v>
      </c>
      <c r="BF632" s="88">
        <f t="shared" si="425"/>
        <v>9.8000000000000004E-2</v>
      </c>
      <c r="BG632" s="88">
        <f t="shared" si="426"/>
        <v>9.8000000000000004E-2</v>
      </c>
      <c r="BH632" s="88">
        <f t="shared" si="427"/>
        <v>9.8000000000000004E-2</v>
      </c>
      <c r="BI632" s="88">
        <f t="shared" si="428"/>
        <v>9.8000000000000004E-2</v>
      </c>
      <c r="BJ632" s="88">
        <f t="shared" si="429"/>
        <v>9.8000000000000004E-2</v>
      </c>
      <c r="BK632" s="88">
        <f t="shared" si="430"/>
        <v>9.8000000000000004E-2</v>
      </c>
      <c r="BL632" s="88">
        <f t="shared" si="431"/>
        <v>9.8000000000000004E-2</v>
      </c>
      <c r="BM632" s="88">
        <f t="shared" si="432"/>
        <v>9.8000000000000004E-2</v>
      </c>
      <c r="BN632" s="88">
        <f t="shared" si="433"/>
        <v>9.8000000000000004E-2</v>
      </c>
      <c r="BO632" s="88">
        <f t="shared" si="434"/>
        <v>9.8000000000000004E-2</v>
      </c>
      <c r="BP632" s="88">
        <f t="shared" si="435"/>
        <v>9.8000000000000004E-2</v>
      </c>
      <c r="BQ632" s="88">
        <f t="shared" si="436"/>
        <v>9.8000000000000004E-2</v>
      </c>
      <c r="BR632" s="88">
        <f t="shared" si="437"/>
        <v>9.8000000000000004E-2</v>
      </c>
      <c r="BS632" s="77"/>
      <c r="BT632" s="77"/>
    </row>
    <row r="633" spans="1:72" ht="14.1" customHeight="1" x14ac:dyDescent="0.2">
      <c r="A633" s="55" t="str">
        <f t="shared" si="408"/>
        <v>DS-2 Optional (Small General Service)_MAP-R (Delivery Service Cost Adjustment)</v>
      </c>
      <c r="B633" s="80" t="s">
        <v>663</v>
      </c>
      <c r="C633" s="83" t="s">
        <v>918</v>
      </c>
      <c r="D633" s="151"/>
      <c r="E633" s="81"/>
      <c r="F633" s="73" t="s">
        <v>649</v>
      </c>
      <c r="G633" s="73">
        <v>0</v>
      </c>
      <c r="H633" s="73">
        <v>6</v>
      </c>
      <c r="I633" s="74" t="s">
        <v>641</v>
      </c>
      <c r="J633" s="75" t="s">
        <v>634</v>
      </c>
      <c r="K633" s="74"/>
      <c r="L633" s="82">
        <v>0</v>
      </c>
      <c r="M633" s="138">
        <v>9.8000000000000004E-2</v>
      </c>
      <c r="N633" s="138">
        <v>9.8000000000000004E-2</v>
      </c>
      <c r="O633" s="138">
        <v>9.8000000000000004E-2</v>
      </c>
      <c r="P633" s="138">
        <v>9.8000000000000004E-2</v>
      </c>
      <c r="Q633" s="138">
        <v>9.8000000000000004E-2</v>
      </c>
      <c r="R633" s="138">
        <v>9.8000000000000004E-2</v>
      </c>
      <c r="S633" s="138">
        <v>9.8000000000000004E-2</v>
      </c>
      <c r="T633" s="138">
        <v>9.8000000000000004E-2</v>
      </c>
      <c r="U633" s="138">
        <v>9.8000000000000004E-2</v>
      </c>
      <c r="V633" s="138">
        <v>9.8000000000000004E-2</v>
      </c>
      <c r="W633" s="138">
        <v>9.8000000000000004E-2</v>
      </c>
      <c r="X633" s="138">
        <v>9.8000000000000004E-2</v>
      </c>
      <c r="Y633" s="138">
        <f t="shared" si="438"/>
        <v>9.8000000000000004E-2</v>
      </c>
      <c r="Z633" s="138">
        <f t="shared" si="439"/>
        <v>9.8000000000000004E-2</v>
      </c>
      <c r="AA633" s="138">
        <f t="shared" si="440"/>
        <v>9.8000000000000004E-2</v>
      </c>
      <c r="AB633" s="138">
        <f t="shared" si="441"/>
        <v>9.8000000000000004E-2</v>
      </c>
      <c r="AC633" s="138">
        <f t="shared" si="442"/>
        <v>9.8000000000000004E-2</v>
      </c>
      <c r="AD633" s="138">
        <f t="shared" si="443"/>
        <v>9.8000000000000004E-2</v>
      </c>
      <c r="AE633" s="138">
        <f t="shared" si="444"/>
        <v>9.8000000000000004E-2</v>
      </c>
      <c r="AF633" s="138">
        <f t="shared" si="445"/>
        <v>9.8000000000000004E-2</v>
      </c>
      <c r="AG633" s="138">
        <f t="shared" si="446"/>
        <v>9.8000000000000004E-2</v>
      </c>
      <c r="AH633" s="138">
        <f t="shared" si="447"/>
        <v>9.8000000000000004E-2</v>
      </c>
      <c r="AI633" s="138">
        <f t="shared" si="448"/>
        <v>9.8000000000000004E-2</v>
      </c>
      <c r="AJ633" s="138">
        <f t="shared" si="455"/>
        <v>9.8000000000000004E-2</v>
      </c>
      <c r="AK633" s="138">
        <f t="shared" si="455"/>
        <v>9.8000000000000004E-2</v>
      </c>
      <c r="AL633" s="138">
        <f t="shared" si="453"/>
        <v>9.799999999999999E-2</v>
      </c>
      <c r="AM633" s="138">
        <f t="shared" si="454"/>
        <v>9.8000000000000018E-2</v>
      </c>
      <c r="AO633" s="77" t="str">
        <f t="shared" si="409"/>
        <v>DS-2 Optional (Small General Service)</v>
      </c>
      <c r="AP633" s="78" t="s">
        <v>664</v>
      </c>
      <c r="AQ633" s="77" t="str">
        <f t="shared" si="410"/>
        <v>MAP-R (Delivery Service Cost Adjustment)</v>
      </c>
      <c r="AR633" s="78" t="str">
        <f t="shared" si="411"/>
        <v>Billing Cycle</v>
      </c>
      <c r="AS633" s="79">
        <f t="shared" si="412"/>
        <v>6</v>
      </c>
      <c r="AT633" s="78">
        <f t="shared" si="413"/>
        <v>0</v>
      </c>
      <c r="AU633" s="78">
        <f t="shared" si="414"/>
        <v>9.8000000000000004E-2</v>
      </c>
      <c r="AV633" s="78">
        <f t="shared" si="415"/>
        <v>9.8000000000000004E-2</v>
      </c>
      <c r="AW633" s="78">
        <f t="shared" si="416"/>
        <v>9.8000000000000004E-2</v>
      </c>
      <c r="AX633" s="78">
        <f t="shared" si="417"/>
        <v>9.8000000000000004E-2</v>
      </c>
      <c r="AY633" s="78">
        <f t="shared" si="418"/>
        <v>9.8000000000000004E-2</v>
      </c>
      <c r="AZ633" s="78">
        <f t="shared" si="419"/>
        <v>9.8000000000000004E-2</v>
      </c>
      <c r="BA633" s="78">
        <f t="shared" si="420"/>
        <v>9.8000000000000004E-2</v>
      </c>
      <c r="BB633" s="78">
        <f t="shared" si="421"/>
        <v>9.8000000000000004E-2</v>
      </c>
      <c r="BC633" s="78">
        <f t="shared" si="422"/>
        <v>9.8000000000000004E-2</v>
      </c>
      <c r="BD633" s="78">
        <f t="shared" si="423"/>
        <v>9.8000000000000004E-2</v>
      </c>
      <c r="BE633" s="78">
        <f t="shared" si="424"/>
        <v>9.8000000000000004E-2</v>
      </c>
      <c r="BF633" s="88">
        <f t="shared" si="425"/>
        <v>9.8000000000000004E-2</v>
      </c>
      <c r="BG633" s="88">
        <f t="shared" si="426"/>
        <v>9.8000000000000004E-2</v>
      </c>
      <c r="BH633" s="88">
        <f t="shared" si="427"/>
        <v>9.8000000000000004E-2</v>
      </c>
      <c r="BI633" s="88">
        <f t="shared" si="428"/>
        <v>9.8000000000000004E-2</v>
      </c>
      <c r="BJ633" s="88">
        <f t="shared" si="429"/>
        <v>9.8000000000000004E-2</v>
      </c>
      <c r="BK633" s="88">
        <f t="shared" si="430"/>
        <v>9.8000000000000004E-2</v>
      </c>
      <c r="BL633" s="88">
        <f t="shared" si="431"/>
        <v>9.8000000000000004E-2</v>
      </c>
      <c r="BM633" s="88">
        <f t="shared" si="432"/>
        <v>9.8000000000000004E-2</v>
      </c>
      <c r="BN633" s="88">
        <f t="shared" si="433"/>
        <v>9.8000000000000004E-2</v>
      </c>
      <c r="BO633" s="88">
        <f t="shared" si="434"/>
        <v>9.8000000000000004E-2</v>
      </c>
      <c r="BP633" s="88">
        <f t="shared" si="435"/>
        <v>9.8000000000000004E-2</v>
      </c>
      <c r="BQ633" s="88">
        <f t="shared" si="436"/>
        <v>9.8000000000000004E-2</v>
      </c>
      <c r="BR633" s="88">
        <f t="shared" si="437"/>
        <v>9.8000000000000004E-2</v>
      </c>
      <c r="BS633" s="77"/>
      <c r="BT633" s="77"/>
    </row>
    <row r="634" spans="1:72" ht="14.1" customHeight="1" x14ac:dyDescent="0.2">
      <c r="A634" s="55" t="str">
        <f t="shared" si="408"/>
        <v>DS-3 (General Delivery Service)_MAP-R (Delivery Service Cost Adjustment)</v>
      </c>
      <c r="B634" s="80" t="s">
        <v>666</v>
      </c>
      <c r="C634" s="83" t="s">
        <v>918</v>
      </c>
      <c r="D634" s="151"/>
      <c r="E634" s="81"/>
      <c r="F634" s="73" t="s">
        <v>649</v>
      </c>
      <c r="G634" s="73">
        <v>0</v>
      </c>
      <c r="H634" s="73">
        <v>6</v>
      </c>
      <c r="I634" s="74" t="s">
        <v>641</v>
      </c>
      <c r="J634" s="75" t="s">
        <v>634</v>
      </c>
      <c r="K634" s="74"/>
      <c r="L634" s="82">
        <v>0</v>
      </c>
      <c r="M634" s="138">
        <v>9.8000000000000004E-2</v>
      </c>
      <c r="N634" s="138">
        <v>9.8000000000000004E-2</v>
      </c>
      <c r="O634" s="138">
        <v>9.8000000000000004E-2</v>
      </c>
      <c r="P634" s="138">
        <v>9.8000000000000004E-2</v>
      </c>
      <c r="Q634" s="138">
        <v>9.8000000000000004E-2</v>
      </c>
      <c r="R634" s="138">
        <v>9.8000000000000004E-2</v>
      </c>
      <c r="S634" s="138">
        <v>9.8000000000000004E-2</v>
      </c>
      <c r="T634" s="138">
        <v>9.8000000000000004E-2</v>
      </c>
      <c r="U634" s="138">
        <v>9.8000000000000004E-2</v>
      </c>
      <c r="V634" s="138">
        <v>9.8000000000000004E-2</v>
      </c>
      <c r="W634" s="138">
        <v>9.8000000000000004E-2</v>
      </c>
      <c r="X634" s="138">
        <v>9.8000000000000004E-2</v>
      </c>
      <c r="Y634" s="138">
        <f t="shared" si="438"/>
        <v>9.8000000000000004E-2</v>
      </c>
      <c r="Z634" s="138">
        <f t="shared" si="439"/>
        <v>9.8000000000000004E-2</v>
      </c>
      <c r="AA634" s="138">
        <f t="shared" si="440"/>
        <v>9.8000000000000004E-2</v>
      </c>
      <c r="AB634" s="138">
        <f t="shared" si="441"/>
        <v>9.8000000000000004E-2</v>
      </c>
      <c r="AC634" s="138">
        <f t="shared" si="442"/>
        <v>9.8000000000000004E-2</v>
      </c>
      <c r="AD634" s="138">
        <f t="shared" si="443"/>
        <v>9.8000000000000004E-2</v>
      </c>
      <c r="AE634" s="138">
        <f t="shared" si="444"/>
        <v>9.8000000000000004E-2</v>
      </c>
      <c r="AF634" s="138">
        <f t="shared" si="445"/>
        <v>9.8000000000000004E-2</v>
      </c>
      <c r="AG634" s="138">
        <f t="shared" si="446"/>
        <v>9.8000000000000004E-2</v>
      </c>
      <c r="AH634" s="138">
        <f t="shared" si="447"/>
        <v>9.8000000000000004E-2</v>
      </c>
      <c r="AI634" s="138">
        <f t="shared" si="448"/>
        <v>9.8000000000000004E-2</v>
      </c>
      <c r="AJ634" s="138">
        <f t="shared" si="455"/>
        <v>9.8000000000000004E-2</v>
      </c>
      <c r="AK634" s="138">
        <f t="shared" si="455"/>
        <v>9.8000000000000004E-2</v>
      </c>
      <c r="AL634" s="138">
        <f t="shared" si="453"/>
        <v>9.799999999999999E-2</v>
      </c>
      <c r="AM634" s="138">
        <f t="shared" si="454"/>
        <v>9.8000000000000018E-2</v>
      </c>
      <c r="AO634" s="77" t="str">
        <f t="shared" si="409"/>
        <v>DS-3 (General Delivery Service)</v>
      </c>
      <c r="AP634" s="78" t="s">
        <v>667</v>
      </c>
      <c r="AQ634" s="77" t="str">
        <f t="shared" si="410"/>
        <v>MAP-R (Delivery Service Cost Adjustment)</v>
      </c>
      <c r="AR634" s="78" t="str">
        <f t="shared" si="411"/>
        <v>Billing Cycle</v>
      </c>
      <c r="AS634" s="79">
        <f t="shared" si="412"/>
        <v>6</v>
      </c>
      <c r="AT634" s="78">
        <f t="shared" si="413"/>
        <v>0</v>
      </c>
      <c r="AU634" s="78">
        <f t="shared" si="414"/>
        <v>9.8000000000000004E-2</v>
      </c>
      <c r="AV634" s="78">
        <f t="shared" si="415"/>
        <v>9.8000000000000004E-2</v>
      </c>
      <c r="AW634" s="78">
        <f t="shared" si="416"/>
        <v>9.8000000000000004E-2</v>
      </c>
      <c r="AX634" s="78">
        <f t="shared" si="417"/>
        <v>9.8000000000000004E-2</v>
      </c>
      <c r="AY634" s="78">
        <f t="shared" si="418"/>
        <v>9.8000000000000004E-2</v>
      </c>
      <c r="AZ634" s="78">
        <f t="shared" si="419"/>
        <v>9.8000000000000004E-2</v>
      </c>
      <c r="BA634" s="78">
        <f t="shared" si="420"/>
        <v>9.8000000000000004E-2</v>
      </c>
      <c r="BB634" s="78">
        <f t="shared" si="421"/>
        <v>9.8000000000000004E-2</v>
      </c>
      <c r="BC634" s="78">
        <f t="shared" si="422"/>
        <v>9.8000000000000004E-2</v>
      </c>
      <c r="BD634" s="78">
        <f t="shared" si="423"/>
        <v>9.8000000000000004E-2</v>
      </c>
      <c r="BE634" s="78">
        <f t="shared" si="424"/>
        <v>9.8000000000000004E-2</v>
      </c>
      <c r="BF634" s="88">
        <f t="shared" si="425"/>
        <v>9.8000000000000004E-2</v>
      </c>
      <c r="BG634" s="88">
        <f t="shared" si="426"/>
        <v>9.8000000000000004E-2</v>
      </c>
      <c r="BH634" s="88">
        <f t="shared" si="427"/>
        <v>9.8000000000000004E-2</v>
      </c>
      <c r="BI634" s="88">
        <f t="shared" si="428"/>
        <v>9.8000000000000004E-2</v>
      </c>
      <c r="BJ634" s="88">
        <f t="shared" si="429"/>
        <v>9.8000000000000004E-2</v>
      </c>
      <c r="BK634" s="88">
        <f t="shared" si="430"/>
        <v>9.8000000000000004E-2</v>
      </c>
      <c r="BL634" s="88">
        <f t="shared" si="431"/>
        <v>9.8000000000000004E-2</v>
      </c>
      <c r="BM634" s="88">
        <f t="shared" si="432"/>
        <v>9.8000000000000004E-2</v>
      </c>
      <c r="BN634" s="88">
        <f t="shared" si="433"/>
        <v>9.8000000000000004E-2</v>
      </c>
      <c r="BO634" s="88">
        <f t="shared" si="434"/>
        <v>9.8000000000000004E-2</v>
      </c>
      <c r="BP634" s="88">
        <f t="shared" si="435"/>
        <v>9.8000000000000004E-2</v>
      </c>
      <c r="BQ634" s="88">
        <f t="shared" si="436"/>
        <v>9.8000000000000004E-2</v>
      </c>
      <c r="BR634" s="88">
        <f t="shared" si="437"/>
        <v>9.8000000000000004E-2</v>
      </c>
      <c r="BS634" s="77"/>
      <c r="BT634" s="77"/>
    </row>
    <row r="635" spans="1:72" ht="14.1" customHeight="1" x14ac:dyDescent="0.2">
      <c r="A635" s="55" t="str">
        <f t="shared" si="408"/>
        <v>DS-4 (Large General Service)_MAP-R (Delivery Service Cost Adjustment)</v>
      </c>
      <c r="B635" s="80" t="s">
        <v>639</v>
      </c>
      <c r="C635" s="83" t="s">
        <v>918</v>
      </c>
      <c r="D635" s="151"/>
      <c r="E635" s="81"/>
      <c r="F635" s="73" t="s">
        <v>649</v>
      </c>
      <c r="G635" s="73">
        <v>0</v>
      </c>
      <c r="H635" s="73">
        <v>6</v>
      </c>
      <c r="I635" s="74" t="s">
        <v>641</v>
      </c>
      <c r="J635" s="75" t="s">
        <v>634</v>
      </c>
      <c r="K635" s="74"/>
      <c r="L635" s="82">
        <v>0</v>
      </c>
      <c r="M635" s="138">
        <v>9.8000000000000004E-2</v>
      </c>
      <c r="N635" s="138">
        <v>9.8000000000000004E-2</v>
      </c>
      <c r="O635" s="138">
        <v>9.8000000000000004E-2</v>
      </c>
      <c r="P635" s="138">
        <v>9.8000000000000004E-2</v>
      </c>
      <c r="Q635" s="138">
        <v>9.8000000000000004E-2</v>
      </c>
      <c r="R635" s="138">
        <v>9.8000000000000004E-2</v>
      </c>
      <c r="S635" s="138">
        <v>9.8000000000000004E-2</v>
      </c>
      <c r="T635" s="138">
        <v>9.8000000000000004E-2</v>
      </c>
      <c r="U635" s="138">
        <v>9.8000000000000004E-2</v>
      </c>
      <c r="V635" s="138">
        <v>9.8000000000000004E-2</v>
      </c>
      <c r="W635" s="138">
        <v>9.8000000000000004E-2</v>
      </c>
      <c r="X635" s="138">
        <v>9.8000000000000004E-2</v>
      </c>
      <c r="Y635" s="138">
        <f t="shared" si="438"/>
        <v>9.8000000000000004E-2</v>
      </c>
      <c r="Z635" s="138">
        <f t="shared" si="439"/>
        <v>9.8000000000000004E-2</v>
      </c>
      <c r="AA635" s="138">
        <f t="shared" si="440"/>
        <v>9.8000000000000004E-2</v>
      </c>
      <c r="AB635" s="138">
        <f t="shared" si="441"/>
        <v>9.8000000000000004E-2</v>
      </c>
      <c r="AC635" s="138">
        <f t="shared" si="442"/>
        <v>9.8000000000000004E-2</v>
      </c>
      <c r="AD635" s="138">
        <f t="shared" si="443"/>
        <v>9.8000000000000004E-2</v>
      </c>
      <c r="AE635" s="138">
        <f t="shared" si="444"/>
        <v>9.8000000000000004E-2</v>
      </c>
      <c r="AF635" s="138">
        <f t="shared" si="445"/>
        <v>9.8000000000000004E-2</v>
      </c>
      <c r="AG635" s="138">
        <f t="shared" si="446"/>
        <v>9.8000000000000004E-2</v>
      </c>
      <c r="AH635" s="138">
        <f t="shared" si="447"/>
        <v>9.8000000000000004E-2</v>
      </c>
      <c r="AI635" s="138">
        <f t="shared" si="448"/>
        <v>9.8000000000000004E-2</v>
      </c>
      <c r="AJ635" s="138">
        <f t="shared" si="455"/>
        <v>9.8000000000000004E-2</v>
      </c>
      <c r="AK635" s="138">
        <f t="shared" si="455"/>
        <v>9.8000000000000004E-2</v>
      </c>
      <c r="AL635" s="138">
        <f t="shared" si="453"/>
        <v>9.799999999999999E-2</v>
      </c>
      <c r="AM635" s="138">
        <f t="shared" si="454"/>
        <v>9.8000000000000018E-2</v>
      </c>
      <c r="AO635" s="77" t="str">
        <f t="shared" si="409"/>
        <v>DS-4 (Large General Service)</v>
      </c>
      <c r="AP635" s="78" t="s">
        <v>642</v>
      </c>
      <c r="AQ635" s="77" t="str">
        <f t="shared" si="410"/>
        <v>MAP-R (Delivery Service Cost Adjustment)</v>
      </c>
      <c r="AR635" s="78" t="str">
        <f t="shared" ref="AR635:AR662" si="456">IF(B635="","",F635)</f>
        <v>Billing Cycle</v>
      </c>
      <c r="AS635" s="79">
        <f t="shared" ref="AS635:AS662" si="457">IF(B635="","",H635)</f>
        <v>6</v>
      </c>
      <c r="AT635" s="78">
        <f t="shared" ref="AT635:AT662" si="458">IF(B635="","",ROUND(L635,$H$6))</f>
        <v>0</v>
      </c>
      <c r="AU635" s="78">
        <f t="shared" ref="AU635:AU662" si="459">IF($B635="","",ROUND(IF(M635="",AT635,M635),$H635))</f>
        <v>9.8000000000000004E-2</v>
      </c>
      <c r="AV635" s="78">
        <f t="shared" ref="AV635:AV662" si="460">IF($B635="","",ROUND(IF(N635="",AU635,N635),$H635))</f>
        <v>9.8000000000000004E-2</v>
      </c>
      <c r="AW635" s="78">
        <f t="shared" ref="AW635:AW662" si="461">IF($B635="","",ROUND(IF(O635="",AV635,O635),$H635))</f>
        <v>9.8000000000000004E-2</v>
      </c>
      <c r="AX635" s="78">
        <f t="shared" ref="AX635:AX662" si="462">IF($B635="","",ROUND(IF(P635="",AW635,P635),$H635))</f>
        <v>9.8000000000000004E-2</v>
      </c>
      <c r="AY635" s="78">
        <f t="shared" ref="AY635:AY662" si="463">IF($B635="","",ROUND(IF(Q635="",AX635,Q635),$H635))</f>
        <v>9.8000000000000004E-2</v>
      </c>
      <c r="AZ635" s="78">
        <f t="shared" ref="AZ635:AZ662" si="464">IF($B635="","",ROUND(IF(R635="",AY635,R635),$H635))</f>
        <v>9.8000000000000004E-2</v>
      </c>
      <c r="BA635" s="78">
        <f t="shared" ref="BA635:BA662" si="465">IF($B635="","",ROUND(IF(S635="",AZ635,S635),$H635))</f>
        <v>9.8000000000000004E-2</v>
      </c>
      <c r="BB635" s="78">
        <f t="shared" ref="BB635:BB662" si="466">IF($B635="","",ROUND(IF(T635="",BA635,T635),$H635))</f>
        <v>9.8000000000000004E-2</v>
      </c>
      <c r="BC635" s="78">
        <f t="shared" ref="BC635:BC662" si="467">IF($B635="","",ROUND(IF(U635="",BB635,U635),$H635))</f>
        <v>9.8000000000000004E-2</v>
      </c>
      <c r="BD635" s="78">
        <f t="shared" ref="BD635:BD662" si="468">IF($B635="","",ROUND(IF(V635="",BC635,V635),$H635))</f>
        <v>9.8000000000000004E-2</v>
      </c>
      <c r="BE635" s="78">
        <f t="shared" ref="BE635:BE662" si="469">IF($B635="","",ROUND(IF(W635="",BD635,W635),$H635))</f>
        <v>9.8000000000000004E-2</v>
      </c>
      <c r="BF635" s="88">
        <f t="shared" ref="BF635:BF662" si="470">IF($B635="","",ROUND(IF(X635="",BE635,X635),$H635))</f>
        <v>9.8000000000000004E-2</v>
      </c>
      <c r="BG635" s="88">
        <f t="shared" ref="BG635:BG662" si="471">IF($B635="","",ROUND(IF(Y635="",BF635,Y635),$H635))</f>
        <v>9.8000000000000004E-2</v>
      </c>
      <c r="BH635" s="88">
        <f t="shared" ref="BH635:BH662" si="472">IF($B635="","",ROUND(IF(Z635="",BG635,Z635),$H635))</f>
        <v>9.8000000000000004E-2</v>
      </c>
      <c r="BI635" s="88">
        <f t="shared" ref="BI635:BI662" si="473">IF($B635="","",ROUND(IF(AA635="",BH635,AA635),$H635))</f>
        <v>9.8000000000000004E-2</v>
      </c>
      <c r="BJ635" s="88">
        <f t="shared" ref="BJ635:BJ662" si="474">IF($B635="","",ROUND(IF(AB635="",BI635,AB635),$H635))</f>
        <v>9.8000000000000004E-2</v>
      </c>
      <c r="BK635" s="88">
        <f t="shared" ref="BK635:BK662" si="475">IF($B635="","",ROUND(IF(AC635="",BJ635,AC635),$H635))</f>
        <v>9.8000000000000004E-2</v>
      </c>
      <c r="BL635" s="88">
        <f t="shared" ref="BL635:BL662" si="476">IF($B635="","",ROUND(IF(AD635="",BK635,AD635),$H635))</f>
        <v>9.8000000000000004E-2</v>
      </c>
      <c r="BM635" s="88">
        <f t="shared" ref="BM635:BM662" si="477">IF($B635="","",ROUND(IF(AE635="",BL635,AE635),$H635))</f>
        <v>9.8000000000000004E-2</v>
      </c>
      <c r="BN635" s="88">
        <f t="shared" ref="BN635:BN662" si="478">IF($B635="","",ROUND(IF(AF635="",BM635,AF635),$H635))</f>
        <v>9.8000000000000004E-2</v>
      </c>
      <c r="BO635" s="88">
        <f t="shared" ref="BO635:BO662" si="479">IF($B635="","",ROUND(IF(AG635="",BN635,AG635),$H635))</f>
        <v>9.8000000000000004E-2</v>
      </c>
      <c r="BP635" s="88">
        <f t="shared" ref="BP635:BP662" si="480">IF($B635="","",ROUND(IF(AH635="",BO635,AH635),$H635))</f>
        <v>9.8000000000000004E-2</v>
      </c>
      <c r="BQ635" s="88">
        <f t="shared" ref="BQ635:BQ662" si="481">IF($B635="","",ROUND(IF(AI635="",BP635,AI635),$H635))</f>
        <v>9.8000000000000004E-2</v>
      </c>
      <c r="BR635" s="88">
        <f t="shared" ref="BR635:BR662" si="482">IF($B635="","",ROUND(IF(AJ635="",BQ635,AJ635),$H635))</f>
        <v>9.8000000000000004E-2</v>
      </c>
      <c r="BS635" s="77"/>
      <c r="BT635" s="77"/>
    </row>
    <row r="636" spans="1:72" ht="14.1" customHeight="1" x14ac:dyDescent="0.2">
      <c r="A636" s="55" t="str">
        <f t="shared" si="408"/>
        <v>DS-6 (DS-3) Temp. Sensitive DS_MAP-R (Delivery Service Cost Adjustment)</v>
      </c>
      <c r="B636" s="80" t="s">
        <v>643</v>
      </c>
      <c r="C636" s="83" t="s">
        <v>918</v>
      </c>
      <c r="D636" s="151"/>
      <c r="E636" s="81"/>
      <c r="F636" s="73" t="s">
        <v>649</v>
      </c>
      <c r="G636" s="73">
        <v>0</v>
      </c>
      <c r="H636" s="73">
        <v>6</v>
      </c>
      <c r="I636" s="74" t="s">
        <v>641</v>
      </c>
      <c r="J636" s="75" t="s">
        <v>634</v>
      </c>
      <c r="K636" s="74"/>
      <c r="L636" s="82">
        <v>0</v>
      </c>
      <c r="M636" s="138">
        <v>9.8000000000000004E-2</v>
      </c>
      <c r="N636" s="138">
        <v>9.8000000000000004E-2</v>
      </c>
      <c r="O636" s="138">
        <v>9.8000000000000004E-2</v>
      </c>
      <c r="P636" s="138">
        <v>9.8000000000000004E-2</v>
      </c>
      <c r="Q636" s="138">
        <v>9.8000000000000004E-2</v>
      </c>
      <c r="R636" s="138">
        <v>9.8000000000000004E-2</v>
      </c>
      <c r="S636" s="138">
        <v>9.8000000000000004E-2</v>
      </c>
      <c r="T636" s="138">
        <v>9.8000000000000004E-2</v>
      </c>
      <c r="U636" s="138">
        <v>9.8000000000000004E-2</v>
      </c>
      <c r="V636" s="138">
        <v>9.8000000000000004E-2</v>
      </c>
      <c r="W636" s="138">
        <v>9.8000000000000004E-2</v>
      </c>
      <c r="X636" s="138">
        <v>9.8000000000000004E-2</v>
      </c>
      <c r="Y636" s="138">
        <f t="shared" si="438"/>
        <v>9.8000000000000004E-2</v>
      </c>
      <c r="Z636" s="138">
        <f t="shared" si="439"/>
        <v>9.8000000000000004E-2</v>
      </c>
      <c r="AA636" s="138">
        <f t="shared" si="440"/>
        <v>9.8000000000000004E-2</v>
      </c>
      <c r="AB636" s="138">
        <f t="shared" si="441"/>
        <v>9.8000000000000004E-2</v>
      </c>
      <c r="AC636" s="138">
        <f t="shared" si="442"/>
        <v>9.8000000000000004E-2</v>
      </c>
      <c r="AD636" s="138">
        <f t="shared" si="443"/>
        <v>9.8000000000000004E-2</v>
      </c>
      <c r="AE636" s="138">
        <f t="shared" si="444"/>
        <v>9.8000000000000004E-2</v>
      </c>
      <c r="AF636" s="138">
        <f t="shared" si="445"/>
        <v>9.8000000000000004E-2</v>
      </c>
      <c r="AG636" s="138">
        <f t="shared" si="446"/>
        <v>9.8000000000000004E-2</v>
      </c>
      <c r="AH636" s="138">
        <f t="shared" si="447"/>
        <v>9.8000000000000004E-2</v>
      </c>
      <c r="AI636" s="138">
        <f t="shared" si="448"/>
        <v>9.8000000000000004E-2</v>
      </c>
      <c r="AJ636" s="138">
        <f t="shared" si="455"/>
        <v>9.8000000000000004E-2</v>
      </c>
      <c r="AK636" s="138">
        <f t="shared" si="455"/>
        <v>9.8000000000000004E-2</v>
      </c>
      <c r="AL636" s="138">
        <f t="shared" si="453"/>
        <v>9.799999999999999E-2</v>
      </c>
      <c r="AM636" s="138">
        <f t="shared" si="454"/>
        <v>9.8000000000000018E-2</v>
      </c>
      <c r="AO636" s="77" t="str">
        <f t="shared" si="409"/>
        <v>DS-6 (DS-3) Temp. Sensitive DS</v>
      </c>
      <c r="AP636" s="78" t="s">
        <v>644</v>
      </c>
      <c r="AQ636" s="77" t="str">
        <f t="shared" si="410"/>
        <v>MAP-R (Delivery Service Cost Adjustment)</v>
      </c>
      <c r="AR636" s="78" t="str">
        <f t="shared" si="456"/>
        <v>Billing Cycle</v>
      </c>
      <c r="AS636" s="79">
        <f t="shared" si="457"/>
        <v>6</v>
      </c>
      <c r="AT636" s="78">
        <f t="shared" si="458"/>
        <v>0</v>
      </c>
      <c r="AU636" s="78">
        <f t="shared" si="459"/>
        <v>9.8000000000000004E-2</v>
      </c>
      <c r="AV636" s="78">
        <f t="shared" si="460"/>
        <v>9.8000000000000004E-2</v>
      </c>
      <c r="AW636" s="78">
        <f t="shared" si="461"/>
        <v>9.8000000000000004E-2</v>
      </c>
      <c r="AX636" s="78">
        <f t="shared" si="462"/>
        <v>9.8000000000000004E-2</v>
      </c>
      <c r="AY636" s="78">
        <f t="shared" si="463"/>
        <v>9.8000000000000004E-2</v>
      </c>
      <c r="AZ636" s="78">
        <f t="shared" si="464"/>
        <v>9.8000000000000004E-2</v>
      </c>
      <c r="BA636" s="78">
        <f t="shared" si="465"/>
        <v>9.8000000000000004E-2</v>
      </c>
      <c r="BB636" s="78">
        <f t="shared" si="466"/>
        <v>9.8000000000000004E-2</v>
      </c>
      <c r="BC636" s="78">
        <f t="shared" si="467"/>
        <v>9.8000000000000004E-2</v>
      </c>
      <c r="BD636" s="78">
        <f t="shared" si="468"/>
        <v>9.8000000000000004E-2</v>
      </c>
      <c r="BE636" s="78">
        <f t="shared" si="469"/>
        <v>9.8000000000000004E-2</v>
      </c>
      <c r="BF636" s="88">
        <f t="shared" si="470"/>
        <v>9.8000000000000004E-2</v>
      </c>
      <c r="BG636" s="88">
        <f t="shared" si="471"/>
        <v>9.8000000000000004E-2</v>
      </c>
      <c r="BH636" s="88">
        <f t="shared" si="472"/>
        <v>9.8000000000000004E-2</v>
      </c>
      <c r="BI636" s="88">
        <f t="shared" si="473"/>
        <v>9.8000000000000004E-2</v>
      </c>
      <c r="BJ636" s="88">
        <f t="shared" si="474"/>
        <v>9.8000000000000004E-2</v>
      </c>
      <c r="BK636" s="88">
        <f t="shared" si="475"/>
        <v>9.8000000000000004E-2</v>
      </c>
      <c r="BL636" s="88">
        <f t="shared" si="476"/>
        <v>9.8000000000000004E-2</v>
      </c>
      <c r="BM636" s="88">
        <f t="shared" si="477"/>
        <v>9.8000000000000004E-2</v>
      </c>
      <c r="BN636" s="88">
        <f t="shared" si="478"/>
        <v>9.8000000000000004E-2</v>
      </c>
      <c r="BO636" s="88">
        <f t="shared" si="479"/>
        <v>9.8000000000000004E-2</v>
      </c>
      <c r="BP636" s="88">
        <f t="shared" si="480"/>
        <v>9.8000000000000004E-2</v>
      </c>
      <c r="BQ636" s="88">
        <f t="shared" si="481"/>
        <v>9.8000000000000004E-2</v>
      </c>
      <c r="BR636" s="88">
        <f t="shared" si="482"/>
        <v>9.8000000000000004E-2</v>
      </c>
      <c r="BS636" s="77"/>
      <c r="BT636" s="77"/>
    </row>
    <row r="637" spans="1:72" ht="14.1" customHeight="1" x14ac:dyDescent="0.2">
      <c r="A637" s="55" t="str">
        <f t="shared" si="408"/>
        <v>DS-6 (DS-4) Temp. Sensitive DS_MAP-R (Delivery Service Cost Adjustment)</v>
      </c>
      <c r="B637" s="80" t="s">
        <v>645</v>
      </c>
      <c r="C637" s="83" t="s">
        <v>918</v>
      </c>
      <c r="D637" s="151"/>
      <c r="E637" s="81"/>
      <c r="F637" s="73" t="s">
        <v>649</v>
      </c>
      <c r="G637" s="73">
        <v>0</v>
      </c>
      <c r="H637" s="73">
        <v>6</v>
      </c>
      <c r="I637" s="74" t="s">
        <v>641</v>
      </c>
      <c r="J637" s="75" t="s">
        <v>634</v>
      </c>
      <c r="K637" s="74"/>
      <c r="L637" s="82">
        <v>0</v>
      </c>
      <c r="M637" s="138">
        <v>9.8000000000000004E-2</v>
      </c>
      <c r="N637" s="138">
        <v>9.8000000000000004E-2</v>
      </c>
      <c r="O637" s="138">
        <v>9.8000000000000004E-2</v>
      </c>
      <c r="P637" s="138">
        <v>9.8000000000000004E-2</v>
      </c>
      <c r="Q637" s="138">
        <v>9.8000000000000004E-2</v>
      </c>
      <c r="R637" s="138">
        <v>9.8000000000000004E-2</v>
      </c>
      <c r="S637" s="138">
        <v>9.8000000000000004E-2</v>
      </c>
      <c r="T637" s="138">
        <v>9.8000000000000004E-2</v>
      </c>
      <c r="U637" s="138">
        <v>9.8000000000000004E-2</v>
      </c>
      <c r="V637" s="138">
        <v>9.8000000000000004E-2</v>
      </c>
      <c r="W637" s="138">
        <v>9.8000000000000004E-2</v>
      </c>
      <c r="X637" s="138">
        <v>9.8000000000000004E-2</v>
      </c>
      <c r="Y637" s="138">
        <f t="shared" si="438"/>
        <v>9.8000000000000004E-2</v>
      </c>
      <c r="Z637" s="138">
        <f t="shared" si="439"/>
        <v>9.8000000000000004E-2</v>
      </c>
      <c r="AA637" s="138">
        <f t="shared" si="440"/>
        <v>9.8000000000000004E-2</v>
      </c>
      <c r="AB637" s="138">
        <f t="shared" si="441"/>
        <v>9.8000000000000004E-2</v>
      </c>
      <c r="AC637" s="138">
        <f t="shared" si="442"/>
        <v>9.8000000000000004E-2</v>
      </c>
      <c r="AD637" s="138">
        <f t="shared" si="443"/>
        <v>9.8000000000000004E-2</v>
      </c>
      <c r="AE637" s="138">
        <f t="shared" si="444"/>
        <v>9.8000000000000004E-2</v>
      </c>
      <c r="AF637" s="138">
        <f t="shared" si="445"/>
        <v>9.8000000000000004E-2</v>
      </c>
      <c r="AG637" s="138">
        <f t="shared" si="446"/>
        <v>9.8000000000000004E-2</v>
      </c>
      <c r="AH637" s="138">
        <f t="shared" si="447"/>
        <v>9.8000000000000004E-2</v>
      </c>
      <c r="AI637" s="138">
        <f t="shared" si="448"/>
        <v>9.8000000000000004E-2</v>
      </c>
      <c r="AJ637" s="138">
        <f t="shared" si="455"/>
        <v>9.8000000000000004E-2</v>
      </c>
      <c r="AK637" s="138">
        <f t="shared" si="455"/>
        <v>9.8000000000000004E-2</v>
      </c>
      <c r="AL637" s="138">
        <f t="shared" si="453"/>
        <v>9.799999999999999E-2</v>
      </c>
      <c r="AM637" s="138">
        <f t="shared" si="454"/>
        <v>9.8000000000000018E-2</v>
      </c>
      <c r="AO637" s="77" t="str">
        <f t="shared" si="409"/>
        <v>DS-6 (DS-4) Temp. Sensitive DS</v>
      </c>
      <c r="AP637" s="78" t="s">
        <v>646</v>
      </c>
      <c r="AQ637" s="77" t="str">
        <f t="shared" si="410"/>
        <v>MAP-R (Delivery Service Cost Adjustment)</v>
      </c>
      <c r="AR637" s="78" t="str">
        <f t="shared" si="456"/>
        <v>Billing Cycle</v>
      </c>
      <c r="AS637" s="79">
        <f t="shared" si="457"/>
        <v>6</v>
      </c>
      <c r="AT637" s="78">
        <f t="shared" si="458"/>
        <v>0</v>
      </c>
      <c r="AU637" s="78">
        <f t="shared" si="459"/>
        <v>9.8000000000000004E-2</v>
      </c>
      <c r="AV637" s="78">
        <f t="shared" si="460"/>
        <v>9.8000000000000004E-2</v>
      </c>
      <c r="AW637" s="78">
        <f t="shared" si="461"/>
        <v>9.8000000000000004E-2</v>
      </c>
      <c r="AX637" s="78">
        <f t="shared" si="462"/>
        <v>9.8000000000000004E-2</v>
      </c>
      <c r="AY637" s="78">
        <f t="shared" si="463"/>
        <v>9.8000000000000004E-2</v>
      </c>
      <c r="AZ637" s="78">
        <f t="shared" si="464"/>
        <v>9.8000000000000004E-2</v>
      </c>
      <c r="BA637" s="78">
        <f t="shared" si="465"/>
        <v>9.8000000000000004E-2</v>
      </c>
      <c r="BB637" s="78">
        <f t="shared" si="466"/>
        <v>9.8000000000000004E-2</v>
      </c>
      <c r="BC637" s="78">
        <f t="shared" si="467"/>
        <v>9.8000000000000004E-2</v>
      </c>
      <c r="BD637" s="78">
        <f t="shared" si="468"/>
        <v>9.8000000000000004E-2</v>
      </c>
      <c r="BE637" s="78">
        <f t="shared" si="469"/>
        <v>9.8000000000000004E-2</v>
      </c>
      <c r="BF637" s="88">
        <f t="shared" si="470"/>
        <v>9.8000000000000004E-2</v>
      </c>
      <c r="BG637" s="88">
        <f t="shared" si="471"/>
        <v>9.8000000000000004E-2</v>
      </c>
      <c r="BH637" s="88">
        <f t="shared" si="472"/>
        <v>9.8000000000000004E-2</v>
      </c>
      <c r="BI637" s="88">
        <f t="shared" si="473"/>
        <v>9.8000000000000004E-2</v>
      </c>
      <c r="BJ637" s="88">
        <f t="shared" si="474"/>
        <v>9.8000000000000004E-2</v>
      </c>
      <c r="BK637" s="88">
        <f t="shared" si="475"/>
        <v>9.8000000000000004E-2</v>
      </c>
      <c r="BL637" s="88">
        <f t="shared" si="476"/>
        <v>9.8000000000000004E-2</v>
      </c>
      <c r="BM637" s="88">
        <f t="shared" si="477"/>
        <v>9.8000000000000004E-2</v>
      </c>
      <c r="BN637" s="88">
        <f t="shared" si="478"/>
        <v>9.8000000000000004E-2</v>
      </c>
      <c r="BO637" s="88">
        <f t="shared" si="479"/>
        <v>9.8000000000000004E-2</v>
      </c>
      <c r="BP637" s="88">
        <f t="shared" si="480"/>
        <v>9.8000000000000004E-2</v>
      </c>
      <c r="BQ637" s="88">
        <f t="shared" si="481"/>
        <v>9.8000000000000004E-2</v>
      </c>
      <c r="BR637" s="88">
        <f t="shared" si="482"/>
        <v>9.8000000000000004E-2</v>
      </c>
      <c r="BS637" s="77"/>
      <c r="BT637" s="77"/>
    </row>
    <row r="638" spans="1:72" ht="14.1" customHeight="1" x14ac:dyDescent="0.2">
      <c r="A638" s="55" t="str">
        <f t="shared" si="408"/>
        <v>DS-1 (Residential)_Rider USS (Utility-Owned Solar and Storage Adjustment)</v>
      </c>
      <c r="B638" s="80" t="s">
        <v>90</v>
      </c>
      <c r="C638" s="83" t="s">
        <v>919</v>
      </c>
      <c r="D638" s="151"/>
      <c r="E638" s="81"/>
      <c r="F638" s="73" t="s">
        <v>649</v>
      </c>
      <c r="G638" s="73">
        <v>0</v>
      </c>
      <c r="H638" s="73">
        <v>6</v>
      </c>
      <c r="I638" s="74" t="s">
        <v>641</v>
      </c>
      <c r="J638" s="75" t="s">
        <v>634</v>
      </c>
      <c r="K638" s="74"/>
      <c r="L638" s="82">
        <v>0</v>
      </c>
      <c r="M638" s="138">
        <v>8.3999999999999995E-5</v>
      </c>
      <c r="N638" s="138">
        <v>8.3999999999999995E-5</v>
      </c>
      <c r="O638" s="138">
        <v>8.3999999999999995E-5</v>
      </c>
      <c r="P638" s="138">
        <v>8.3999999999999995E-5</v>
      </c>
      <c r="Q638" s="138">
        <v>8.3999999999999995E-5</v>
      </c>
      <c r="R638" s="138">
        <v>8.3999999999999995E-5</v>
      </c>
      <c r="S638" s="138">
        <v>8.3999999999999995E-5</v>
      </c>
      <c r="T638" s="138">
        <v>8.3999999999999995E-5</v>
      </c>
      <c r="U638" s="138">
        <v>8.3999999999999995E-5</v>
      </c>
      <c r="V638" s="138">
        <v>8.3999999999999995E-5</v>
      </c>
      <c r="W638" s="138">
        <v>8.3999999999999995E-5</v>
      </c>
      <c r="X638" s="138">
        <v>8.3999999999999995E-5</v>
      </c>
      <c r="Y638" s="138">
        <f t="shared" si="438"/>
        <v>8.3999999999999995E-5</v>
      </c>
      <c r="Z638" s="138">
        <f t="shared" si="439"/>
        <v>8.3999999999999995E-5</v>
      </c>
      <c r="AA638" s="138">
        <f t="shared" si="440"/>
        <v>8.3999999999999995E-5</v>
      </c>
      <c r="AB638" s="138">
        <f t="shared" si="441"/>
        <v>8.3999999999999995E-5</v>
      </c>
      <c r="AC638" s="138">
        <f t="shared" si="442"/>
        <v>8.3999999999999995E-5</v>
      </c>
      <c r="AD638" s="138">
        <f t="shared" si="443"/>
        <v>8.3999999999999995E-5</v>
      </c>
      <c r="AE638" s="138">
        <f t="shared" si="444"/>
        <v>8.3999999999999995E-5</v>
      </c>
      <c r="AF638" s="138">
        <f t="shared" si="445"/>
        <v>8.3999999999999995E-5</v>
      </c>
      <c r="AG638" s="138">
        <f t="shared" si="446"/>
        <v>8.3999999999999995E-5</v>
      </c>
      <c r="AH638" s="138">
        <f t="shared" si="447"/>
        <v>8.3999999999999995E-5</v>
      </c>
      <c r="AI638" s="138">
        <f t="shared" si="448"/>
        <v>8.3999999999999995E-5</v>
      </c>
      <c r="AJ638" s="138">
        <f t="shared" si="455"/>
        <v>8.3999999999999995E-5</v>
      </c>
      <c r="AK638" s="138">
        <f t="shared" si="455"/>
        <v>8.3999999999999995E-5</v>
      </c>
      <c r="AL638" s="138">
        <f t="shared" si="453"/>
        <v>8.3999999999999995E-5</v>
      </c>
      <c r="AM638" s="138">
        <f t="shared" si="454"/>
        <v>8.4000000000000036E-5</v>
      </c>
      <c r="AO638" s="77" t="str">
        <f t="shared" si="409"/>
        <v>DS-1 (Residential)</v>
      </c>
      <c r="AP638" s="78" t="s">
        <v>662</v>
      </c>
      <c r="AQ638" s="77" t="str">
        <f t="shared" si="410"/>
        <v>Rider USS (Utility-Owned Solar and Storage Adjustment)</v>
      </c>
      <c r="AR638" s="78" t="str">
        <f t="shared" si="456"/>
        <v>Billing Cycle</v>
      </c>
      <c r="AS638" s="79">
        <f t="shared" si="457"/>
        <v>6</v>
      </c>
      <c r="AT638" s="78">
        <f t="shared" si="458"/>
        <v>0</v>
      </c>
      <c r="AU638" s="78">
        <f t="shared" si="459"/>
        <v>8.3999999999999995E-5</v>
      </c>
      <c r="AV638" s="78">
        <f t="shared" si="460"/>
        <v>8.3999999999999995E-5</v>
      </c>
      <c r="AW638" s="78">
        <f t="shared" si="461"/>
        <v>8.3999999999999995E-5</v>
      </c>
      <c r="AX638" s="78">
        <f t="shared" si="462"/>
        <v>8.3999999999999995E-5</v>
      </c>
      <c r="AY638" s="78">
        <f t="shared" si="463"/>
        <v>8.3999999999999995E-5</v>
      </c>
      <c r="AZ638" s="78">
        <f t="shared" si="464"/>
        <v>8.3999999999999995E-5</v>
      </c>
      <c r="BA638" s="78">
        <f t="shared" si="465"/>
        <v>8.3999999999999995E-5</v>
      </c>
      <c r="BB638" s="78">
        <f t="shared" si="466"/>
        <v>8.3999999999999995E-5</v>
      </c>
      <c r="BC638" s="78">
        <f t="shared" si="467"/>
        <v>8.3999999999999995E-5</v>
      </c>
      <c r="BD638" s="78">
        <f t="shared" si="468"/>
        <v>8.3999999999999995E-5</v>
      </c>
      <c r="BE638" s="78">
        <f t="shared" si="469"/>
        <v>8.3999999999999995E-5</v>
      </c>
      <c r="BF638" s="88">
        <f t="shared" si="470"/>
        <v>8.3999999999999995E-5</v>
      </c>
      <c r="BG638" s="88">
        <f t="shared" si="471"/>
        <v>8.3999999999999995E-5</v>
      </c>
      <c r="BH638" s="88">
        <f t="shared" si="472"/>
        <v>8.3999999999999995E-5</v>
      </c>
      <c r="BI638" s="88">
        <f t="shared" si="473"/>
        <v>8.3999999999999995E-5</v>
      </c>
      <c r="BJ638" s="88">
        <f t="shared" si="474"/>
        <v>8.3999999999999995E-5</v>
      </c>
      <c r="BK638" s="88">
        <f t="shared" si="475"/>
        <v>8.3999999999999995E-5</v>
      </c>
      <c r="BL638" s="88">
        <f t="shared" si="476"/>
        <v>8.3999999999999995E-5</v>
      </c>
      <c r="BM638" s="88">
        <f t="shared" si="477"/>
        <v>8.3999999999999995E-5</v>
      </c>
      <c r="BN638" s="88">
        <f t="shared" si="478"/>
        <v>8.3999999999999995E-5</v>
      </c>
      <c r="BO638" s="88">
        <f t="shared" si="479"/>
        <v>8.3999999999999995E-5</v>
      </c>
      <c r="BP638" s="88">
        <f t="shared" si="480"/>
        <v>8.3999999999999995E-5</v>
      </c>
      <c r="BQ638" s="88">
        <f t="shared" si="481"/>
        <v>8.3999999999999995E-5</v>
      </c>
      <c r="BR638" s="88">
        <f t="shared" si="482"/>
        <v>8.3999999999999995E-5</v>
      </c>
      <c r="BS638" s="77"/>
      <c r="BT638" s="77"/>
    </row>
    <row r="639" spans="1:72" ht="14.1" customHeight="1" x14ac:dyDescent="0.2">
      <c r="A639" s="55" t="str">
        <f t="shared" si="408"/>
        <v>DS-2 (Small General Service)_Rider USS (Utility-Owned Solar and Storage Adjustment)</v>
      </c>
      <c r="B639" s="80" t="s">
        <v>665</v>
      </c>
      <c r="C639" s="83" t="s">
        <v>919</v>
      </c>
      <c r="D639" s="151"/>
      <c r="E639" s="81"/>
      <c r="F639" s="73" t="s">
        <v>649</v>
      </c>
      <c r="G639" s="73">
        <v>0</v>
      </c>
      <c r="H639" s="73">
        <v>6</v>
      </c>
      <c r="I639" s="74" t="s">
        <v>641</v>
      </c>
      <c r="J639" s="75" t="s">
        <v>634</v>
      </c>
      <c r="K639" s="74"/>
      <c r="L639" s="82">
        <v>0</v>
      </c>
      <c r="M639" s="138">
        <v>8.3999999999999995E-5</v>
      </c>
      <c r="N639" s="138">
        <v>8.3999999999999995E-5</v>
      </c>
      <c r="O639" s="138">
        <v>8.3999999999999995E-5</v>
      </c>
      <c r="P639" s="138">
        <v>8.3999999999999995E-5</v>
      </c>
      <c r="Q639" s="138">
        <v>8.3999999999999995E-5</v>
      </c>
      <c r="R639" s="138">
        <v>8.3999999999999995E-5</v>
      </c>
      <c r="S639" s="138">
        <v>8.3999999999999995E-5</v>
      </c>
      <c r="T639" s="138">
        <v>8.3999999999999995E-5</v>
      </c>
      <c r="U639" s="138">
        <v>8.3999999999999995E-5</v>
      </c>
      <c r="V639" s="138">
        <v>8.3999999999999995E-5</v>
      </c>
      <c r="W639" s="138">
        <v>8.3999999999999995E-5</v>
      </c>
      <c r="X639" s="138">
        <v>8.3999999999999995E-5</v>
      </c>
      <c r="Y639" s="138">
        <f t="shared" si="438"/>
        <v>8.3999999999999995E-5</v>
      </c>
      <c r="Z639" s="138">
        <f t="shared" si="439"/>
        <v>8.3999999999999995E-5</v>
      </c>
      <c r="AA639" s="138">
        <f t="shared" si="440"/>
        <v>8.3999999999999995E-5</v>
      </c>
      <c r="AB639" s="138">
        <f t="shared" si="441"/>
        <v>8.3999999999999995E-5</v>
      </c>
      <c r="AC639" s="138">
        <f t="shared" si="442"/>
        <v>8.3999999999999995E-5</v>
      </c>
      <c r="AD639" s="138">
        <f t="shared" si="443"/>
        <v>8.3999999999999995E-5</v>
      </c>
      <c r="AE639" s="138">
        <f t="shared" si="444"/>
        <v>8.3999999999999995E-5</v>
      </c>
      <c r="AF639" s="138">
        <f t="shared" si="445"/>
        <v>8.3999999999999995E-5</v>
      </c>
      <c r="AG639" s="138">
        <f t="shared" si="446"/>
        <v>8.3999999999999995E-5</v>
      </c>
      <c r="AH639" s="138">
        <f t="shared" si="447"/>
        <v>8.3999999999999995E-5</v>
      </c>
      <c r="AI639" s="138">
        <f t="shared" si="448"/>
        <v>8.3999999999999995E-5</v>
      </c>
      <c r="AJ639" s="138">
        <f t="shared" si="455"/>
        <v>8.3999999999999995E-5</v>
      </c>
      <c r="AK639" s="138">
        <f t="shared" si="455"/>
        <v>8.3999999999999995E-5</v>
      </c>
      <c r="AL639" s="138">
        <f t="shared" si="453"/>
        <v>8.3999999999999995E-5</v>
      </c>
      <c r="AM639" s="138">
        <f t="shared" si="454"/>
        <v>8.4000000000000036E-5</v>
      </c>
      <c r="AO639" s="77" t="str">
        <f t="shared" si="409"/>
        <v>DS-2 (Small General Service)</v>
      </c>
      <c r="AP639" s="78" t="s">
        <v>664</v>
      </c>
      <c r="AQ639" s="77" t="str">
        <f t="shared" si="410"/>
        <v>Rider USS (Utility-Owned Solar and Storage Adjustment)</v>
      </c>
      <c r="AR639" s="78" t="str">
        <f t="shared" si="456"/>
        <v>Billing Cycle</v>
      </c>
      <c r="AS639" s="79">
        <f t="shared" si="457"/>
        <v>6</v>
      </c>
      <c r="AT639" s="78">
        <f t="shared" si="458"/>
        <v>0</v>
      </c>
      <c r="AU639" s="78">
        <f t="shared" si="459"/>
        <v>8.3999999999999995E-5</v>
      </c>
      <c r="AV639" s="78">
        <f t="shared" si="460"/>
        <v>8.3999999999999995E-5</v>
      </c>
      <c r="AW639" s="78">
        <f t="shared" si="461"/>
        <v>8.3999999999999995E-5</v>
      </c>
      <c r="AX639" s="78">
        <f t="shared" si="462"/>
        <v>8.3999999999999995E-5</v>
      </c>
      <c r="AY639" s="78">
        <f t="shared" si="463"/>
        <v>8.3999999999999995E-5</v>
      </c>
      <c r="AZ639" s="78">
        <f t="shared" si="464"/>
        <v>8.3999999999999995E-5</v>
      </c>
      <c r="BA639" s="78">
        <f t="shared" si="465"/>
        <v>8.3999999999999995E-5</v>
      </c>
      <c r="BB639" s="78">
        <f t="shared" si="466"/>
        <v>8.3999999999999995E-5</v>
      </c>
      <c r="BC639" s="78">
        <f t="shared" si="467"/>
        <v>8.3999999999999995E-5</v>
      </c>
      <c r="BD639" s="78">
        <f t="shared" si="468"/>
        <v>8.3999999999999995E-5</v>
      </c>
      <c r="BE639" s="78">
        <f t="shared" si="469"/>
        <v>8.3999999999999995E-5</v>
      </c>
      <c r="BF639" s="88">
        <f t="shared" si="470"/>
        <v>8.3999999999999995E-5</v>
      </c>
      <c r="BG639" s="88">
        <f t="shared" si="471"/>
        <v>8.3999999999999995E-5</v>
      </c>
      <c r="BH639" s="88">
        <f t="shared" si="472"/>
        <v>8.3999999999999995E-5</v>
      </c>
      <c r="BI639" s="88">
        <f t="shared" si="473"/>
        <v>8.3999999999999995E-5</v>
      </c>
      <c r="BJ639" s="88">
        <f t="shared" si="474"/>
        <v>8.3999999999999995E-5</v>
      </c>
      <c r="BK639" s="88">
        <f t="shared" si="475"/>
        <v>8.3999999999999995E-5</v>
      </c>
      <c r="BL639" s="88">
        <f t="shared" si="476"/>
        <v>8.3999999999999995E-5</v>
      </c>
      <c r="BM639" s="88">
        <f t="shared" si="477"/>
        <v>8.3999999999999995E-5</v>
      </c>
      <c r="BN639" s="88">
        <f t="shared" si="478"/>
        <v>8.3999999999999995E-5</v>
      </c>
      <c r="BO639" s="88">
        <f t="shared" si="479"/>
        <v>8.3999999999999995E-5</v>
      </c>
      <c r="BP639" s="88">
        <f t="shared" si="480"/>
        <v>8.3999999999999995E-5</v>
      </c>
      <c r="BQ639" s="88">
        <f t="shared" si="481"/>
        <v>8.3999999999999995E-5</v>
      </c>
      <c r="BR639" s="88">
        <f t="shared" si="482"/>
        <v>8.3999999999999995E-5</v>
      </c>
      <c r="BS639" s="77"/>
      <c r="BT639" s="77"/>
    </row>
    <row r="640" spans="1:72" ht="14.1" customHeight="1" x14ac:dyDescent="0.2">
      <c r="A640" s="55" t="str">
        <f t="shared" si="408"/>
        <v>DS-3 (General Delivery Service)_Rider USS (Utility-Owned Solar and Storage Adjustment)</v>
      </c>
      <c r="B640" s="80" t="s">
        <v>666</v>
      </c>
      <c r="C640" s="83" t="s">
        <v>919</v>
      </c>
      <c r="D640" s="151"/>
      <c r="E640" s="81"/>
      <c r="F640" s="73" t="s">
        <v>649</v>
      </c>
      <c r="G640" s="73">
        <v>0</v>
      </c>
      <c r="H640" s="73">
        <v>6</v>
      </c>
      <c r="I640" s="74" t="s">
        <v>641</v>
      </c>
      <c r="J640" s="75" t="s">
        <v>634</v>
      </c>
      <c r="K640" s="74"/>
      <c r="L640" s="82">
        <v>0</v>
      </c>
      <c r="M640" s="138">
        <v>8.3999999999999995E-5</v>
      </c>
      <c r="N640" s="138">
        <v>8.3999999999999995E-5</v>
      </c>
      <c r="O640" s="138">
        <v>8.3999999999999995E-5</v>
      </c>
      <c r="P640" s="138">
        <v>8.3999999999999995E-5</v>
      </c>
      <c r="Q640" s="138">
        <v>8.3999999999999995E-5</v>
      </c>
      <c r="R640" s="138">
        <v>8.3999999999999995E-5</v>
      </c>
      <c r="S640" s="138">
        <v>8.3999999999999995E-5</v>
      </c>
      <c r="T640" s="138">
        <v>8.3999999999999995E-5</v>
      </c>
      <c r="U640" s="138">
        <v>8.3999999999999995E-5</v>
      </c>
      <c r="V640" s="138">
        <v>8.3999999999999995E-5</v>
      </c>
      <c r="W640" s="138">
        <v>8.3999999999999995E-5</v>
      </c>
      <c r="X640" s="138">
        <v>8.3999999999999995E-5</v>
      </c>
      <c r="Y640" s="138">
        <f t="shared" si="438"/>
        <v>8.3999999999999995E-5</v>
      </c>
      <c r="Z640" s="138">
        <f t="shared" si="439"/>
        <v>8.3999999999999995E-5</v>
      </c>
      <c r="AA640" s="138">
        <f t="shared" si="440"/>
        <v>8.3999999999999995E-5</v>
      </c>
      <c r="AB640" s="138">
        <f t="shared" si="441"/>
        <v>8.3999999999999995E-5</v>
      </c>
      <c r="AC640" s="138">
        <f t="shared" si="442"/>
        <v>8.3999999999999995E-5</v>
      </c>
      <c r="AD640" s="138">
        <f t="shared" si="443"/>
        <v>8.3999999999999995E-5</v>
      </c>
      <c r="AE640" s="138">
        <f t="shared" si="444"/>
        <v>8.3999999999999995E-5</v>
      </c>
      <c r="AF640" s="138">
        <f t="shared" si="445"/>
        <v>8.3999999999999995E-5</v>
      </c>
      <c r="AG640" s="138">
        <f t="shared" si="446"/>
        <v>8.3999999999999995E-5</v>
      </c>
      <c r="AH640" s="138">
        <f t="shared" si="447"/>
        <v>8.3999999999999995E-5</v>
      </c>
      <c r="AI640" s="138">
        <f t="shared" si="448"/>
        <v>8.3999999999999995E-5</v>
      </c>
      <c r="AJ640" s="138">
        <f t="shared" si="455"/>
        <v>8.3999999999999995E-5</v>
      </c>
      <c r="AK640" s="138">
        <f t="shared" si="455"/>
        <v>8.3999999999999995E-5</v>
      </c>
      <c r="AL640" s="138">
        <f t="shared" si="453"/>
        <v>8.3999999999999995E-5</v>
      </c>
      <c r="AM640" s="138">
        <f t="shared" si="454"/>
        <v>8.4000000000000036E-5</v>
      </c>
      <c r="AO640" s="77" t="str">
        <f t="shared" si="409"/>
        <v>DS-3 (General Delivery Service)</v>
      </c>
      <c r="AP640" s="78" t="s">
        <v>667</v>
      </c>
      <c r="AQ640" s="77" t="str">
        <f t="shared" si="410"/>
        <v>Rider USS (Utility-Owned Solar and Storage Adjustment)</v>
      </c>
      <c r="AR640" s="78" t="str">
        <f t="shared" si="456"/>
        <v>Billing Cycle</v>
      </c>
      <c r="AS640" s="79">
        <f t="shared" si="457"/>
        <v>6</v>
      </c>
      <c r="AT640" s="78">
        <f t="shared" si="458"/>
        <v>0</v>
      </c>
      <c r="AU640" s="78">
        <f t="shared" si="459"/>
        <v>8.3999999999999995E-5</v>
      </c>
      <c r="AV640" s="78">
        <f t="shared" si="460"/>
        <v>8.3999999999999995E-5</v>
      </c>
      <c r="AW640" s="78">
        <f t="shared" si="461"/>
        <v>8.3999999999999995E-5</v>
      </c>
      <c r="AX640" s="78">
        <f t="shared" si="462"/>
        <v>8.3999999999999995E-5</v>
      </c>
      <c r="AY640" s="78">
        <f t="shared" si="463"/>
        <v>8.3999999999999995E-5</v>
      </c>
      <c r="AZ640" s="78">
        <f t="shared" si="464"/>
        <v>8.3999999999999995E-5</v>
      </c>
      <c r="BA640" s="78">
        <f t="shared" si="465"/>
        <v>8.3999999999999995E-5</v>
      </c>
      <c r="BB640" s="78">
        <f t="shared" si="466"/>
        <v>8.3999999999999995E-5</v>
      </c>
      <c r="BC640" s="78">
        <f t="shared" si="467"/>
        <v>8.3999999999999995E-5</v>
      </c>
      <c r="BD640" s="78">
        <f t="shared" si="468"/>
        <v>8.3999999999999995E-5</v>
      </c>
      <c r="BE640" s="78">
        <f t="shared" si="469"/>
        <v>8.3999999999999995E-5</v>
      </c>
      <c r="BF640" s="88">
        <f t="shared" si="470"/>
        <v>8.3999999999999995E-5</v>
      </c>
      <c r="BG640" s="88">
        <f t="shared" si="471"/>
        <v>8.3999999999999995E-5</v>
      </c>
      <c r="BH640" s="88">
        <f t="shared" si="472"/>
        <v>8.3999999999999995E-5</v>
      </c>
      <c r="BI640" s="88">
        <f t="shared" si="473"/>
        <v>8.3999999999999995E-5</v>
      </c>
      <c r="BJ640" s="88">
        <f t="shared" si="474"/>
        <v>8.3999999999999995E-5</v>
      </c>
      <c r="BK640" s="88">
        <f t="shared" si="475"/>
        <v>8.3999999999999995E-5</v>
      </c>
      <c r="BL640" s="88">
        <f t="shared" si="476"/>
        <v>8.3999999999999995E-5</v>
      </c>
      <c r="BM640" s="88">
        <f t="shared" si="477"/>
        <v>8.3999999999999995E-5</v>
      </c>
      <c r="BN640" s="88">
        <f t="shared" si="478"/>
        <v>8.3999999999999995E-5</v>
      </c>
      <c r="BO640" s="88">
        <f t="shared" si="479"/>
        <v>8.3999999999999995E-5</v>
      </c>
      <c r="BP640" s="88">
        <f t="shared" si="480"/>
        <v>8.3999999999999995E-5</v>
      </c>
      <c r="BQ640" s="88">
        <f t="shared" si="481"/>
        <v>8.3999999999999995E-5</v>
      </c>
      <c r="BR640" s="88">
        <f t="shared" si="482"/>
        <v>8.3999999999999995E-5</v>
      </c>
      <c r="BS640" s="77"/>
      <c r="BT640" s="77"/>
    </row>
    <row r="641" spans="1:72" ht="14.1" customHeight="1" x14ac:dyDescent="0.2">
      <c r="A641" s="55" t="str">
        <f t="shared" si="408"/>
        <v>DS-4 (Large General Service)_Rider USS (Utility-Owned Solar and Storage Adjustment)</v>
      </c>
      <c r="B641" s="80" t="s">
        <v>639</v>
      </c>
      <c r="C641" s="83" t="s">
        <v>919</v>
      </c>
      <c r="D641" s="151"/>
      <c r="E641" s="81"/>
      <c r="F641" s="73" t="s">
        <v>649</v>
      </c>
      <c r="G641" s="73">
        <v>0</v>
      </c>
      <c r="H641" s="73">
        <v>6</v>
      </c>
      <c r="I641" s="74" t="s">
        <v>641</v>
      </c>
      <c r="J641" s="75" t="s">
        <v>634</v>
      </c>
      <c r="K641" s="74"/>
      <c r="L641" s="82">
        <v>0</v>
      </c>
      <c r="M641" s="138">
        <v>8.3999999999999995E-5</v>
      </c>
      <c r="N641" s="138">
        <v>8.3999999999999995E-5</v>
      </c>
      <c r="O641" s="138">
        <v>8.3999999999999995E-5</v>
      </c>
      <c r="P641" s="138">
        <v>8.3999999999999995E-5</v>
      </c>
      <c r="Q641" s="138">
        <v>8.3999999999999995E-5</v>
      </c>
      <c r="R641" s="138">
        <v>8.3999999999999995E-5</v>
      </c>
      <c r="S641" s="138">
        <v>8.3999999999999995E-5</v>
      </c>
      <c r="T641" s="138">
        <v>8.3999999999999995E-5</v>
      </c>
      <c r="U641" s="138">
        <v>8.3999999999999995E-5</v>
      </c>
      <c r="V641" s="138">
        <v>8.3999999999999995E-5</v>
      </c>
      <c r="W641" s="138">
        <v>8.3999999999999995E-5</v>
      </c>
      <c r="X641" s="138">
        <v>8.3999999999999995E-5</v>
      </c>
      <c r="Y641" s="138">
        <f t="shared" si="438"/>
        <v>8.3999999999999995E-5</v>
      </c>
      <c r="Z641" s="138">
        <f t="shared" si="439"/>
        <v>8.3999999999999995E-5</v>
      </c>
      <c r="AA641" s="138">
        <f t="shared" si="440"/>
        <v>8.3999999999999995E-5</v>
      </c>
      <c r="AB641" s="138">
        <f t="shared" si="441"/>
        <v>8.3999999999999995E-5</v>
      </c>
      <c r="AC641" s="138">
        <f t="shared" si="442"/>
        <v>8.3999999999999995E-5</v>
      </c>
      <c r="AD641" s="138">
        <f t="shared" si="443"/>
        <v>8.3999999999999995E-5</v>
      </c>
      <c r="AE641" s="138">
        <f t="shared" si="444"/>
        <v>8.3999999999999995E-5</v>
      </c>
      <c r="AF641" s="138">
        <f t="shared" si="445"/>
        <v>8.3999999999999995E-5</v>
      </c>
      <c r="AG641" s="138">
        <f t="shared" si="446"/>
        <v>8.3999999999999995E-5</v>
      </c>
      <c r="AH641" s="138">
        <f t="shared" si="447"/>
        <v>8.3999999999999995E-5</v>
      </c>
      <c r="AI641" s="138">
        <f t="shared" si="448"/>
        <v>8.3999999999999995E-5</v>
      </c>
      <c r="AJ641" s="138">
        <f t="shared" si="455"/>
        <v>8.3999999999999995E-5</v>
      </c>
      <c r="AK641" s="138">
        <f t="shared" si="455"/>
        <v>8.3999999999999995E-5</v>
      </c>
      <c r="AL641" s="138">
        <f t="shared" si="453"/>
        <v>8.3999999999999995E-5</v>
      </c>
      <c r="AM641" s="138">
        <f t="shared" si="454"/>
        <v>8.4000000000000036E-5</v>
      </c>
      <c r="AO641" s="77" t="str">
        <f t="shared" si="409"/>
        <v>DS-4 (Large General Service)</v>
      </c>
      <c r="AP641" s="78" t="s">
        <v>642</v>
      </c>
      <c r="AQ641" s="77" t="str">
        <f t="shared" si="410"/>
        <v>Rider USS (Utility-Owned Solar and Storage Adjustment)</v>
      </c>
      <c r="AR641" s="78" t="str">
        <f t="shared" si="456"/>
        <v>Billing Cycle</v>
      </c>
      <c r="AS641" s="79">
        <f t="shared" si="457"/>
        <v>6</v>
      </c>
      <c r="AT641" s="78">
        <f t="shared" si="458"/>
        <v>0</v>
      </c>
      <c r="AU641" s="78">
        <f t="shared" si="459"/>
        <v>8.3999999999999995E-5</v>
      </c>
      <c r="AV641" s="78">
        <f t="shared" si="460"/>
        <v>8.3999999999999995E-5</v>
      </c>
      <c r="AW641" s="78">
        <f t="shared" si="461"/>
        <v>8.3999999999999995E-5</v>
      </c>
      <c r="AX641" s="78">
        <f t="shared" si="462"/>
        <v>8.3999999999999995E-5</v>
      </c>
      <c r="AY641" s="78">
        <f t="shared" si="463"/>
        <v>8.3999999999999995E-5</v>
      </c>
      <c r="AZ641" s="78">
        <f t="shared" si="464"/>
        <v>8.3999999999999995E-5</v>
      </c>
      <c r="BA641" s="78">
        <f t="shared" si="465"/>
        <v>8.3999999999999995E-5</v>
      </c>
      <c r="BB641" s="78">
        <f t="shared" si="466"/>
        <v>8.3999999999999995E-5</v>
      </c>
      <c r="BC641" s="78">
        <f t="shared" si="467"/>
        <v>8.3999999999999995E-5</v>
      </c>
      <c r="BD641" s="78">
        <f t="shared" si="468"/>
        <v>8.3999999999999995E-5</v>
      </c>
      <c r="BE641" s="78">
        <f t="shared" si="469"/>
        <v>8.3999999999999995E-5</v>
      </c>
      <c r="BF641" s="88">
        <f t="shared" si="470"/>
        <v>8.3999999999999995E-5</v>
      </c>
      <c r="BG641" s="88">
        <f t="shared" si="471"/>
        <v>8.3999999999999995E-5</v>
      </c>
      <c r="BH641" s="88">
        <f t="shared" si="472"/>
        <v>8.3999999999999995E-5</v>
      </c>
      <c r="BI641" s="88">
        <f t="shared" si="473"/>
        <v>8.3999999999999995E-5</v>
      </c>
      <c r="BJ641" s="88">
        <f t="shared" si="474"/>
        <v>8.3999999999999995E-5</v>
      </c>
      <c r="BK641" s="88">
        <f t="shared" si="475"/>
        <v>8.3999999999999995E-5</v>
      </c>
      <c r="BL641" s="88">
        <f t="shared" si="476"/>
        <v>8.3999999999999995E-5</v>
      </c>
      <c r="BM641" s="88">
        <f t="shared" si="477"/>
        <v>8.3999999999999995E-5</v>
      </c>
      <c r="BN641" s="88">
        <f t="shared" si="478"/>
        <v>8.3999999999999995E-5</v>
      </c>
      <c r="BO641" s="88">
        <f t="shared" si="479"/>
        <v>8.3999999999999995E-5</v>
      </c>
      <c r="BP641" s="88">
        <f t="shared" si="480"/>
        <v>8.3999999999999995E-5</v>
      </c>
      <c r="BQ641" s="88">
        <f t="shared" si="481"/>
        <v>8.3999999999999995E-5</v>
      </c>
      <c r="BR641" s="88">
        <f t="shared" si="482"/>
        <v>8.3999999999999995E-5</v>
      </c>
      <c r="BS641" s="77"/>
      <c r="BT641" s="77"/>
    </row>
    <row r="642" spans="1:72" ht="14.1" customHeight="1" x14ac:dyDescent="0.2">
      <c r="A642" s="55" t="str">
        <f t="shared" si="408"/>
        <v>DS-5 (Lighting Service)_Rider USS (Utility-Owned Solar and Storage Adjustment)</v>
      </c>
      <c r="B642" s="80" t="s">
        <v>647</v>
      </c>
      <c r="C642" s="83" t="s">
        <v>919</v>
      </c>
      <c r="D642" s="151"/>
      <c r="E642" s="81"/>
      <c r="F642" s="73" t="s">
        <v>649</v>
      </c>
      <c r="G642" s="73">
        <v>0</v>
      </c>
      <c r="H642" s="73">
        <v>6</v>
      </c>
      <c r="I642" s="74" t="s">
        <v>641</v>
      </c>
      <c r="J642" s="75" t="s">
        <v>634</v>
      </c>
      <c r="K642" s="74"/>
      <c r="L642" s="82">
        <v>0</v>
      </c>
      <c r="M642" s="138">
        <v>8.3999999999999995E-5</v>
      </c>
      <c r="N642" s="138">
        <v>8.3999999999999995E-5</v>
      </c>
      <c r="O642" s="138">
        <v>8.3999999999999995E-5</v>
      </c>
      <c r="P642" s="138">
        <v>8.3999999999999995E-5</v>
      </c>
      <c r="Q642" s="138">
        <v>8.3999999999999995E-5</v>
      </c>
      <c r="R642" s="138">
        <v>8.3999999999999995E-5</v>
      </c>
      <c r="S642" s="138">
        <v>8.3999999999999995E-5</v>
      </c>
      <c r="T642" s="138">
        <v>8.3999999999999995E-5</v>
      </c>
      <c r="U642" s="138">
        <v>8.3999999999999995E-5</v>
      </c>
      <c r="V642" s="138">
        <v>8.3999999999999995E-5</v>
      </c>
      <c r="W642" s="138">
        <v>8.3999999999999995E-5</v>
      </c>
      <c r="X642" s="138">
        <v>8.3999999999999995E-5</v>
      </c>
      <c r="Y642" s="138">
        <f t="shared" si="438"/>
        <v>8.3999999999999995E-5</v>
      </c>
      <c r="Z642" s="138">
        <f t="shared" si="439"/>
        <v>8.3999999999999995E-5</v>
      </c>
      <c r="AA642" s="138">
        <f t="shared" si="440"/>
        <v>8.3999999999999995E-5</v>
      </c>
      <c r="AB642" s="138">
        <f t="shared" si="441"/>
        <v>8.3999999999999995E-5</v>
      </c>
      <c r="AC642" s="138">
        <f t="shared" si="442"/>
        <v>8.3999999999999995E-5</v>
      </c>
      <c r="AD642" s="138">
        <f t="shared" si="443"/>
        <v>8.3999999999999995E-5</v>
      </c>
      <c r="AE642" s="138">
        <f t="shared" si="444"/>
        <v>8.3999999999999995E-5</v>
      </c>
      <c r="AF642" s="138">
        <f t="shared" si="445"/>
        <v>8.3999999999999995E-5</v>
      </c>
      <c r="AG642" s="138">
        <f t="shared" si="446"/>
        <v>8.3999999999999995E-5</v>
      </c>
      <c r="AH642" s="138">
        <f t="shared" si="447"/>
        <v>8.3999999999999995E-5</v>
      </c>
      <c r="AI642" s="138">
        <f t="shared" si="448"/>
        <v>8.3999999999999995E-5</v>
      </c>
      <c r="AJ642" s="138">
        <f t="shared" si="455"/>
        <v>8.3999999999999995E-5</v>
      </c>
      <c r="AK642" s="138">
        <f t="shared" si="455"/>
        <v>8.3999999999999995E-5</v>
      </c>
      <c r="AL642" s="138">
        <f t="shared" si="453"/>
        <v>8.3999999999999995E-5</v>
      </c>
      <c r="AM642" s="138">
        <f t="shared" si="454"/>
        <v>8.4000000000000036E-5</v>
      </c>
      <c r="AO642" s="77" t="str">
        <f t="shared" si="409"/>
        <v>DS-5 (Lighting Service)</v>
      </c>
      <c r="AP642" s="78" t="s">
        <v>650</v>
      </c>
      <c r="AQ642" s="77" t="str">
        <f t="shared" si="410"/>
        <v>Rider USS (Utility-Owned Solar and Storage Adjustment)</v>
      </c>
      <c r="AR642" s="78" t="str">
        <f t="shared" si="456"/>
        <v>Billing Cycle</v>
      </c>
      <c r="AS642" s="79">
        <f t="shared" si="457"/>
        <v>6</v>
      </c>
      <c r="AT642" s="78">
        <f t="shared" si="458"/>
        <v>0</v>
      </c>
      <c r="AU642" s="78">
        <f t="shared" si="459"/>
        <v>8.3999999999999995E-5</v>
      </c>
      <c r="AV642" s="78">
        <f t="shared" si="460"/>
        <v>8.3999999999999995E-5</v>
      </c>
      <c r="AW642" s="78">
        <f t="shared" si="461"/>
        <v>8.3999999999999995E-5</v>
      </c>
      <c r="AX642" s="78">
        <f t="shared" si="462"/>
        <v>8.3999999999999995E-5</v>
      </c>
      <c r="AY642" s="78">
        <f t="shared" si="463"/>
        <v>8.3999999999999995E-5</v>
      </c>
      <c r="AZ642" s="78">
        <f t="shared" si="464"/>
        <v>8.3999999999999995E-5</v>
      </c>
      <c r="BA642" s="78">
        <f t="shared" si="465"/>
        <v>8.3999999999999995E-5</v>
      </c>
      <c r="BB642" s="78">
        <f t="shared" si="466"/>
        <v>8.3999999999999995E-5</v>
      </c>
      <c r="BC642" s="78">
        <f t="shared" si="467"/>
        <v>8.3999999999999995E-5</v>
      </c>
      <c r="BD642" s="78">
        <f t="shared" si="468"/>
        <v>8.3999999999999995E-5</v>
      </c>
      <c r="BE642" s="78">
        <f t="shared" si="469"/>
        <v>8.3999999999999995E-5</v>
      </c>
      <c r="BF642" s="88">
        <f t="shared" si="470"/>
        <v>8.3999999999999995E-5</v>
      </c>
      <c r="BG642" s="88">
        <f t="shared" si="471"/>
        <v>8.3999999999999995E-5</v>
      </c>
      <c r="BH642" s="88">
        <f t="shared" si="472"/>
        <v>8.3999999999999995E-5</v>
      </c>
      <c r="BI642" s="88">
        <f t="shared" si="473"/>
        <v>8.3999999999999995E-5</v>
      </c>
      <c r="BJ642" s="88">
        <f t="shared" si="474"/>
        <v>8.3999999999999995E-5</v>
      </c>
      <c r="BK642" s="88">
        <f t="shared" si="475"/>
        <v>8.3999999999999995E-5</v>
      </c>
      <c r="BL642" s="88">
        <f t="shared" si="476"/>
        <v>8.3999999999999995E-5</v>
      </c>
      <c r="BM642" s="88">
        <f t="shared" si="477"/>
        <v>8.3999999999999995E-5</v>
      </c>
      <c r="BN642" s="88">
        <f t="shared" si="478"/>
        <v>8.3999999999999995E-5</v>
      </c>
      <c r="BO642" s="88">
        <f t="shared" si="479"/>
        <v>8.3999999999999995E-5</v>
      </c>
      <c r="BP642" s="88">
        <f t="shared" si="480"/>
        <v>8.3999999999999995E-5</v>
      </c>
      <c r="BQ642" s="88">
        <f t="shared" si="481"/>
        <v>8.3999999999999995E-5</v>
      </c>
      <c r="BR642" s="88">
        <f t="shared" si="482"/>
        <v>8.3999999999999995E-5</v>
      </c>
      <c r="BS642" s="77"/>
      <c r="BT642" s="77"/>
    </row>
    <row r="643" spans="1:72" ht="14.1" customHeight="1" x14ac:dyDescent="0.2">
      <c r="A643" s="55" t="str">
        <f t="shared" si="408"/>
        <v>DS-6 (DS-3) Temp. Sensitive DS_Rider USS (Utility-Owned Solar and Storage Adjustment)</v>
      </c>
      <c r="B643" s="80" t="s">
        <v>643</v>
      </c>
      <c r="C643" s="83" t="s">
        <v>919</v>
      </c>
      <c r="D643" s="151"/>
      <c r="E643" s="81"/>
      <c r="F643" s="73" t="s">
        <v>649</v>
      </c>
      <c r="G643" s="73">
        <v>0</v>
      </c>
      <c r="H643" s="73">
        <v>6</v>
      </c>
      <c r="I643" s="74" t="s">
        <v>641</v>
      </c>
      <c r="J643" s="75" t="s">
        <v>634</v>
      </c>
      <c r="K643" s="74"/>
      <c r="L643" s="82">
        <v>0</v>
      </c>
      <c r="M643" s="138">
        <v>8.3999999999999995E-5</v>
      </c>
      <c r="N643" s="138">
        <v>8.3999999999999995E-5</v>
      </c>
      <c r="O643" s="138">
        <v>8.3999999999999995E-5</v>
      </c>
      <c r="P643" s="138">
        <v>8.3999999999999995E-5</v>
      </c>
      <c r="Q643" s="138">
        <v>8.3999999999999995E-5</v>
      </c>
      <c r="R643" s="138">
        <v>8.3999999999999995E-5</v>
      </c>
      <c r="S643" s="138">
        <v>8.3999999999999995E-5</v>
      </c>
      <c r="T643" s="138">
        <v>8.3999999999999995E-5</v>
      </c>
      <c r="U643" s="138">
        <v>8.3999999999999995E-5</v>
      </c>
      <c r="V643" s="138">
        <v>8.3999999999999995E-5</v>
      </c>
      <c r="W643" s="138">
        <v>8.3999999999999995E-5</v>
      </c>
      <c r="X643" s="138">
        <v>8.3999999999999995E-5</v>
      </c>
      <c r="Y643" s="138">
        <f t="shared" si="438"/>
        <v>8.3999999999999995E-5</v>
      </c>
      <c r="Z643" s="138">
        <f t="shared" si="439"/>
        <v>8.3999999999999995E-5</v>
      </c>
      <c r="AA643" s="138">
        <f t="shared" si="440"/>
        <v>8.3999999999999995E-5</v>
      </c>
      <c r="AB643" s="138">
        <f t="shared" si="441"/>
        <v>8.3999999999999995E-5</v>
      </c>
      <c r="AC643" s="138">
        <f t="shared" si="442"/>
        <v>8.3999999999999995E-5</v>
      </c>
      <c r="AD643" s="138">
        <f t="shared" si="443"/>
        <v>8.3999999999999995E-5</v>
      </c>
      <c r="AE643" s="138">
        <f t="shared" si="444"/>
        <v>8.3999999999999995E-5</v>
      </c>
      <c r="AF643" s="138">
        <f t="shared" si="445"/>
        <v>8.3999999999999995E-5</v>
      </c>
      <c r="AG643" s="138">
        <f t="shared" si="446"/>
        <v>8.3999999999999995E-5</v>
      </c>
      <c r="AH643" s="138">
        <f t="shared" si="447"/>
        <v>8.3999999999999995E-5</v>
      </c>
      <c r="AI643" s="138">
        <f t="shared" si="448"/>
        <v>8.3999999999999995E-5</v>
      </c>
      <c r="AJ643" s="138">
        <f t="shared" si="455"/>
        <v>8.3999999999999995E-5</v>
      </c>
      <c r="AK643" s="138">
        <f t="shared" si="455"/>
        <v>8.3999999999999995E-5</v>
      </c>
      <c r="AL643" s="138">
        <f t="shared" si="453"/>
        <v>8.3999999999999995E-5</v>
      </c>
      <c r="AM643" s="138">
        <f t="shared" si="454"/>
        <v>8.4000000000000036E-5</v>
      </c>
      <c r="AO643" s="77" t="str">
        <f t="shared" si="409"/>
        <v>DS-6 (DS-3) Temp. Sensitive DS</v>
      </c>
      <c r="AP643" s="78" t="s">
        <v>644</v>
      </c>
      <c r="AQ643" s="77" t="str">
        <f t="shared" si="410"/>
        <v>Rider USS (Utility-Owned Solar and Storage Adjustment)</v>
      </c>
      <c r="AR643" s="78" t="str">
        <f t="shared" si="456"/>
        <v>Billing Cycle</v>
      </c>
      <c r="AS643" s="79">
        <f t="shared" si="457"/>
        <v>6</v>
      </c>
      <c r="AT643" s="78">
        <f t="shared" si="458"/>
        <v>0</v>
      </c>
      <c r="AU643" s="78">
        <f t="shared" si="459"/>
        <v>8.3999999999999995E-5</v>
      </c>
      <c r="AV643" s="78">
        <f t="shared" si="460"/>
        <v>8.3999999999999995E-5</v>
      </c>
      <c r="AW643" s="78">
        <f t="shared" si="461"/>
        <v>8.3999999999999995E-5</v>
      </c>
      <c r="AX643" s="78">
        <f t="shared" si="462"/>
        <v>8.3999999999999995E-5</v>
      </c>
      <c r="AY643" s="78">
        <f t="shared" si="463"/>
        <v>8.3999999999999995E-5</v>
      </c>
      <c r="AZ643" s="78">
        <f t="shared" si="464"/>
        <v>8.3999999999999995E-5</v>
      </c>
      <c r="BA643" s="78">
        <f t="shared" si="465"/>
        <v>8.3999999999999995E-5</v>
      </c>
      <c r="BB643" s="78">
        <f t="shared" si="466"/>
        <v>8.3999999999999995E-5</v>
      </c>
      <c r="BC643" s="78">
        <f t="shared" si="467"/>
        <v>8.3999999999999995E-5</v>
      </c>
      <c r="BD643" s="78">
        <f t="shared" si="468"/>
        <v>8.3999999999999995E-5</v>
      </c>
      <c r="BE643" s="78">
        <f t="shared" si="469"/>
        <v>8.3999999999999995E-5</v>
      </c>
      <c r="BF643" s="88">
        <f t="shared" si="470"/>
        <v>8.3999999999999995E-5</v>
      </c>
      <c r="BG643" s="88">
        <f t="shared" si="471"/>
        <v>8.3999999999999995E-5</v>
      </c>
      <c r="BH643" s="88">
        <f t="shared" si="472"/>
        <v>8.3999999999999995E-5</v>
      </c>
      <c r="BI643" s="88">
        <f t="shared" si="473"/>
        <v>8.3999999999999995E-5</v>
      </c>
      <c r="BJ643" s="88">
        <f t="shared" si="474"/>
        <v>8.3999999999999995E-5</v>
      </c>
      <c r="BK643" s="88">
        <f t="shared" si="475"/>
        <v>8.3999999999999995E-5</v>
      </c>
      <c r="BL643" s="88">
        <f t="shared" si="476"/>
        <v>8.3999999999999995E-5</v>
      </c>
      <c r="BM643" s="88">
        <f t="shared" si="477"/>
        <v>8.3999999999999995E-5</v>
      </c>
      <c r="BN643" s="88">
        <f t="shared" si="478"/>
        <v>8.3999999999999995E-5</v>
      </c>
      <c r="BO643" s="88">
        <f t="shared" si="479"/>
        <v>8.3999999999999995E-5</v>
      </c>
      <c r="BP643" s="88">
        <f t="shared" si="480"/>
        <v>8.3999999999999995E-5</v>
      </c>
      <c r="BQ643" s="88">
        <f t="shared" si="481"/>
        <v>8.3999999999999995E-5</v>
      </c>
      <c r="BR643" s="88">
        <f t="shared" si="482"/>
        <v>8.3999999999999995E-5</v>
      </c>
      <c r="BS643" s="77"/>
      <c r="BT643" s="77"/>
    </row>
    <row r="644" spans="1:72" ht="14.1" customHeight="1" x14ac:dyDescent="0.2">
      <c r="A644" s="55" t="str">
        <f t="shared" si="408"/>
        <v>DS-6 (DS-4) Temp. Sensitive DS_Rider USS (Utility-Owned Solar and Storage Adjustment)</v>
      </c>
      <c r="B644" s="80" t="s">
        <v>645</v>
      </c>
      <c r="C644" s="83" t="s">
        <v>919</v>
      </c>
      <c r="D644" s="151"/>
      <c r="E644" s="81"/>
      <c r="F644" s="73" t="s">
        <v>649</v>
      </c>
      <c r="G644" s="73">
        <v>0</v>
      </c>
      <c r="H644" s="73">
        <v>6</v>
      </c>
      <c r="I644" s="74" t="s">
        <v>641</v>
      </c>
      <c r="J644" s="75" t="s">
        <v>634</v>
      </c>
      <c r="K644" s="74"/>
      <c r="L644" s="82">
        <v>0</v>
      </c>
      <c r="M644" s="138">
        <v>8.3999999999999995E-5</v>
      </c>
      <c r="N644" s="138">
        <v>8.3999999999999995E-5</v>
      </c>
      <c r="O644" s="138">
        <v>8.3999999999999995E-5</v>
      </c>
      <c r="P644" s="138">
        <v>8.3999999999999995E-5</v>
      </c>
      <c r="Q644" s="138">
        <v>8.3999999999999995E-5</v>
      </c>
      <c r="R644" s="138">
        <v>8.3999999999999995E-5</v>
      </c>
      <c r="S644" s="138">
        <v>8.3999999999999995E-5</v>
      </c>
      <c r="T644" s="138">
        <v>8.3999999999999995E-5</v>
      </c>
      <c r="U644" s="138">
        <v>8.3999999999999995E-5</v>
      </c>
      <c r="V644" s="138">
        <v>8.3999999999999995E-5</v>
      </c>
      <c r="W644" s="138">
        <v>8.3999999999999995E-5</v>
      </c>
      <c r="X644" s="138">
        <v>8.3999999999999995E-5</v>
      </c>
      <c r="Y644" s="138">
        <f t="shared" si="438"/>
        <v>8.3999999999999995E-5</v>
      </c>
      <c r="Z644" s="138">
        <f t="shared" si="439"/>
        <v>8.3999999999999995E-5</v>
      </c>
      <c r="AA644" s="138">
        <f t="shared" si="440"/>
        <v>8.3999999999999995E-5</v>
      </c>
      <c r="AB644" s="138">
        <f t="shared" si="441"/>
        <v>8.3999999999999995E-5</v>
      </c>
      <c r="AC644" s="138">
        <f t="shared" si="442"/>
        <v>8.3999999999999995E-5</v>
      </c>
      <c r="AD644" s="138">
        <f t="shared" si="443"/>
        <v>8.3999999999999995E-5</v>
      </c>
      <c r="AE644" s="138">
        <f t="shared" si="444"/>
        <v>8.3999999999999995E-5</v>
      </c>
      <c r="AF644" s="138">
        <f t="shared" si="445"/>
        <v>8.3999999999999995E-5</v>
      </c>
      <c r="AG644" s="138">
        <f t="shared" si="446"/>
        <v>8.3999999999999995E-5</v>
      </c>
      <c r="AH644" s="138">
        <f t="shared" si="447"/>
        <v>8.3999999999999995E-5</v>
      </c>
      <c r="AI644" s="138">
        <f t="shared" si="448"/>
        <v>8.3999999999999995E-5</v>
      </c>
      <c r="AJ644" s="138">
        <f t="shared" si="455"/>
        <v>8.3999999999999995E-5</v>
      </c>
      <c r="AK644" s="138">
        <f t="shared" si="455"/>
        <v>8.3999999999999995E-5</v>
      </c>
      <c r="AL644" s="138">
        <f t="shared" si="453"/>
        <v>8.3999999999999995E-5</v>
      </c>
      <c r="AM644" s="138">
        <f t="shared" si="454"/>
        <v>8.4000000000000036E-5</v>
      </c>
      <c r="AO644" s="77" t="str">
        <f t="shared" si="409"/>
        <v>DS-6 (DS-4) Temp. Sensitive DS</v>
      </c>
      <c r="AP644" s="78" t="s">
        <v>646</v>
      </c>
      <c r="AQ644" s="77" t="str">
        <f t="shared" si="410"/>
        <v>Rider USS (Utility-Owned Solar and Storage Adjustment)</v>
      </c>
      <c r="AR644" s="78" t="str">
        <f t="shared" si="456"/>
        <v>Billing Cycle</v>
      </c>
      <c r="AS644" s="79">
        <f t="shared" si="457"/>
        <v>6</v>
      </c>
      <c r="AT644" s="78">
        <f t="shared" si="458"/>
        <v>0</v>
      </c>
      <c r="AU644" s="78">
        <f t="shared" si="459"/>
        <v>8.3999999999999995E-5</v>
      </c>
      <c r="AV644" s="78">
        <f t="shared" si="460"/>
        <v>8.3999999999999995E-5</v>
      </c>
      <c r="AW644" s="78">
        <f t="shared" si="461"/>
        <v>8.3999999999999995E-5</v>
      </c>
      <c r="AX644" s="78">
        <f t="shared" si="462"/>
        <v>8.3999999999999995E-5</v>
      </c>
      <c r="AY644" s="78">
        <f t="shared" si="463"/>
        <v>8.3999999999999995E-5</v>
      </c>
      <c r="AZ644" s="78">
        <f t="shared" si="464"/>
        <v>8.3999999999999995E-5</v>
      </c>
      <c r="BA644" s="78">
        <f t="shared" si="465"/>
        <v>8.3999999999999995E-5</v>
      </c>
      <c r="BB644" s="78">
        <f t="shared" si="466"/>
        <v>8.3999999999999995E-5</v>
      </c>
      <c r="BC644" s="78">
        <f t="shared" si="467"/>
        <v>8.3999999999999995E-5</v>
      </c>
      <c r="BD644" s="78">
        <f t="shared" si="468"/>
        <v>8.3999999999999995E-5</v>
      </c>
      <c r="BE644" s="78">
        <f t="shared" si="469"/>
        <v>8.3999999999999995E-5</v>
      </c>
      <c r="BF644" s="88">
        <f t="shared" si="470"/>
        <v>8.3999999999999995E-5</v>
      </c>
      <c r="BG644" s="88">
        <f t="shared" si="471"/>
        <v>8.3999999999999995E-5</v>
      </c>
      <c r="BH644" s="88">
        <f t="shared" si="472"/>
        <v>8.3999999999999995E-5</v>
      </c>
      <c r="BI644" s="88">
        <f t="shared" si="473"/>
        <v>8.3999999999999995E-5</v>
      </c>
      <c r="BJ644" s="88">
        <f t="shared" si="474"/>
        <v>8.3999999999999995E-5</v>
      </c>
      <c r="BK644" s="88">
        <f t="shared" si="475"/>
        <v>8.3999999999999995E-5</v>
      </c>
      <c r="BL644" s="88">
        <f t="shared" si="476"/>
        <v>8.3999999999999995E-5</v>
      </c>
      <c r="BM644" s="88">
        <f t="shared" si="477"/>
        <v>8.3999999999999995E-5</v>
      </c>
      <c r="BN644" s="88">
        <f t="shared" si="478"/>
        <v>8.3999999999999995E-5</v>
      </c>
      <c r="BO644" s="88">
        <f t="shared" si="479"/>
        <v>8.3999999999999995E-5</v>
      </c>
      <c r="BP644" s="88">
        <f t="shared" si="480"/>
        <v>8.3999999999999995E-5</v>
      </c>
      <c r="BQ644" s="88">
        <f t="shared" si="481"/>
        <v>8.3999999999999995E-5</v>
      </c>
      <c r="BR644" s="88">
        <f t="shared" si="482"/>
        <v>8.3999999999999995E-5</v>
      </c>
      <c r="BS644" s="77"/>
      <c r="BT644" s="77"/>
    </row>
    <row r="645" spans="1:72" ht="14.1" customHeight="1" x14ac:dyDescent="0.2">
      <c r="A645" s="55" t="str">
        <f t="shared" si="408"/>
        <v>GDS-1 (Residential)_GDS-1-Low Income Credit Adjustment</v>
      </c>
      <c r="B645" s="80" t="s">
        <v>95</v>
      </c>
      <c r="C645" s="83" t="s">
        <v>920</v>
      </c>
      <c r="D645" s="151" t="s">
        <v>557</v>
      </c>
      <c r="E645" s="81"/>
      <c r="F645" s="73" t="s">
        <v>649</v>
      </c>
      <c r="G645" s="73">
        <v>0</v>
      </c>
      <c r="H645" s="73">
        <v>6</v>
      </c>
      <c r="I645" s="74" t="s">
        <v>641</v>
      </c>
      <c r="J645" s="75" t="s">
        <v>634</v>
      </c>
      <c r="K645" s="74"/>
      <c r="L645" s="82">
        <v>0</v>
      </c>
      <c r="M645" s="138">
        <v>0</v>
      </c>
      <c r="N645" s="138">
        <v>0</v>
      </c>
      <c r="O645" s="138">
        <v>0</v>
      </c>
      <c r="P645" s="138">
        <v>0</v>
      </c>
      <c r="Q645" s="138">
        <v>0</v>
      </c>
      <c r="R645" s="138">
        <v>0</v>
      </c>
      <c r="S645" s="138">
        <v>0</v>
      </c>
      <c r="T645" s="138">
        <v>0</v>
      </c>
      <c r="U645" s="138">
        <v>0</v>
      </c>
      <c r="V645" s="138">
        <v>2.13</v>
      </c>
      <c r="W645" s="138">
        <v>2.13</v>
      </c>
      <c r="X645" s="138">
        <v>2.13</v>
      </c>
      <c r="Y645" s="138">
        <f t="shared" si="438"/>
        <v>2.13</v>
      </c>
      <c r="Z645" s="138">
        <f t="shared" si="439"/>
        <v>2.13</v>
      </c>
      <c r="AA645" s="138">
        <f t="shared" si="440"/>
        <v>2.13</v>
      </c>
      <c r="AB645" s="138">
        <f t="shared" si="441"/>
        <v>2.13</v>
      </c>
      <c r="AC645" s="138">
        <f t="shared" si="442"/>
        <v>2.13</v>
      </c>
      <c r="AD645" s="138">
        <f t="shared" si="443"/>
        <v>2.13</v>
      </c>
      <c r="AE645" s="138">
        <f t="shared" si="444"/>
        <v>2.13</v>
      </c>
      <c r="AF645" s="138">
        <f t="shared" si="445"/>
        <v>2.13</v>
      </c>
      <c r="AG645" s="138">
        <f t="shared" si="446"/>
        <v>2.13</v>
      </c>
      <c r="AH645" s="138">
        <f t="shared" si="447"/>
        <v>2.13</v>
      </c>
      <c r="AI645" s="138">
        <f t="shared" si="448"/>
        <v>2.13</v>
      </c>
      <c r="AJ645" s="138">
        <f t="shared" si="455"/>
        <v>2.13</v>
      </c>
      <c r="AK645" s="138">
        <f t="shared" si="455"/>
        <v>2.13</v>
      </c>
      <c r="AL645" s="138">
        <f t="shared" si="453"/>
        <v>2.1299999999999994</v>
      </c>
      <c r="AM645" s="138">
        <f t="shared" si="454"/>
        <v>1.4199999999999997</v>
      </c>
      <c r="AO645" s="77" t="str">
        <f t="shared" si="409"/>
        <v>GDS-1 (Residential)</v>
      </c>
      <c r="AP645" s="78" t="s">
        <v>668</v>
      </c>
      <c r="AQ645" s="77" t="str">
        <f t="shared" si="410"/>
        <v>GDS-1-Low Income Credit Adjustment</v>
      </c>
      <c r="AR645" s="78" t="str">
        <f t="shared" si="456"/>
        <v>Billing Cycle</v>
      </c>
      <c r="AS645" s="79">
        <f t="shared" si="457"/>
        <v>6</v>
      </c>
      <c r="AT645" s="78">
        <f t="shared" si="458"/>
        <v>0</v>
      </c>
      <c r="AU645" s="78">
        <f t="shared" si="459"/>
        <v>0</v>
      </c>
      <c r="AV645" s="78">
        <f t="shared" si="460"/>
        <v>0</v>
      </c>
      <c r="AW645" s="78">
        <f t="shared" si="461"/>
        <v>0</v>
      </c>
      <c r="AX645" s="78">
        <f t="shared" si="462"/>
        <v>0</v>
      </c>
      <c r="AY645" s="78">
        <f t="shared" si="463"/>
        <v>0</v>
      </c>
      <c r="AZ645" s="78">
        <f t="shared" si="464"/>
        <v>0</v>
      </c>
      <c r="BA645" s="78">
        <f t="shared" si="465"/>
        <v>0</v>
      </c>
      <c r="BB645" s="78">
        <f t="shared" si="466"/>
        <v>0</v>
      </c>
      <c r="BC645" s="78">
        <f t="shared" si="467"/>
        <v>0</v>
      </c>
      <c r="BD645" s="78">
        <f t="shared" si="468"/>
        <v>2.13</v>
      </c>
      <c r="BE645" s="78">
        <f t="shared" si="469"/>
        <v>2.13</v>
      </c>
      <c r="BF645" s="88">
        <f t="shared" si="470"/>
        <v>2.13</v>
      </c>
      <c r="BG645" s="88">
        <f t="shared" si="471"/>
        <v>2.13</v>
      </c>
      <c r="BH645" s="88">
        <f t="shared" si="472"/>
        <v>2.13</v>
      </c>
      <c r="BI645" s="88">
        <f t="shared" si="473"/>
        <v>2.13</v>
      </c>
      <c r="BJ645" s="88">
        <f t="shared" si="474"/>
        <v>2.13</v>
      </c>
      <c r="BK645" s="88">
        <f t="shared" si="475"/>
        <v>2.13</v>
      </c>
      <c r="BL645" s="88">
        <f t="shared" si="476"/>
        <v>2.13</v>
      </c>
      <c r="BM645" s="88">
        <f t="shared" si="477"/>
        <v>2.13</v>
      </c>
      <c r="BN645" s="88">
        <f t="shared" si="478"/>
        <v>2.13</v>
      </c>
      <c r="BO645" s="88">
        <f t="shared" si="479"/>
        <v>2.13</v>
      </c>
      <c r="BP645" s="88">
        <f t="shared" si="480"/>
        <v>2.13</v>
      </c>
      <c r="BQ645" s="88">
        <f t="shared" si="481"/>
        <v>2.13</v>
      </c>
      <c r="BR645" s="88">
        <f t="shared" si="482"/>
        <v>2.13</v>
      </c>
      <c r="BS645" s="77"/>
      <c r="BT645" s="77"/>
    </row>
    <row r="646" spans="1:72" ht="14.1" customHeight="1" x14ac:dyDescent="0.2">
      <c r="A646" s="55" t="str">
        <f t="shared" ref="A646:A662" si="483">B646&amp;"_"&amp;C646</f>
        <v>GDS-2 (Small General Delivery)_GDS-2-Low Income Credit Adjustment &lt; 4M</v>
      </c>
      <c r="B646" s="80" t="s">
        <v>669</v>
      </c>
      <c r="C646" s="83" t="s">
        <v>921</v>
      </c>
      <c r="D646" s="151"/>
      <c r="E646" s="81"/>
      <c r="F646" s="73" t="s">
        <v>649</v>
      </c>
      <c r="G646" s="73">
        <v>0</v>
      </c>
      <c r="H646" s="73">
        <v>6</v>
      </c>
      <c r="I646" s="74" t="s">
        <v>641</v>
      </c>
      <c r="J646" s="75" t="s">
        <v>634</v>
      </c>
      <c r="K646" s="74"/>
      <c r="L646" s="82">
        <v>0</v>
      </c>
      <c r="M646" s="138">
        <v>0</v>
      </c>
      <c r="N646" s="138">
        <v>0</v>
      </c>
      <c r="O646" s="138">
        <v>0</v>
      </c>
      <c r="P646" s="138">
        <v>0</v>
      </c>
      <c r="Q646" s="138">
        <v>0</v>
      </c>
      <c r="R646" s="138">
        <v>0</v>
      </c>
      <c r="S646" s="138">
        <v>0</v>
      </c>
      <c r="T646" s="138">
        <v>0</v>
      </c>
      <c r="U646" s="138">
        <v>0</v>
      </c>
      <c r="V646" s="138">
        <v>21.3</v>
      </c>
      <c r="W646" s="138">
        <v>21.3</v>
      </c>
      <c r="X646" s="138">
        <v>21.3</v>
      </c>
      <c r="Y646" s="138">
        <f t="shared" si="438"/>
        <v>21.3</v>
      </c>
      <c r="Z646" s="138">
        <f t="shared" si="439"/>
        <v>21.3</v>
      </c>
      <c r="AA646" s="138">
        <f t="shared" si="440"/>
        <v>21.3</v>
      </c>
      <c r="AB646" s="138">
        <f t="shared" si="441"/>
        <v>21.3</v>
      </c>
      <c r="AC646" s="138">
        <f t="shared" si="442"/>
        <v>21.3</v>
      </c>
      <c r="AD646" s="138">
        <f t="shared" si="443"/>
        <v>21.3</v>
      </c>
      <c r="AE646" s="138">
        <f t="shared" si="444"/>
        <v>21.3</v>
      </c>
      <c r="AF646" s="138">
        <f t="shared" si="445"/>
        <v>21.3</v>
      </c>
      <c r="AG646" s="138">
        <f t="shared" si="446"/>
        <v>21.3</v>
      </c>
      <c r="AH646" s="138">
        <f t="shared" si="447"/>
        <v>21.3</v>
      </c>
      <c r="AI646" s="138">
        <f t="shared" si="448"/>
        <v>21.3</v>
      </c>
      <c r="AJ646" s="138">
        <f t="shared" si="455"/>
        <v>21.3</v>
      </c>
      <c r="AK646" s="138">
        <f t="shared" si="455"/>
        <v>21.3</v>
      </c>
      <c r="AL646" s="138">
        <f t="shared" si="453"/>
        <v>21.300000000000004</v>
      </c>
      <c r="AM646" s="138">
        <f t="shared" si="454"/>
        <v>14.200000000000003</v>
      </c>
      <c r="AO646" s="77" t="str">
        <f t="shared" ref="AO646:AO662" si="484">IF(B646="","",B646)</f>
        <v>GDS-2 (Small General Delivery)</v>
      </c>
      <c r="AP646" s="78" t="s">
        <v>670</v>
      </c>
      <c r="AQ646" s="77" t="str">
        <f t="shared" ref="AQ646:AQ662" si="485">IF(B646="","",C646)</f>
        <v>GDS-2-Low Income Credit Adjustment &lt; 4M</v>
      </c>
      <c r="AR646" s="78" t="str">
        <f t="shared" si="456"/>
        <v>Billing Cycle</v>
      </c>
      <c r="AS646" s="79">
        <f t="shared" si="457"/>
        <v>6</v>
      </c>
      <c r="AT646" s="78">
        <f t="shared" si="458"/>
        <v>0</v>
      </c>
      <c r="AU646" s="78">
        <f t="shared" si="459"/>
        <v>0</v>
      </c>
      <c r="AV646" s="78">
        <f t="shared" si="460"/>
        <v>0</v>
      </c>
      <c r="AW646" s="78">
        <f t="shared" si="461"/>
        <v>0</v>
      </c>
      <c r="AX646" s="78">
        <f t="shared" si="462"/>
        <v>0</v>
      </c>
      <c r="AY646" s="78">
        <f t="shared" si="463"/>
        <v>0</v>
      </c>
      <c r="AZ646" s="78">
        <f t="shared" si="464"/>
        <v>0</v>
      </c>
      <c r="BA646" s="78">
        <f t="shared" si="465"/>
        <v>0</v>
      </c>
      <c r="BB646" s="78">
        <f t="shared" si="466"/>
        <v>0</v>
      </c>
      <c r="BC646" s="78">
        <f t="shared" si="467"/>
        <v>0</v>
      </c>
      <c r="BD646" s="78">
        <f t="shared" si="468"/>
        <v>21.3</v>
      </c>
      <c r="BE646" s="78">
        <f t="shared" si="469"/>
        <v>21.3</v>
      </c>
      <c r="BF646" s="88">
        <f t="shared" si="470"/>
        <v>21.3</v>
      </c>
      <c r="BG646" s="88">
        <f t="shared" si="471"/>
        <v>21.3</v>
      </c>
      <c r="BH646" s="88">
        <f t="shared" si="472"/>
        <v>21.3</v>
      </c>
      <c r="BI646" s="88">
        <f t="shared" si="473"/>
        <v>21.3</v>
      </c>
      <c r="BJ646" s="88">
        <f t="shared" si="474"/>
        <v>21.3</v>
      </c>
      <c r="BK646" s="88">
        <f t="shared" si="475"/>
        <v>21.3</v>
      </c>
      <c r="BL646" s="88">
        <f t="shared" si="476"/>
        <v>21.3</v>
      </c>
      <c r="BM646" s="88">
        <f t="shared" si="477"/>
        <v>21.3</v>
      </c>
      <c r="BN646" s="88">
        <f t="shared" si="478"/>
        <v>21.3</v>
      </c>
      <c r="BO646" s="88">
        <f t="shared" si="479"/>
        <v>21.3</v>
      </c>
      <c r="BP646" s="88">
        <f t="shared" si="480"/>
        <v>21.3</v>
      </c>
      <c r="BQ646" s="88">
        <f t="shared" si="481"/>
        <v>21.3</v>
      </c>
      <c r="BR646" s="88">
        <f t="shared" si="482"/>
        <v>21.3</v>
      </c>
      <c r="BS646" s="77"/>
      <c r="BT646" s="77"/>
    </row>
    <row r="647" spans="1:72" ht="14.1" customHeight="1" x14ac:dyDescent="0.2">
      <c r="A647" s="55" t="str">
        <f t="shared" si="483"/>
        <v>GDS-3 (Intermediate General Delivery)_GDS-3-Low Income Credit Adjustment &lt; 4M</v>
      </c>
      <c r="B647" s="80" t="s">
        <v>671</v>
      </c>
      <c r="C647" s="83" t="s">
        <v>922</v>
      </c>
      <c r="D647" s="151"/>
      <c r="E647" s="81"/>
      <c r="F647" s="73" t="s">
        <v>649</v>
      </c>
      <c r="G647" s="73">
        <v>0</v>
      </c>
      <c r="H647" s="73">
        <v>6</v>
      </c>
      <c r="I647" s="74" t="s">
        <v>641</v>
      </c>
      <c r="J647" s="75" t="s">
        <v>634</v>
      </c>
      <c r="K647" s="74"/>
      <c r="L647" s="82">
        <v>0</v>
      </c>
      <c r="M647" s="138">
        <v>0</v>
      </c>
      <c r="N647" s="138">
        <v>0</v>
      </c>
      <c r="O647" s="138">
        <v>0</v>
      </c>
      <c r="P647" s="138">
        <v>0</v>
      </c>
      <c r="Q647" s="138">
        <v>0</v>
      </c>
      <c r="R647" s="138">
        <v>0</v>
      </c>
      <c r="S647" s="138">
        <v>0</v>
      </c>
      <c r="T647" s="138">
        <v>0</v>
      </c>
      <c r="U647" s="138">
        <v>0</v>
      </c>
      <c r="V647" s="138">
        <v>21.3</v>
      </c>
      <c r="W647" s="138">
        <v>21.3</v>
      </c>
      <c r="X647" s="138">
        <v>21.3</v>
      </c>
      <c r="Y647" s="138">
        <f t="shared" ref="Y647:Y662" si="486">X647</f>
        <v>21.3</v>
      </c>
      <c r="Z647" s="138">
        <f t="shared" ref="Z647:Z662" si="487">Y647</f>
        <v>21.3</v>
      </c>
      <c r="AA647" s="138">
        <f t="shared" ref="AA647:AA662" si="488">Z647</f>
        <v>21.3</v>
      </c>
      <c r="AB647" s="138">
        <f t="shared" ref="AB647:AB662" si="489">AA647</f>
        <v>21.3</v>
      </c>
      <c r="AC647" s="138">
        <f t="shared" ref="AC647:AC662" si="490">AB647</f>
        <v>21.3</v>
      </c>
      <c r="AD647" s="138">
        <f t="shared" ref="AD647:AD662" si="491">AC647</f>
        <v>21.3</v>
      </c>
      <c r="AE647" s="138">
        <f t="shared" ref="AE647:AE662" si="492">AD647</f>
        <v>21.3</v>
      </c>
      <c r="AF647" s="138">
        <f t="shared" ref="AF647:AF662" si="493">AE647</f>
        <v>21.3</v>
      </c>
      <c r="AG647" s="138">
        <f t="shared" ref="AG647:AG662" si="494">AF647</f>
        <v>21.3</v>
      </c>
      <c r="AH647" s="138">
        <f t="shared" ref="AH647:AH662" si="495">AG647</f>
        <v>21.3</v>
      </c>
      <c r="AI647" s="138">
        <f t="shared" ref="AI647:AI662" si="496">AH647</f>
        <v>21.3</v>
      </c>
      <c r="AJ647" s="138">
        <f t="shared" si="455"/>
        <v>21.3</v>
      </c>
      <c r="AK647" s="138">
        <f t="shared" si="455"/>
        <v>21.3</v>
      </c>
      <c r="AL647" s="138">
        <f t="shared" si="453"/>
        <v>21.300000000000004</v>
      </c>
      <c r="AM647" s="138">
        <f t="shared" si="454"/>
        <v>14.200000000000003</v>
      </c>
      <c r="AO647" s="77" t="str">
        <f t="shared" si="484"/>
        <v>GDS-3 (Intermediate General Delivery)</v>
      </c>
      <c r="AP647" s="78" t="s">
        <v>672</v>
      </c>
      <c r="AQ647" s="77" t="str">
        <f t="shared" si="485"/>
        <v>GDS-3-Low Income Credit Adjustment &lt; 4M</v>
      </c>
      <c r="AR647" s="78" t="str">
        <f t="shared" si="456"/>
        <v>Billing Cycle</v>
      </c>
      <c r="AS647" s="79">
        <f t="shared" si="457"/>
        <v>6</v>
      </c>
      <c r="AT647" s="78">
        <f t="shared" si="458"/>
        <v>0</v>
      </c>
      <c r="AU647" s="78">
        <f t="shared" si="459"/>
        <v>0</v>
      </c>
      <c r="AV647" s="78">
        <f t="shared" si="460"/>
        <v>0</v>
      </c>
      <c r="AW647" s="78">
        <f t="shared" si="461"/>
        <v>0</v>
      </c>
      <c r="AX647" s="78">
        <f t="shared" si="462"/>
        <v>0</v>
      </c>
      <c r="AY647" s="78">
        <f t="shared" si="463"/>
        <v>0</v>
      </c>
      <c r="AZ647" s="78">
        <f t="shared" si="464"/>
        <v>0</v>
      </c>
      <c r="BA647" s="78">
        <f t="shared" si="465"/>
        <v>0</v>
      </c>
      <c r="BB647" s="78">
        <f t="shared" si="466"/>
        <v>0</v>
      </c>
      <c r="BC647" s="78">
        <f t="shared" si="467"/>
        <v>0</v>
      </c>
      <c r="BD647" s="78">
        <f t="shared" si="468"/>
        <v>21.3</v>
      </c>
      <c r="BE647" s="78">
        <f t="shared" si="469"/>
        <v>21.3</v>
      </c>
      <c r="BF647" s="88">
        <f t="shared" si="470"/>
        <v>21.3</v>
      </c>
      <c r="BG647" s="88">
        <f t="shared" si="471"/>
        <v>21.3</v>
      </c>
      <c r="BH647" s="88">
        <f t="shared" si="472"/>
        <v>21.3</v>
      </c>
      <c r="BI647" s="88">
        <f t="shared" si="473"/>
        <v>21.3</v>
      </c>
      <c r="BJ647" s="88">
        <f t="shared" si="474"/>
        <v>21.3</v>
      </c>
      <c r="BK647" s="88">
        <f t="shared" si="475"/>
        <v>21.3</v>
      </c>
      <c r="BL647" s="88">
        <f t="shared" si="476"/>
        <v>21.3</v>
      </c>
      <c r="BM647" s="88">
        <f t="shared" si="477"/>
        <v>21.3</v>
      </c>
      <c r="BN647" s="88">
        <f t="shared" si="478"/>
        <v>21.3</v>
      </c>
      <c r="BO647" s="88">
        <f t="shared" si="479"/>
        <v>21.3</v>
      </c>
      <c r="BP647" s="88">
        <f t="shared" si="480"/>
        <v>21.3</v>
      </c>
      <c r="BQ647" s="88">
        <f t="shared" si="481"/>
        <v>21.3</v>
      </c>
      <c r="BR647" s="88">
        <f t="shared" si="482"/>
        <v>21.3</v>
      </c>
      <c r="BS647" s="77"/>
      <c r="BT647" s="77"/>
    </row>
    <row r="648" spans="1:72" ht="14.1" customHeight="1" x14ac:dyDescent="0.2">
      <c r="A648" s="55" t="str">
        <f t="shared" si="483"/>
        <v>GDS-4 (Large General Delivery)_GDS-4-Low Income Credit Adjustment &lt; 4M</v>
      </c>
      <c r="B648" s="80" t="s">
        <v>673</v>
      </c>
      <c r="C648" s="83" t="s">
        <v>923</v>
      </c>
      <c r="D648" s="151"/>
      <c r="E648" s="81"/>
      <c r="F648" s="73" t="s">
        <v>649</v>
      </c>
      <c r="G648" s="73">
        <v>0</v>
      </c>
      <c r="H648" s="73">
        <v>6</v>
      </c>
      <c r="I648" s="74" t="s">
        <v>641</v>
      </c>
      <c r="J648" s="75" t="s">
        <v>634</v>
      </c>
      <c r="K648" s="74"/>
      <c r="L648" s="82">
        <v>0</v>
      </c>
      <c r="M648" s="138">
        <v>0</v>
      </c>
      <c r="N648" s="138">
        <v>0</v>
      </c>
      <c r="O648" s="138">
        <v>0</v>
      </c>
      <c r="P648" s="138">
        <v>0</v>
      </c>
      <c r="Q648" s="138">
        <v>0</v>
      </c>
      <c r="R648" s="138">
        <v>0</v>
      </c>
      <c r="S648" s="138">
        <v>0</v>
      </c>
      <c r="T648" s="138">
        <v>0</v>
      </c>
      <c r="U648" s="138">
        <v>0</v>
      </c>
      <c r="V648" s="138">
        <v>21.3</v>
      </c>
      <c r="W648" s="138">
        <v>21.3</v>
      </c>
      <c r="X648" s="138">
        <v>21.3</v>
      </c>
      <c r="Y648" s="138">
        <f t="shared" si="486"/>
        <v>21.3</v>
      </c>
      <c r="Z648" s="138">
        <f t="shared" si="487"/>
        <v>21.3</v>
      </c>
      <c r="AA648" s="138">
        <f t="shared" si="488"/>
        <v>21.3</v>
      </c>
      <c r="AB648" s="138">
        <f t="shared" si="489"/>
        <v>21.3</v>
      </c>
      <c r="AC648" s="138">
        <f t="shared" si="490"/>
        <v>21.3</v>
      </c>
      <c r="AD648" s="138">
        <f t="shared" si="491"/>
        <v>21.3</v>
      </c>
      <c r="AE648" s="138">
        <f t="shared" si="492"/>
        <v>21.3</v>
      </c>
      <c r="AF648" s="138">
        <f t="shared" si="493"/>
        <v>21.3</v>
      </c>
      <c r="AG648" s="138">
        <f t="shared" si="494"/>
        <v>21.3</v>
      </c>
      <c r="AH648" s="138">
        <f t="shared" si="495"/>
        <v>21.3</v>
      </c>
      <c r="AI648" s="138">
        <f t="shared" si="496"/>
        <v>21.3</v>
      </c>
      <c r="AJ648" s="138">
        <f t="shared" si="455"/>
        <v>21.3</v>
      </c>
      <c r="AK648" s="138">
        <f t="shared" si="455"/>
        <v>21.3</v>
      </c>
      <c r="AL648" s="138">
        <f t="shared" si="453"/>
        <v>21.300000000000004</v>
      </c>
      <c r="AM648" s="138">
        <f t="shared" si="454"/>
        <v>14.200000000000003</v>
      </c>
      <c r="AO648" s="77" t="str">
        <f t="shared" si="484"/>
        <v>GDS-4 (Large General Delivery)</v>
      </c>
      <c r="AP648" s="78" t="s">
        <v>674</v>
      </c>
      <c r="AQ648" s="77" t="str">
        <f t="shared" si="485"/>
        <v>GDS-4-Low Income Credit Adjustment &lt; 4M</v>
      </c>
      <c r="AR648" s="78" t="str">
        <f t="shared" si="456"/>
        <v>Billing Cycle</v>
      </c>
      <c r="AS648" s="79">
        <f t="shared" si="457"/>
        <v>6</v>
      </c>
      <c r="AT648" s="78">
        <f t="shared" si="458"/>
        <v>0</v>
      </c>
      <c r="AU648" s="78">
        <f t="shared" si="459"/>
        <v>0</v>
      </c>
      <c r="AV648" s="78">
        <f t="shared" si="460"/>
        <v>0</v>
      </c>
      <c r="AW648" s="78">
        <f t="shared" si="461"/>
        <v>0</v>
      </c>
      <c r="AX648" s="78">
        <f t="shared" si="462"/>
        <v>0</v>
      </c>
      <c r="AY648" s="78">
        <f t="shared" si="463"/>
        <v>0</v>
      </c>
      <c r="AZ648" s="78">
        <f t="shared" si="464"/>
        <v>0</v>
      </c>
      <c r="BA648" s="78">
        <f t="shared" si="465"/>
        <v>0</v>
      </c>
      <c r="BB648" s="78">
        <f t="shared" si="466"/>
        <v>0</v>
      </c>
      <c r="BC648" s="78">
        <f t="shared" si="467"/>
        <v>0</v>
      </c>
      <c r="BD648" s="78">
        <f t="shared" si="468"/>
        <v>21.3</v>
      </c>
      <c r="BE648" s="78">
        <f t="shared" si="469"/>
        <v>21.3</v>
      </c>
      <c r="BF648" s="88">
        <f t="shared" si="470"/>
        <v>21.3</v>
      </c>
      <c r="BG648" s="88">
        <f t="shared" si="471"/>
        <v>21.3</v>
      </c>
      <c r="BH648" s="88">
        <f t="shared" si="472"/>
        <v>21.3</v>
      </c>
      <c r="BI648" s="88">
        <f t="shared" si="473"/>
        <v>21.3</v>
      </c>
      <c r="BJ648" s="88">
        <f t="shared" si="474"/>
        <v>21.3</v>
      </c>
      <c r="BK648" s="88">
        <f t="shared" si="475"/>
        <v>21.3</v>
      </c>
      <c r="BL648" s="88">
        <f t="shared" si="476"/>
        <v>21.3</v>
      </c>
      <c r="BM648" s="88">
        <f t="shared" si="477"/>
        <v>21.3</v>
      </c>
      <c r="BN648" s="88">
        <f t="shared" si="478"/>
        <v>21.3</v>
      </c>
      <c r="BO648" s="88">
        <f t="shared" si="479"/>
        <v>21.3</v>
      </c>
      <c r="BP648" s="88">
        <f t="shared" si="480"/>
        <v>21.3</v>
      </c>
      <c r="BQ648" s="88">
        <f t="shared" si="481"/>
        <v>21.3</v>
      </c>
      <c r="BR648" s="88">
        <f t="shared" si="482"/>
        <v>21.3</v>
      </c>
      <c r="BS648" s="77"/>
      <c r="BT648" s="77"/>
    </row>
    <row r="649" spans="1:72" ht="14.1" customHeight="1" x14ac:dyDescent="0.2">
      <c r="A649" s="55" t="str">
        <f t="shared" si="483"/>
        <v>GDS-5 (Seasonal)_GDS-5-Low Income Credit Adjustment &lt; 4M</v>
      </c>
      <c r="B649" s="80" t="s">
        <v>675</v>
      </c>
      <c r="C649" s="83" t="s">
        <v>924</v>
      </c>
      <c r="D649" s="151"/>
      <c r="E649" s="81"/>
      <c r="F649" s="73" t="s">
        <v>649</v>
      </c>
      <c r="G649" s="73">
        <v>0</v>
      </c>
      <c r="H649" s="73">
        <v>6</v>
      </c>
      <c r="I649" s="74" t="s">
        <v>641</v>
      </c>
      <c r="J649" s="75" t="s">
        <v>634</v>
      </c>
      <c r="K649" s="74"/>
      <c r="L649" s="82">
        <v>0</v>
      </c>
      <c r="M649" s="138">
        <v>0</v>
      </c>
      <c r="N649" s="138">
        <v>0</v>
      </c>
      <c r="O649" s="138">
        <v>0</v>
      </c>
      <c r="P649" s="138">
        <v>0</v>
      </c>
      <c r="Q649" s="138">
        <v>0</v>
      </c>
      <c r="R649" s="138">
        <v>0</v>
      </c>
      <c r="S649" s="138">
        <v>0</v>
      </c>
      <c r="T649" s="138">
        <v>0</v>
      </c>
      <c r="U649" s="138">
        <v>0</v>
      </c>
      <c r="V649" s="138">
        <v>21.3</v>
      </c>
      <c r="W649" s="138">
        <v>21.3</v>
      </c>
      <c r="X649" s="138">
        <v>21.3</v>
      </c>
      <c r="Y649" s="138">
        <f t="shared" si="486"/>
        <v>21.3</v>
      </c>
      <c r="Z649" s="138">
        <f t="shared" si="487"/>
        <v>21.3</v>
      </c>
      <c r="AA649" s="138">
        <f t="shared" si="488"/>
        <v>21.3</v>
      </c>
      <c r="AB649" s="138">
        <f t="shared" si="489"/>
        <v>21.3</v>
      </c>
      <c r="AC649" s="138">
        <f t="shared" si="490"/>
        <v>21.3</v>
      </c>
      <c r="AD649" s="138">
        <f t="shared" si="491"/>
        <v>21.3</v>
      </c>
      <c r="AE649" s="138">
        <f t="shared" si="492"/>
        <v>21.3</v>
      </c>
      <c r="AF649" s="138">
        <f t="shared" si="493"/>
        <v>21.3</v>
      </c>
      <c r="AG649" s="138">
        <f t="shared" si="494"/>
        <v>21.3</v>
      </c>
      <c r="AH649" s="138">
        <f t="shared" si="495"/>
        <v>21.3</v>
      </c>
      <c r="AI649" s="138">
        <f t="shared" si="496"/>
        <v>21.3</v>
      </c>
      <c r="AJ649" s="138">
        <f t="shared" si="455"/>
        <v>21.3</v>
      </c>
      <c r="AK649" s="138">
        <f t="shared" si="455"/>
        <v>21.3</v>
      </c>
      <c r="AL649" s="138">
        <f t="shared" si="453"/>
        <v>21.300000000000004</v>
      </c>
      <c r="AM649" s="138">
        <f t="shared" si="454"/>
        <v>14.200000000000003</v>
      </c>
      <c r="AO649" s="77" t="str">
        <f t="shared" si="484"/>
        <v>GDS-5 (Seasonal)</v>
      </c>
      <c r="AP649" s="78" t="s">
        <v>676</v>
      </c>
      <c r="AQ649" s="77" t="str">
        <f t="shared" si="485"/>
        <v>GDS-5-Low Income Credit Adjustment &lt; 4M</v>
      </c>
      <c r="AR649" s="78" t="str">
        <f t="shared" si="456"/>
        <v>Billing Cycle</v>
      </c>
      <c r="AS649" s="79">
        <f t="shared" si="457"/>
        <v>6</v>
      </c>
      <c r="AT649" s="78">
        <f t="shared" si="458"/>
        <v>0</v>
      </c>
      <c r="AU649" s="78">
        <f t="shared" si="459"/>
        <v>0</v>
      </c>
      <c r="AV649" s="78">
        <f t="shared" si="460"/>
        <v>0</v>
      </c>
      <c r="AW649" s="78">
        <f t="shared" si="461"/>
        <v>0</v>
      </c>
      <c r="AX649" s="78">
        <f t="shared" si="462"/>
        <v>0</v>
      </c>
      <c r="AY649" s="78">
        <f t="shared" si="463"/>
        <v>0</v>
      </c>
      <c r="AZ649" s="78">
        <f t="shared" si="464"/>
        <v>0</v>
      </c>
      <c r="BA649" s="78">
        <f t="shared" si="465"/>
        <v>0</v>
      </c>
      <c r="BB649" s="78">
        <f t="shared" si="466"/>
        <v>0</v>
      </c>
      <c r="BC649" s="78">
        <f t="shared" si="467"/>
        <v>0</v>
      </c>
      <c r="BD649" s="78">
        <f t="shared" si="468"/>
        <v>21.3</v>
      </c>
      <c r="BE649" s="78">
        <f t="shared" si="469"/>
        <v>21.3</v>
      </c>
      <c r="BF649" s="88">
        <f t="shared" si="470"/>
        <v>21.3</v>
      </c>
      <c r="BG649" s="88">
        <f t="shared" si="471"/>
        <v>21.3</v>
      </c>
      <c r="BH649" s="88">
        <f t="shared" si="472"/>
        <v>21.3</v>
      </c>
      <c r="BI649" s="88">
        <f t="shared" si="473"/>
        <v>21.3</v>
      </c>
      <c r="BJ649" s="88">
        <f t="shared" si="474"/>
        <v>21.3</v>
      </c>
      <c r="BK649" s="88">
        <f t="shared" si="475"/>
        <v>21.3</v>
      </c>
      <c r="BL649" s="88">
        <f t="shared" si="476"/>
        <v>21.3</v>
      </c>
      <c r="BM649" s="88">
        <f t="shared" si="477"/>
        <v>21.3</v>
      </c>
      <c r="BN649" s="88">
        <f t="shared" si="478"/>
        <v>21.3</v>
      </c>
      <c r="BO649" s="88">
        <f t="shared" si="479"/>
        <v>21.3</v>
      </c>
      <c r="BP649" s="88">
        <f t="shared" si="480"/>
        <v>21.3</v>
      </c>
      <c r="BQ649" s="88">
        <f t="shared" si="481"/>
        <v>21.3</v>
      </c>
      <c r="BR649" s="88">
        <f t="shared" si="482"/>
        <v>21.3</v>
      </c>
      <c r="BS649" s="77"/>
      <c r="BT649" s="77"/>
    </row>
    <row r="650" spans="1:72" ht="14.1" customHeight="1" x14ac:dyDescent="0.2">
      <c r="A650" s="55" t="str">
        <f t="shared" si="483"/>
        <v>GDS-6 (Inadequate Capacity)_GDS-6-Low Income Credit Adjustment &lt; 4M</v>
      </c>
      <c r="B650" s="80" t="s">
        <v>700</v>
      </c>
      <c r="C650" s="83" t="s">
        <v>925</v>
      </c>
      <c r="D650" s="151"/>
      <c r="E650" s="81"/>
      <c r="F650" s="73" t="s">
        <v>649</v>
      </c>
      <c r="G650" s="73">
        <v>0</v>
      </c>
      <c r="H650" s="73">
        <v>6</v>
      </c>
      <c r="I650" s="74" t="s">
        <v>641</v>
      </c>
      <c r="J650" s="75" t="s">
        <v>634</v>
      </c>
      <c r="K650" s="74"/>
      <c r="L650" s="82">
        <v>0</v>
      </c>
      <c r="M650" s="138">
        <v>0</v>
      </c>
      <c r="N650" s="138">
        <v>0</v>
      </c>
      <c r="O650" s="138">
        <v>0</v>
      </c>
      <c r="P650" s="138">
        <v>0</v>
      </c>
      <c r="Q650" s="138">
        <v>0</v>
      </c>
      <c r="R650" s="138">
        <v>0</v>
      </c>
      <c r="S650" s="138">
        <v>0</v>
      </c>
      <c r="T650" s="138">
        <v>0</v>
      </c>
      <c r="U650" s="138">
        <v>0</v>
      </c>
      <c r="V650" s="138">
        <v>21.3</v>
      </c>
      <c r="W650" s="138">
        <v>21.3</v>
      </c>
      <c r="X650" s="138">
        <v>21.3</v>
      </c>
      <c r="Y650" s="138">
        <f t="shared" si="486"/>
        <v>21.3</v>
      </c>
      <c r="Z650" s="138">
        <f t="shared" si="487"/>
        <v>21.3</v>
      </c>
      <c r="AA650" s="138">
        <f t="shared" si="488"/>
        <v>21.3</v>
      </c>
      <c r="AB650" s="138">
        <f t="shared" si="489"/>
        <v>21.3</v>
      </c>
      <c r="AC650" s="138">
        <f t="shared" si="490"/>
        <v>21.3</v>
      </c>
      <c r="AD650" s="138">
        <f t="shared" si="491"/>
        <v>21.3</v>
      </c>
      <c r="AE650" s="138">
        <f t="shared" si="492"/>
        <v>21.3</v>
      </c>
      <c r="AF650" s="138">
        <f t="shared" si="493"/>
        <v>21.3</v>
      </c>
      <c r="AG650" s="138">
        <f t="shared" si="494"/>
        <v>21.3</v>
      </c>
      <c r="AH650" s="138">
        <f t="shared" si="495"/>
        <v>21.3</v>
      </c>
      <c r="AI650" s="138">
        <f t="shared" si="496"/>
        <v>21.3</v>
      </c>
      <c r="AJ650" s="138">
        <f t="shared" si="455"/>
        <v>21.3</v>
      </c>
      <c r="AK650" s="138">
        <f t="shared" si="455"/>
        <v>21.3</v>
      </c>
      <c r="AL650" s="138">
        <f t="shared" si="453"/>
        <v>21.300000000000004</v>
      </c>
      <c r="AM650" s="138">
        <f t="shared" si="454"/>
        <v>14.200000000000003</v>
      </c>
      <c r="AO650" s="77" t="str">
        <f t="shared" si="484"/>
        <v>GDS-6 (Inadequate Capacity)</v>
      </c>
      <c r="AP650" s="78" t="s">
        <v>701</v>
      </c>
      <c r="AQ650" s="77" t="str">
        <f t="shared" si="485"/>
        <v>GDS-6-Low Income Credit Adjustment &lt; 4M</v>
      </c>
      <c r="AR650" s="78" t="str">
        <f t="shared" si="456"/>
        <v>Billing Cycle</v>
      </c>
      <c r="AS650" s="79">
        <f t="shared" si="457"/>
        <v>6</v>
      </c>
      <c r="AT650" s="78">
        <f t="shared" si="458"/>
        <v>0</v>
      </c>
      <c r="AU650" s="78">
        <f t="shared" si="459"/>
        <v>0</v>
      </c>
      <c r="AV650" s="78">
        <f t="shared" si="460"/>
        <v>0</v>
      </c>
      <c r="AW650" s="78">
        <f t="shared" si="461"/>
        <v>0</v>
      </c>
      <c r="AX650" s="78">
        <f t="shared" si="462"/>
        <v>0</v>
      </c>
      <c r="AY650" s="78">
        <f t="shared" si="463"/>
        <v>0</v>
      </c>
      <c r="AZ650" s="78">
        <f t="shared" si="464"/>
        <v>0</v>
      </c>
      <c r="BA650" s="78">
        <f t="shared" si="465"/>
        <v>0</v>
      </c>
      <c r="BB650" s="78">
        <f t="shared" si="466"/>
        <v>0</v>
      </c>
      <c r="BC650" s="78">
        <f t="shared" si="467"/>
        <v>0</v>
      </c>
      <c r="BD650" s="78">
        <f t="shared" si="468"/>
        <v>21.3</v>
      </c>
      <c r="BE650" s="78">
        <f t="shared" si="469"/>
        <v>21.3</v>
      </c>
      <c r="BF650" s="88">
        <f t="shared" si="470"/>
        <v>21.3</v>
      </c>
      <c r="BG650" s="88">
        <f t="shared" si="471"/>
        <v>21.3</v>
      </c>
      <c r="BH650" s="88">
        <f t="shared" si="472"/>
        <v>21.3</v>
      </c>
      <c r="BI650" s="88">
        <f t="shared" si="473"/>
        <v>21.3</v>
      </c>
      <c r="BJ650" s="88">
        <f t="shared" si="474"/>
        <v>21.3</v>
      </c>
      <c r="BK650" s="88">
        <f t="shared" si="475"/>
        <v>21.3</v>
      </c>
      <c r="BL650" s="88">
        <f t="shared" si="476"/>
        <v>21.3</v>
      </c>
      <c r="BM650" s="88">
        <f t="shared" si="477"/>
        <v>21.3</v>
      </c>
      <c r="BN650" s="88">
        <f t="shared" si="478"/>
        <v>21.3</v>
      </c>
      <c r="BO650" s="88">
        <f t="shared" si="479"/>
        <v>21.3</v>
      </c>
      <c r="BP650" s="88">
        <f t="shared" si="480"/>
        <v>21.3</v>
      </c>
      <c r="BQ650" s="88">
        <f t="shared" si="481"/>
        <v>21.3</v>
      </c>
      <c r="BR650" s="88">
        <f t="shared" si="482"/>
        <v>21.3</v>
      </c>
      <c r="BS650" s="77"/>
      <c r="BT650" s="77"/>
    </row>
    <row r="651" spans="1:72" ht="14.1" customHeight="1" x14ac:dyDescent="0.2">
      <c r="A651" s="55" t="str">
        <f t="shared" si="483"/>
        <v>GDS-7 (Special Contracts)_GDS-7-Low Income Credit Adjustment &lt; 4M</v>
      </c>
      <c r="B651" s="80" t="s">
        <v>845</v>
      </c>
      <c r="C651" s="83" t="s">
        <v>926</v>
      </c>
      <c r="D651" s="151"/>
      <c r="E651" s="81"/>
      <c r="F651" s="73" t="s">
        <v>649</v>
      </c>
      <c r="G651" s="73">
        <v>0</v>
      </c>
      <c r="H651" s="73">
        <v>6</v>
      </c>
      <c r="I651" s="74" t="s">
        <v>641</v>
      </c>
      <c r="J651" s="75" t="s">
        <v>634</v>
      </c>
      <c r="K651" s="74"/>
      <c r="L651" s="82">
        <v>0</v>
      </c>
      <c r="M651" s="138">
        <v>0</v>
      </c>
      <c r="N651" s="138">
        <v>0</v>
      </c>
      <c r="O651" s="138">
        <v>0</v>
      </c>
      <c r="P651" s="138">
        <v>0</v>
      </c>
      <c r="Q651" s="138">
        <v>0</v>
      </c>
      <c r="R651" s="138">
        <v>0</v>
      </c>
      <c r="S651" s="138">
        <v>0</v>
      </c>
      <c r="T651" s="138">
        <v>0</v>
      </c>
      <c r="U651" s="138">
        <v>0</v>
      </c>
      <c r="V651" s="138">
        <v>21.3</v>
      </c>
      <c r="W651" s="138">
        <v>21.3</v>
      </c>
      <c r="X651" s="138">
        <v>21.3</v>
      </c>
      <c r="Y651" s="138">
        <f t="shared" si="486"/>
        <v>21.3</v>
      </c>
      <c r="Z651" s="138">
        <f t="shared" si="487"/>
        <v>21.3</v>
      </c>
      <c r="AA651" s="138">
        <f t="shared" si="488"/>
        <v>21.3</v>
      </c>
      <c r="AB651" s="138">
        <f t="shared" si="489"/>
        <v>21.3</v>
      </c>
      <c r="AC651" s="138">
        <f t="shared" si="490"/>
        <v>21.3</v>
      </c>
      <c r="AD651" s="138">
        <f t="shared" si="491"/>
        <v>21.3</v>
      </c>
      <c r="AE651" s="138">
        <f t="shared" si="492"/>
        <v>21.3</v>
      </c>
      <c r="AF651" s="138">
        <f t="shared" si="493"/>
        <v>21.3</v>
      </c>
      <c r="AG651" s="138">
        <f t="shared" si="494"/>
        <v>21.3</v>
      </c>
      <c r="AH651" s="138">
        <f t="shared" si="495"/>
        <v>21.3</v>
      </c>
      <c r="AI651" s="138">
        <f t="shared" si="496"/>
        <v>21.3</v>
      </c>
      <c r="AJ651" s="138">
        <f t="shared" si="455"/>
        <v>21.3</v>
      </c>
      <c r="AK651" s="138">
        <f t="shared" si="455"/>
        <v>21.3</v>
      </c>
      <c r="AL651" s="138">
        <f t="shared" si="453"/>
        <v>21.300000000000004</v>
      </c>
      <c r="AM651" s="138">
        <f t="shared" si="454"/>
        <v>14.200000000000003</v>
      </c>
      <c r="AO651" s="77" t="str">
        <f t="shared" si="484"/>
        <v>GDS-7 (Special Contracts)</v>
      </c>
      <c r="AP651" s="78" t="s">
        <v>846</v>
      </c>
      <c r="AQ651" s="77" t="str">
        <f t="shared" si="485"/>
        <v>GDS-7-Low Income Credit Adjustment &lt; 4M</v>
      </c>
      <c r="AR651" s="78" t="str">
        <f t="shared" si="456"/>
        <v>Billing Cycle</v>
      </c>
      <c r="AS651" s="79">
        <f t="shared" si="457"/>
        <v>6</v>
      </c>
      <c r="AT651" s="78">
        <f t="shared" si="458"/>
        <v>0</v>
      </c>
      <c r="AU651" s="78">
        <f t="shared" si="459"/>
        <v>0</v>
      </c>
      <c r="AV651" s="78">
        <f t="shared" si="460"/>
        <v>0</v>
      </c>
      <c r="AW651" s="78">
        <f t="shared" si="461"/>
        <v>0</v>
      </c>
      <c r="AX651" s="78">
        <f t="shared" si="462"/>
        <v>0</v>
      </c>
      <c r="AY651" s="78">
        <f t="shared" si="463"/>
        <v>0</v>
      </c>
      <c r="AZ651" s="78">
        <f t="shared" si="464"/>
        <v>0</v>
      </c>
      <c r="BA651" s="78">
        <f t="shared" si="465"/>
        <v>0</v>
      </c>
      <c r="BB651" s="78">
        <f t="shared" si="466"/>
        <v>0</v>
      </c>
      <c r="BC651" s="78">
        <f t="shared" si="467"/>
        <v>0</v>
      </c>
      <c r="BD651" s="78">
        <f t="shared" si="468"/>
        <v>21.3</v>
      </c>
      <c r="BE651" s="78">
        <f t="shared" si="469"/>
        <v>21.3</v>
      </c>
      <c r="BF651" s="88">
        <f t="shared" si="470"/>
        <v>21.3</v>
      </c>
      <c r="BG651" s="88">
        <f t="shared" si="471"/>
        <v>21.3</v>
      </c>
      <c r="BH651" s="88">
        <f t="shared" si="472"/>
        <v>21.3</v>
      </c>
      <c r="BI651" s="88">
        <f t="shared" si="473"/>
        <v>21.3</v>
      </c>
      <c r="BJ651" s="88">
        <f t="shared" si="474"/>
        <v>21.3</v>
      </c>
      <c r="BK651" s="88">
        <f t="shared" si="475"/>
        <v>21.3</v>
      </c>
      <c r="BL651" s="88">
        <f t="shared" si="476"/>
        <v>21.3</v>
      </c>
      <c r="BM651" s="88">
        <f t="shared" si="477"/>
        <v>21.3</v>
      </c>
      <c r="BN651" s="88">
        <f t="shared" si="478"/>
        <v>21.3</v>
      </c>
      <c r="BO651" s="88">
        <f t="shared" si="479"/>
        <v>21.3</v>
      </c>
      <c r="BP651" s="88">
        <f t="shared" si="480"/>
        <v>21.3</v>
      </c>
      <c r="BQ651" s="88">
        <f t="shared" si="481"/>
        <v>21.3</v>
      </c>
      <c r="BR651" s="88">
        <f t="shared" si="482"/>
        <v>21.3</v>
      </c>
      <c r="BS651" s="77"/>
      <c r="BT651" s="77"/>
    </row>
    <row r="652" spans="1:72" ht="14.1" customHeight="1" x14ac:dyDescent="0.2">
      <c r="A652" s="55" t="str">
        <f t="shared" si="483"/>
        <v>GDS-2 (Small General Delivery)_GDS-2-Low Income Credit Adjustment &gt; 4M</v>
      </c>
      <c r="B652" s="80" t="s">
        <v>669</v>
      </c>
      <c r="C652" s="83" t="s">
        <v>927</v>
      </c>
      <c r="D652" s="151"/>
      <c r="E652" s="81"/>
      <c r="F652" s="73" t="s">
        <v>649</v>
      </c>
      <c r="G652" s="73">
        <v>0</v>
      </c>
      <c r="H652" s="73">
        <v>6</v>
      </c>
      <c r="I652" s="74" t="s">
        <v>641</v>
      </c>
      <c r="J652" s="75" t="s">
        <v>634</v>
      </c>
      <c r="K652" s="74"/>
      <c r="L652" s="82">
        <v>0</v>
      </c>
      <c r="M652" s="138">
        <v>0</v>
      </c>
      <c r="N652" s="138">
        <v>0</v>
      </c>
      <c r="O652" s="138">
        <v>0</v>
      </c>
      <c r="P652" s="138">
        <v>0</v>
      </c>
      <c r="Q652" s="138">
        <v>0</v>
      </c>
      <c r="R652" s="138">
        <v>0</v>
      </c>
      <c r="S652" s="138">
        <v>0</v>
      </c>
      <c r="T652" s="138">
        <v>0</v>
      </c>
      <c r="U652" s="138">
        <v>0</v>
      </c>
      <c r="V652" s="138">
        <v>798.75</v>
      </c>
      <c r="W652" s="138">
        <v>798.75</v>
      </c>
      <c r="X652" s="138">
        <v>798.75</v>
      </c>
      <c r="Y652" s="138">
        <f t="shared" si="486"/>
        <v>798.75</v>
      </c>
      <c r="Z652" s="138">
        <f t="shared" si="487"/>
        <v>798.75</v>
      </c>
      <c r="AA652" s="138">
        <f t="shared" si="488"/>
        <v>798.75</v>
      </c>
      <c r="AB652" s="138">
        <f t="shared" si="489"/>
        <v>798.75</v>
      </c>
      <c r="AC652" s="138">
        <f t="shared" si="490"/>
        <v>798.75</v>
      </c>
      <c r="AD652" s="138">
        <f t="shared" si="491"/>
        <v>798.75</v>
      </c>
      <c r="AE652" s="138">
        <f t="shared" si="492"/>
        <v>798.75</v>
      </c>
      <c r="AF652" s="138">
        <f t="shared" si="493"/>
        <v>798.75</v>
      </c>
      <c r="AG652" s="138">
        <f t="shared" si="494"/>
        <v>798.75</v>
      </c>
      <c r="AH652" s="138">
        <f t="shared" si="495"/>
        <v>798.75</v>
      </c>
      <c r="AI652" s="138">
        <f t="shared" si="496"/>
        <v>798.75</v>
      </c>
      <c r="AJ652" s="138">
        <f t="shared" si="455"/>
        <v>798.75</v>
      </c>
      <c r="AK652" s="138">
        <f t="shared" si="455"/>
        <v>798.75</v>
      </c>
      <c r="AL652" s="138">
        <f t="shared" si="453"/>
        <v>798.75</v>
      </c>
      <c r="AM652" s="138">
        <f t="shared" si="454"/>
        <v>532.5</v>
      </c>
      <c r="AO652" s="77" t="str">
        <f t="shared" si="484"/>
        <v>GDS-2 (Small General Delivery)</v>
      </c>
      <c r="AP652" s="78" t="s">
        <v>670</v>
      </c>
      <c r="AQ652" s="77" t="str">
        <f t="shared" si="485"/>
        <v>GDS-2-Low Income Credit Adjustment &gt; 4M</v>
      </c>
      <c r="AR652" s="78" t="str">
        <f t="shared" si="456"/>
        <v>Billing Cycle</v>
      </c>
      <c r="AS652" s="79">
        <f t="shared" si="457"/>
        <v>6</v>
      </c>
      <c r="AT652" s="78">
        <f t="shared" si="458"/>
        <v>0</v>
      </c>
      <c r="AU652" s="78">
        <f t="shared" si="459"/>
        <v>0</v>
      </c>
      <c r="AV652" s="78">
        <f t="shared" si="460"/>
        <v>0</v>
      </c>
      <c r="AW652" s="78">
        <f t="shared" si="461"/>
        <v>0</v>
      </c>
      <c r="AX652" s="78">
        <f t="shared" si="462"/>
        <v>0</v>
      </c>
      <c r="AY652" s="78">
        <f t="shared" si="463"/>
        <v>0</v>
      </c>
      <c r="AZ652" s="78">
        <f t="shared" si="464"/>
        <v>0</v>
      </c>
      <c r="BA652" s="78">
        <f t="shared" si="465"/>
        <v>0</v>
      </c>
      <c r="BB652" s="78">
        <f t="shared" si="466"/>
        <v>0</v>
      </c>
      <c r="BC652" s="78">
        <f t="shared" si="467"/>
        <v>0</v>
      </c>
      <c r="BD652" s="78">
        <f t="shared" si="468"/>
        <v>798.75</v>
      </c>
      <c r="BE652" s="78">
        <f t="shared" si="469"/>
        <v>798.75</v>
      </c>
      <c r="BF652" s="88">
        <f t="shared" si="470"/>
        <v>798.75</v>
      </c>
      <c r="BG652" s="88">
        <f t="shared" si="471"/>
        <v>798.75</v>
      </c>
      <c r="BH652" s="88">
        <f t="shared" si="472"/>
        <v>798.75</v>
      </c>
      <c r="BI652" s="88">
        <f t="shared" si="473"/>
        <v>798.75</v>
      </c>
      <c r="BJ652" s="88">
        <f t="shared" si="474"/>
        <v>798.75</v>
      </c>
      <c r="BK652" s="88">
        <f t="shared" si="475"/>
        <v>798.75</v>
      </c>
      <c r="BL652" s="88">
        <f t="shared" si="476"/>
        <v>798.75</v>
      </c>
      <c r="BM652" s="88">
        <f t="shared" si="477"/>
        <v>798.75</v>
      </c>
      <c r="BN652" s="88">
        <f t="shared" si="478"/>
        <v>798.75</v>
      </c>
      <c r="BO652" s="88">
        <f t="shared" si="479"/>
        <v>798.75</v>
      </c>
      <c r="BP652" s="88">
        <f t="shared" si="480"/>
        <v>798.75</v>
      </c>
      <c r="BQ652" s="88">
        <f t="shared" si="481"/>
        <v>798.75</v>
      </c>
      <c r="BR652" s="88">
        <f t="shared" si="482"/>
        <v>798.75</v>
      </c>
      <c r="BS652" s="77"/>
      <c r="BT652" s="77"/>
    </row>
    <row r="653" spans="1:72" ht="14.1" customHeight="1" x14ac:dyDescent="0.2">
      <c r="A653" s="55" t="str">
        <f t="shared" si="483"/>
        <v>GDS-3 (Intermediate General Delivery)_GDS-3-Low Income Credit Adjustment &gt; 4M</v>
      </c>
      <c r="B653" s="80" t="s">
        <v>671</v>
      </c>
      <c r="C653" s="83" t="s">
        <v>928</v>
      </c>
      <c r="D653" s="151"/>
      <c r="E653" s="81"/>
      <c r="F653" s="73" t="s">
        <v>649</v>
      </c>
      <c r="G653" s="73">
        <v>0</v>
      </c>
      <c r="H653" s="73">
        <v>6</v>
      </c>
      <c r="I653" s="74" t="s">
        <v>641</v>
      </c>
      <c r="J653" s="75" t="s">
        <v>634</v>
      </c>
      <c r="K653" s="74"/>
      <c r="L653" s="82">
        <v>0</v>
      </c>
      <c r="M653" s="138">
        <v>0</v>
      </c>
      <c r="N653" s="138">
        <v>0</v>
      </c>
      <c r="O653" s="138">
        <v>0</v>
      </c>
      <c r="P653" s="138">
        <v>0</v>
      </c>
      <c r="Q653" s="138">
        <v>0</v>
      </c>
      <c r="R653" s="138">
        <v>0</v>
      </c>
      <c r="S653" s="138">
        <v>0</v>
      </c>
      <c r="T653" s="138">
        <v>0</v>
      </c>
      <c r="U653" s="138">
        <v>0</v>
      </c>
      <c r="V653" s="138">
        <v>798.75</v>
      </c>
      <c r="W653" s="138">
        <v>798.75</v>
      </c>
      <c r="X653" s="138">
        <v>798.75</v>
      </c>
      <c r="Y653" s="138">
        <f t="shared" si="486"/>
        <v>798.75</v>
      </c>
      <c r="Z653" s="138">
        <f t="shared" si="487"/>
        <v>798.75</v>
      </c>
      <c r="AA653" s="138">
        <f t="shared" si="488"/>
        <v>798.75</v>
      </c>
      <c r="AB653" s="138">
        <f t="shared" si="489"/>
        <v>798.75</v>
      </c>
      <c r="AC653" s="138">
        <f t="shared" si="490"/>
        <v>798.75</v>
      </c>
      <c r="AD653" s="138">
        <f t="shared" si="491"/>
        <v>798.75</v>
      </c>
      <c r="AE653" s="138">
        <f t="shared" si="492"/>
        <v>798.75</v>
      </c>
      <c r="AF653" s="138">
        <f t="shared" si="493"/>
        <v>798.75</v>
      </c>
      <c r="AG653" s="138">
        <f t="shared" si="494"/>
        <v>798.75</v>
      </c>
      <c r="AH653" s="138">
        <f t="shared" si="495"/>
        <v>798.75</v>
      </c>
      <c r="AI653" s="138">
        <f t="shared" si="496"/>
        <v>798.75</v>
      </c>
      <c r="AJ653" s="138">
        <f t="shared" si="455"/>
        <v>798.75</v>
      </c>
      <c r="AK653" s="138">
        <f t="shared" si="455"/>
        <v>798.75</v>
      </c>
      <c r="AL653" s="138">
        <f t="shared" si="453"/>
        <v>798.75</v>
      </c>
      <c r="AM653" s="138">
        <f t="shared" si="454"/>
        <v>532.5</v>
      </c>
      <c r="AO653" s="77" t="str">
        <f t="shared" si="484"/>
        <v>GDS-3 (Intermediate General Delivery)</v>
      </c>
      <c r="AP653" s="78" t="s">
        <v>672</v>
      </c>
      <c r="AQ653" s="77" t="str">
        <f t="shared" si="485"/>
        <v>GDS-3-Low Income Credit Adjustment &gt; 4M</v>
      </c>
      <c r="AR653" s="78" t="str">
        <f t="shared" si="456"/>
        <v>Billing Cycle</v>
      </c>
      <c r="AS653" s="79">
        <f t="shared" si="457"/>
        <v>6</v>
      </c>
      <c r="AT653" s="78">
        <f t="shared" si="458"/>
        <v>0</v>
      </c>
      <c r="AU653" s="78">
        <f t="shared" si="459"/>
        <v>0</v>
      </c>
      <c r="AV653" s="78">
        <f t="shared" si="460"/>
        <v>0</v>
      </c>
      <c r="AW653" s="78">
        <f t="shared" si="461"/>
        <v>0</v>
      </c>
      <c r="AX653" s="78">
        <f t="shared" si="462"/>
        <v>0</v>
      </c>
      <c r="AY653" s="78">
        <f t="shared" si="463"/>
        <v>0</v>
      </c>
      <c r="AZ653" s="78">
        <f t="shared" si="464"/>
        <v>0</v>
      </c>
      <c r="BA653" s="78">
        <f t="shared" si="465"/>
        <v>0</v>
      </c>
      <c r="BB653" s="78">
        <f t="shared" si="466"/>
        <v>0</v>
      </c>
      <c r="BC653" s="78">
        <f t="shared" si="467"/>
        <v>0</v>
      </c>
      <c r="BD653" s="78">
        <f t="shared" si="468"/>
        <v>798.75</v>
      </c>
      <c r="BE653" s="78">
        <f t="shared" si="469"/>
        <v>798.75</v>
      </c>
      <c r="BF653" s="88">
        <f t="shared" si="470"/>
        <v>798.75</v>
      </c>
      <c r="BG653" s="88">
        <f t="shared" si="471"/>
        <v>798.75</v>
      </c>
      <c r="BH653" s="88">
        <f t="shared" si="472"/>
        <v>798.75</v>
      </c>
      <c r="BI653" s="88">
        <f t="shared" si="473"/>
        <v>798.75</v>
      </c>
      <c r="BJ653" s="88">
        <f t="shared" si="474"/>
        <v>798.75</v>
      </c>
      <c r="BK653" s="88">
        <f t="shared" si="475"/>
        <v>798.75</v>
      </c>
      <c r="BL653" s="88">
        <f t="shared" si="476"/>
        <v>798.75</v>
      </c>
      <c r="BM653" s="88">
        <f t="shared" si="477"/>
        <v>798.75</v>
      </c>
      <c r="BN653" s="88">
        <f t="shared" si="478"/>
        <v>798.75</v>
      </c>
      <c r="BO653" s="88">
        <f t="shared" si="479"/>
        <v>798.75</v>
      </c>
      <c r="BP653" s="88">
        <f t="shared" si="480"/>
        <v>798.75</v>
      </c>
      <c r="BQ653" s="88">
        <f t="shared" si="481"/>
        <v>798.75</v>
      </c>
      <c r="BR653" s="88">
        <f t="shared" si="482"/>
        <v>798.75</v>
      </c>
      <c r="BS653" s="77"/>
      <c r="BT653" s="77"/>
    </row>
    <row r="654" spans="1:72" ht="14.1" customHeight="1" x14ac:dyDescent="0.2">
      <c r="A654" s="55" t="str">
        <f t="shared" si="483"/>
        <v>GDS-4 (Large General Delivery)_GDS-4-Low Income Credit Adjustment &gt; 4M</v>
      </c>
      <c r="B654" s="80" t="s">
        <v>673</v>
      </c>
      <c r="C654" s="83" t="s">
        <v>929</v>
      </c>
      <c r="D654" s="151"/>
      <c r="E654" s="81"/>
      <c r="F654" s="73" t="s">
        <v>649</v>
      </c>
      <c r="G654" s="73">
        <v>0</v>
      </c>
      <c r="H654" s="73">
        <v>6</v>
      </c>
      <c r="I654" s="74" t="s">
        <v>641</v>
      </c>
      <c r="J654" s="75" t="s">
        <v>634</v>
      </c>
      <c r="K654" s="74"/>
      <c r="L654" s="82">
        <v>0</v>
      </c>
      <c r="M654" s="138">
        <v>0</v>
      </c>
      <c r="N654" s="138">
        <v>0</v>
      </c>
      <c r="O654" s="138">
        <v>0</v>
      </c>
      <c r="P654" s="138">
        <v>0</v>
      </c>
      <c r="Q654" s="138">
        <v>0</v>
      </c>
      <c r="R654" s="138">
        <v>0</v>
      </c>
      <c r="S654" s="138">
        <v>0</v>
      </c>
      <c r="T654" s="138">
        <v>0</v>
      </c>
      <c r="U654" s="138">
        <v>0</v>
      </c>
      <c r="V654" s="138">
        <v>798.75</v>
      </c>
      <c r="W654" s="138">
        <v>798.75</v>
      </c>
      <c r="X654" s="138">
        <v>798.75</v>
      </c>
      <c r="Y654" s="138">
        <f t="shared" si="486"/>
        <v>798.75</v>
      </c>
      <c r="Z654" s="138">
        <f t="shared" si="487"/>
        <v>798.75</v>
      </c>
      <c r="AA654" s="138">
        <f t="shared" si="488"/>
        <v>798.75</v>
      </c>
      <c r="AB654" s="138">
        <f t="shared" si="489"/>
        <v>798.75</v>
      </c>
      <c r="AC654" s="138">
        <f t="shared" si="490"/>
        <v>798.75</v>
      </c>
      <c r="AD654" s="138">
        <f t="shared" si="491"/>
        <v>798.75</v>
      </c>
      <c r="AE654" s="138">
        <f t="shared" si="492"/>
        <v>798.75</v>
      </c>
      <c r="AF654" s="138">
        <f t="shared" si="493"/>
        <v>798.75</v>
      </c>
      <c r="AG654" s="138">
        <f t="shared" si="494"/>
        <v>798.75</v>
      </c>
      <c r="AH654" s="138">
        <f t="shared" si="495"/>
        <v>798.75</v>
      </c>
      <c r="AI654" s="138">
        <f t="shared" si="496"/>
        <v>798.75</v>
      </c>
      <c r="AJ654" s="138">
        <f t="shared" si="455"/>
        <v>798.75</v>
      </c>
      <c r="AK654" s="138">
        <f t="shared" si="455"/>
        <v>798.75</v>
      </c>
      <c r="AL654" s="138">
        <f t="shared" si="453"/>
        <v>798.75</v>
      </c>
      <c r="AM654" s="138">
        <f t="shared" si="454"/>
        <v>532.5</v>
      </c>
      <c r="AO654" s="77" t="str">
        <f t="shared" si="484"/>
        <v>GDS-4 (Large General Delivery)</v>
      </c>
      <c r="AP654" s="78" t="s">
        <v>674</v>
      </c>
      <c r="AQ654" s="77" t="str">
        <f t="shared" si="485"/>
        <v>GDS-4-Low Income Credit Adjustment &gt; 4M</v>
      </c>
      <c r="AR654" s="78" t="str">
        <f t="shared" si="456"/>
        <v>Billing Cycle</v>
      </c>
      <c r="AS654" s="79">
        <f t="shared" si="457"/>
        <v>6</v>
      </c>
      <c r="AT654" s="78">
        <f t="shared" si="458"/>
        <v>0</v>
      </c>
      <c r="AU654" s="78">
        <f t="shared" si="459"/>
        <v>0</v>
      </c>
      <c r="AV654" s="78">
        <f t="shared" si="460"/>
        <v>0</v>
      </c>
      <c r="AW654" s="78">
        <f t="shared" si="461"/>
        <v>0</v>
      </c>
      <c r="AX654" s="78">
        <f t="shared" si="462"/>
        <v>0</v>
      </c>
      <c r="AY654" s="78">
        <f t="shared" si="463"/>
        <v>0</v>
      </c>
      <c r="AZ654" s="78">
        <f t="shared" si="464"/>
        <v>0</v>
      </c>
      <c r="BA654" s="78">
        <f t="shared" si="465"/>
        <v>0</v>
      </c>
      <c r="BB654" s="78">
        <f t="shared" si="466"/>
        <v>0</v>
      </c>
      <c r="BC654" s="78">
        <f t="shared" si="467"/>
        <v>0</v>
      </c>
      <c r="BD654" s="78">
        <f t="shared" si="468"/>
        <v>798.75</v>
      </c>
      <c r="BE654" s="78">
        <f t="shared" si="469"/>
        <v>798.75</v>
      </c>
      <c r="BF654" s="88">
        <f t="shared" si="470"/>
        <v>798.75</v>
      </c>
      <c r="BG654" s="88">
        <f t="shared" si="471"/>
        <v>798.75</v>
      </c>
      <c r="BH654" s="88">
        <f t="shared" si="472"/>
        <v>798.75</v>
      </c>
      <c r="BI654" s="88">
        <f t="shared" si="473"/>
        <v>798.75</v>
      </c>
      <c r="BJ654" s="88">
        <f t="shared" si="474"/>
        <v>798.75</v>
      </c>
      <c r="BK654" s="88">
        <f t="shared" si="475"/>
        <v>798.75</v>
      </c>
      <c r="BL654" s="88">
        <f t="shared" si="476"/>
        <v>798.75</v>
      </c>
      <c r="BM654" s="88">
        <f t="shared" si="477"/>
        <v>798.75</v>
      </c>
      <c r="BN654" s="88">
        <f t="shared" si="478"/>
        <v>798.75</v>
      </c>
      <c r="BO654" s="88">
        <f t="shared" si="479"/>
        <v>798.75</v>
      </c>
      <c r="BP654" s="88">
        <f t="shared" si="480"/>
        <v>798.75</v>
      </c>
      <c r="BQ654" s="88">
        <f t="shared" si="481"/>
        <v>798.75</v>
      </c>
      <c r="BR654" s="88">
        <f t="shared" si="482"/>
        <v>798.75</v>
      </c>
      <c r="BS654" s="77"/>
      <c r="BT654" s="77"/>
    </row>
    <row r="655" spans="1:72" ht="14.1" customHeight="1" x14ac:dyDescent="0.2">
      <c r="A655" s="55" t="str">
        <f t="shared" si="483"/>
        <v>GDS-5 (Seasonal)_GDS-5-Low Income Credit Adjustment &gt; 4M</v>
      </c>
      <c r="B655" s="80" t="s">
        <v>675</v>
      </c>
      <c r="C655" s="83" t="s">
        <v>930</v>
      </c>
      <c r="D655" s="151"/>
      <c r="E655" s="81"/>
      <c r="F655" s="73" t="s">
        <v>649</v>
      </c>
      <c r="G655" s="73">
        <v>0</v>
      </c>
      <c r="H655" s="73">
        <v>6</v>
      </c>
      <c r="I655" s="74" t="s">
        <v>641</v>
      </c>
      <c r="J655" s="75" t="s">
        <v>634</v>
      </c>
      <c r="K655" s="74"/>
      <c r="L655" s="82">
        <v>0</v>
      </c>
      <c r="M655" s="138">
        <v>0</v>
      </c>
      <c r="N655" s="138">
        <v>0</v>
      </c>
      <c r="O655" s="138">
        <v>0</v>
      </c>
      <c r="P655" s="138">
        <v>0</v>
      </c>
      <c r="Q655" s="138">
        <v>0</v>
      </c>
      <c r="R655" s="138">
        <v>0</v>
      </c>
      <c r="S655" s="138">
        <v>0</v>
      </c>
      <c r="T655" s="138">
        <v>0</v>
      </c>
      <c r="U655" s="138">
        <v>0</v>
      </c>
      <c r="V655" s="138">
        <v>798.75</v>
      </c>
      <c r="W655" s="138">
        <v>798.75</v>
      </c>
      <c r="X655" s="138">
        <v>798.75</v>
      </c>
      <c r="Y655" s="138">
        <f t="shared" si="486"/>
        <v>798.75</v>
      </c>
      <c r="Z655" s="138">
        <f t="shared" si="487"/>
        <v>798.75</v>
      </c>
      <c r="AA655" s="138">
        <f t="shared" si="488"/>
        <v>798.75</v>
      </c>
      <c r="AB655" s="138">
        <f t="shared" si="489"/>
        <v>798.75</v>
      </c>
      <c r="AC655" s="138">
        <f t="shared" si="490"/>
        <v>798.75</v>
      </c>
      <c r="AD655" s="138">
        <f t="shared" si="491"/>
        <v>798.75</v>
      </c>
      <c r="AE655" s="138">
        <f t="shared" si="492"/>
        <v>798.75</v>
      </c>
      <c r="AF655" s="138">
        <f t="shared" si="493"/>
        <v>798.75</v>
      </c>
      <c r="AG655" s="138">
        <f t="shared" si="494"/>
        <v>798.75</v>
      </c>
      <c r="AH655" s="138">
        <f t="shared" si="495"/>
        <v>798.75</v>
      </c>
      <c r="AI655" s="138">
        <f t="shared" si="496"/>
        <v>798.75</v>
      </c>
      <c r="AJ655" s="138">
        <f t="shared" si="455"/>
        <v>798.75</v>
      </c>
      <c r="AK655" s="138">
        <f t="shared" si="455"/>
        <v>798.75</v>
      </c>
      <c r="AL655" s="138">
        <f t="shared" si="453"/>
        <v>798.75</v>
      </c>
      <c r="AM655" s="138">
        <f t="shared" si="454"/>
        <v>532.5</v>
      </c>
      <c r="AO655" s="77" t="str">
        <f t="shared" si="484"/>
        <v>GDS-5 (Seasonal)</v>
      </c>
      <c r="AP655" s="78" t="s">
        <v>676</v>
      </c>
      <c r="AQ655" s="77" t="str">
        <f t="shared" si="485"/>
        <v>GDS-5-Low Income Credit Adjustment &gt; 4M</v>
      </c>
      <c r="AR655" s="78" t="str">
        <f t="shared" si="456"/>
        <v>Billing Cycle</v>
      </c>
      <c r="AS655" s="79">
        <f t="shared" si="457"/>
        <v>6</v>
      </c>
      <c r="AT655" s="78">
        <f t="shared" si="458"/>
        <v>0</v>
      </c>
      <c r="AU655" s="78">
        <f t="shared" si="459"/>
        <v>0</v>
      </c>
      <c r="AV655" s="78">
        <f t="shared" si="460"/>
        <v>0</v>
      </c>
      <c r="AW655" s="78">
        <f t="shared" si="461"/>
        <v>0</v>
      </c>
      <c r="AX655" s="78">
        <f t="shared" si="462"/>
        <v>0</v>
      </c>
      <c r="AY655" s="78">
        <f t="shared" si="463"/>
        <v>0</v>
      </c>
      <c r="AZ655" s="78">
        <f t="shared" si="464"/>
        <v>0</v>
      </c>
      <c r="BA655" s="78">
        <f t="shared" si="465"/>
        <v>0</v>
      </c>
      <c r="BB655" s="78">
        <f t="shared" si="466"/>
        <v>0</v>
      </c>
      <c r="BC655" s="78">
        <f t="shared" si="467"/>
        <v>0</v>
      </c>
      <c r="BD655" s="78">
        <f t="shared" si="468"/>
        <v>798.75</v>
      </c>
      <c r="BE655" s="78">
        <f t="shared" si="469"/>
        <v>798.75</v>
      </c>
      <c r="BF655" s="88">
        <f t="shared" si="470"/>
        <v>798.75</v>
      </c>
      <c r="BG655" s="88">
        <f t="shared" si="471"/>
        <v>798.75</v>
      </c>
      <c r="BH655" s="88">
        <f t="shared" si="472"/>
        <v>798.75</v>
      </c>
      <c r="BI655" s="88">
        <f t="shared" si="473"/>
        <v>798.75</v>
      </c>
      <c r="BJ655" s="88">
        <f t="shared" si="474"/>
        <v>798.75</v>
      </c>
      <c r="BK655" s="88">
        <f t="shared" si="475"/>
        <v>798.75</v>
      </c>
      <c r="BL655" s="88">
        <f t="shared" si="476"/>
        <v>798.75</v>
      </c>
      <c r="BM655" s="88">
        <f t="shared" si="477"/>
        <v>798.75</v>
      </c>
      <c r="BN655" s="88">
        <f t="shared" si="478"/>
        <v>798.75</v>
      </c>
      <c r="BO655" s="88">
        <f t="shared" si="479"/>
        <v>798.75</v>
      </c>
      <c r="BP655" s="88">
        <f t="shared" si="480"/>
        <v>798.75</v>
      </c>
      <c r="BQ655" s="88">
        <f t="shared" si="481"/>
        <v>798.75</v>
      </c>
      <c r="BR655" s="88">
        <f t="shared" si="482"/>
        <v>798.75</v>
      </c>
      <c r="BS655" s="77"/>
      <c r="BT655" s="77"/>
    </row>
    <row r="656" spans="1:72" ht="14.1" customHeight="1" x14ac:dyDescent="0.2">
      <c r="A656" s="55" t="str">
        <f t="shared" si="483"/>
        <v>GDS-6 (Inadequate Capacity)_GDS-6-Low Income Credit Adjustment &gt; 4M</v>
      </c>
      <c r="B656" s="80" t="s">
        <v>700</v>
      </c>
      <c r="C656" s="83" t="s">
        <v>931</v>
      </c>
      <c r="D656" s="151"/>
      <c r="E656" s="81"/>
      <c r="F656" s="73" t="s">
        <v>649</v>
      </c>
      <c r="G656" s="73">
        <v>0</v>
      </c>
      <c r="H656" s="73">
        <v>6</v>
      </c>
      <c r="I656" s="74" t="s">
        <v>641</v>
      </c>
      <c r="J656" s="75" t="s">
        <v>634</v>
      </c>
      <c r="K656" s="74"/>
      <c r="L656" s="82">
        <v>0</v>
      </c>
      <c r="M656" s="138">
        <v>0</v>
      </c>
      <c r="N656" s="138">
        <v>0</v>
      </c>
      <c r="O656" s="138">
        <v>0</v>
      </c>
      <c r="P656" s="138">
        <v>0</v>
      </c>
      <c r="Q656" s="138">
        <v>0</v>
      </c>
      <c r="R656" s="138">
        <v>0</v>
      </c>
      <c r="S656" s="138">
        <v>0</v>
      </c>
      <c r="T656" s="138">
        <v>0</v>
      </c>
      <c r="U656" s="138">
        <v>0</v>
      </c>
      <c r="V656" s="138">
        <v>798.75</v>
      </c>
      <c r="W656" s="138">
        <v>798.75</v>
      </c>
      <c r="X656" s="138">
        <v>798.75</v>
      </c>
      <c r="Y656" s="138">
        <f t="shared" si="486"/>
        <v>798.75</v>
      </c>
      <c r="Z656" s="138">
        <f t="shared" si="487"/>
        <v>798.75</v>
      </c>
      <c r="AA656" s="138">
        <f t="shared" si="488"/>
        <v>798.75</v>
      </c>
      <c r="AB656" s="138">
        <f t="shared" si="489"/>
        <v>798.75</v>
      </c>
      <c r="AC656" s="138">
        <f t="shared" si="490"/>
        <v>798.75</v>
      </c>
      <c r="AD656" s="138">
        <f t="shared" si="491"/>
        <v>798.75</v>
      </c>
      <c r="AE656" s="138">
        <f t="shared" si="492"/>
        <v>798.75</v>
      </c>
      <c r="AF656" s="138">
        <f t="shared" si="493"/>
        <v>798.75</v>
      </c>
      <c r="AG656" s="138">
        <f t="shared" si="494"/>
        <v>798.75</v>
      </c>
      <c r="AH656" s="138">
        <f t="shared" si="495"/>
        <v>798.75</v>
      </c>
      <c r="AI656" s="138">
        <f t="shared" si="496"/>
        <v>798.75</v>
      </c>
      <c r="AJ656" s="138">
        <f t="shared" si="455"/>
        <v>798.75</v>
      </c>
      <c r="AK656" s="138">
        <f t="shared" si="455"/>
        <v>798.75</v>
      </c>
      <c r="AL656" s="138">
        <f t="shared" si="453"/>
        <v>798.75</v>
      </c>
      <c r="AM656" s="138">
        <f t="shared" si="454"/>
        <v>532.5</v>
      </c>
      <c r="AO656" s="77" t="str">
        <f t="shared" si="484"/>
        <v>GDS-6 (Inadequate Capacity)</v>
      </c>
      <c r="AP656" s="78" t="s">
        <v>701</v>
      </c>
      <c r="AQ656" s="77" t="str">
        <f t="shared" si="485"/>
        <v>GDS-6-Low Income Credit Adjustment &gt; 4M</v>
      </c>
      <c r="AR656" s="78" t="str">
        <f t="shared" si="456"/>
        <v>Billing Cycle</v>
      </c>
      <c r="AS656" s="79">
        <f t="shared" si="457"/>
        <v>6</v>
      </c>
      <c r="AT656" s="78">
        <f t="shared" si="458"/>
        <v>0</v>
      </c>
      <c r="AU656" s="78">
        <f t="shared" si="459"/>
        <v>0</v>
      </c>
      <c r="AV656" s="78">
        <f t="shared" si="460"/>
        <v>0</v>
      </c>
      <c r="AW656" s="78">
        <f t="shared" si="461"/>
        <v>0</v>
      </c>
      <c r="AX656" s="78">
        <f t="shared" si="462"/>
        <v>0</v>
      </c>
      <c r="AY656" s="78">
        <f t="shared" si="463"/>
        <v>0</v>
      </c>
      <c r="AZ656" s="78">
        <f t="shared" si="464"/>
        <v>0</v>
      </c>
      <c r="BA656" s="78">
        <f t="shared" si="465"/>
        <v>0</v>
      </c>
      <c r="BB656" s="78">
        <f t="shared" si="466"/>
        <v>0</v>
      </c>
      <c r="BC656" s="78">
        <f t="shared" si="467"/>
        <v>0</v>
      </c>
      <c r="BD656" s="78">
        <f t="shared" si="468"/>
        <v>798.75</v>
      </c>
      <c r="BE656" s="78">
        <f t="shared" si="469"/>
        <v>798.75</v>
      </c>
      <c r="BF656" s="88">
        <f t="shared" si="470"/>
        <v>798.75</v>
      </c>
      <c r="BG656" s="88">
        <f t="shared" si="471"/>
        <v>798.75</v>
      </c>
      <c r="BH656" s="88">
        <f t="shared" si="472"/>
        <v>798.75</v>
      </c>
      <c r="BI656" s="88">
        <f t="shared" si="473"/>
        <v>798.75</v>
      </c>
      <c r="BJ656" s="88">
        <f t="shared" si="474"/>
        <v>798.75</v>
      </c>
      <c r="BK656" s="88">
        <f t="shared" si="475"/>
        <v>798.75</v>
      </c>
      <c r="BL656" s="88">
        <f t="shared" si="476"/>
        <v>798.75</v>
      </c>
      <c r="BM656" s="88">
        <f t="shared" si="477"/>
        <v>798.75</v>
      </c>
      <c r="BN656" s="88">
        <f t="shared" si="478"/>
        <v>798.75</v>
      </c>
      <c r="BO656" s="88">
        <f t="shared" si="479"/>
        <v>798.75</v>
      </c>
      <c r="BP656" s="88">
        <f t="shared" si="480"/>
        <v>798.75</v>
      </c>
      <c r="BQ656" s="88">
        <f t="shared" si="481"/>
        <v>798.75</v>
      </c>
      <c r="BR656" s="88">
        <f t="shared" si="482"/>
        <v>798.75</v>
      </c>
      <c r="BS656" s="77"/>
      <c r="BT656" s="77"/>
    </row>
    <row r="657" spans="1:72" ht="14.1" customHeight="1" x14ac:dyDescent="0.2">
      <c r="A657" s="55" t="str">
        <f t="shared" si="483"/>
        <v>GDS-7 (Special Contracts)_GDS-7-Low Income Credit Adjustment &gt; 4M</v>
      </c>
      <c r="B657" s="80" t="s">
        <v>845</v>
      </c>
      <c r="C657" s="83" t="s">
        <v>932</v>
      </c>
      <c r="D657" s="151"/>
      <c r="E657" s="81"/>
      <c r="F657" s="73" t="s">
        <v>649</v>
      </c>
      <c r="G657" s="73">
        <v>0</v>
      </c>
      <c r="H657" s="73">
        <v>6</v>
      </c>
      <c r="I657" s="74" t="s">
        <v>641</v>
      </c>
      <c r="J657" s="75" t="s">
        <v>634</v>
      </c>
      <c r="K657" s="74"/>
      <c r="L657" s="82">
        <v>0</v>
      </c>
      <c r="M657" s="138">
        <v>0</v>
      </c>
      <c r="N657" s="138">
        <v>0</v>
      </c>
      <c r="O657" s="138">
        <v>0</v>
      </c>
      <c r="P657" s="138">
        <v>0</v>
      </c>
      <c r="Q657" s="138">
        <v>0</v>
      </c>
      <c r="R657" s="138">
        <v>0</v>
      </c>
      <c r="S657" s="138">
        <v>0</v>
      </c>
      <c r="T657" s="138">
        <v>0</v>
      </c>
      <c r="U657" s="138">
        <v>0</v>
      </c>
      <c r="V657" s="138">
        <v>798.75</v>
      </c>
      <c r="W657" s="138">
        <v>798.75</v>
      </c>
      <c r="X657" s="138">
        <v>798.75</v>
      </c>
      <c r="Y657" s="138">
        <f t="shared" si="486"/>
        <v>798.75</v>
      </c>
      <c r="Z657" s="138">
        <f t="shared" si="487"/>
        <v>798.75</v>
      </c>
      <c r="AA657" s="138">
        <f t="shared" si="488"/>
        <v>798.75</v>
      </c>
      <c r="AB657" s="138">
        <f t="shared" si="489"/>
        <v>798.75</v>
      </c>
      <c r="AC657" s="138">
        <f t="shared" si="490"/>
        <v>798.75</v>
      </c>
      <c r="AD657" s="138">
        <f t="shared" si="491"/>
        <v>798.75</v>
      </c>
      <c r="AE657" s="138">
        <f t="shared" si="492"/>
        <v>798.75</v>
      </c>
      <c r="AF657" s="138">
        <f t="shared" si="493"/>
        <v>798.75</v>
      </c>
      <c r="AG657" s="138">
        <f t="shared" si="494"/>
        <v>798.75</v>
      </c>
      <c r="AH657" s="138">
        <f t="shared" si="495"/>
        <v>798.75</v>
      </c>
      <c r="AI657" s="138">
        <f t="shared" si="496"/>
        <v>798.75</v>
      </c>
      <c r="AJ657" s="138">
        <f t="shared" si="455"/>
        <v>798.75</v>
      </c>
      <c r="AK657" s="138">
        <f t="shared" si="455"/>
        <v>798.75</v>
      </c>
      <c r="AL657" s="138">
        <f t="shared" si="453"/>
        <v>798.75</v>
      </c>
      <c r="AM657" s="138">
        <f t="shared" si="454"/>
        <v>532.5</v>
      </c>
      <c r="AO657" s="77" t="str">
        <f t="shared" si="484"/>
        <v>GDS-7 (Special Contracts)</v>
      </c>
      <c r="AP657" s="78" t="s">
        <v>846</v>
      </c>
      <c r="AQ657" s="77" t="str">
        <f t="shared" si="485"/>
        <v>GDS-7-Low Income Credit Adjustment &gt; 4M</v>
      </c>
      <c r="AR657" s="78" t="str">
        <f t="shared" si="456"/>
        <v>Billing Cycle</v>
      </c>
      <c r="AS657" s="79">
        <f t="shared" si="457"/>
        <v>6</v>
      </c>
      <c r="AT657" s="78">
        <f t="shared" si="458"/>
        <v>0</v>
      </c>
      <c r="AU657" s="78">
        <f t="shared" si="459"/>
        <v>0</v>
      </c>
      <c r="AV657" s="78">
        <f t="shared" si="460"/>
        <v>0</v>
      </c>
      <c r="AW657" s="78">
        <f t="shared" si="461"/>
        <v>0</v>
      </c>
      <c r="AX657" s="78">
        <f t="shared" si="462"/>
        <v>0</v>
      </c>
      <c r="AY657" s="78">
        <f t="shared" si="463"/>
        <v>0</v>
      </c>
      <c r="AZ657" s="78">
        <f t="shared" si="464"/>
        <v>0</v>
      </c>
      <c r="BA657" s="78">
        <f t="shared" si="465"/>
        <v>0</v>
      </c>
      <c r="BB657" s="78">
        <f t="shared" si="466"/>
        <v>0</v>
      </c>
      <c r="BC657" s="78">
        <f t="shared" si="467"/>
        <v>0</v>
      </c>
      <c r="BD657" s="78">
        <f t="shared" si="468"/>
        <v>798.75</v>
      </c>
      <c r="BE657" s="78">
        <f t="shared" si="469"/>
        <v>798.75</v>
      </c>
      <c r="BF657" s="88">
        <f t="shared" si="470"/>
        <v>798.75</v>
      </c>
      <c r="BG657" s="88">
        <f t="shared" si="471"/>
        <v>798.75</v>
      </c>
      <c r="BH657" s="88">
        <f t="shared" si="472"/>
        <v>798.75</v>
      </c>
      <c r="BI657" s="88">
        <f t="shared" si="473"/>
        <v>798.75</v>
      </c>
      <c r="BJ657" s="88">
        <f t="shared" si="474"/>
        <v>798.75</v>
      </c>
      <c r="BK657" s="88">
        <f t="shared" si="475"/>
        <v>798.75</v>
      </c>
      <c r="BL657" s="88">
        <f t="shared" si="476"/>
        <v>798.75</v>
      </c>
      <c r="BM657" s="88">
        <f t="shared" si="477"/>
        <v>798.75</v>
      </c>
      <c r="BN657" s="88">
        <f t="shared" si="478"/>
        <v>798.75</v>
      </c>
      <c r="BO657" s="88">
        <f t="shared" si="479"/>
        <v>798.75</v>
      </c>
      <c r="BP657" s="88">
        <f t="shared" si="480"/>
        <v>798.75</v>
      </c>
      <c r="BQ657" s="88">
        <f t="shared" si="481"/>
        <v>798.75</v>
      </c>
      <c r="BR657" s="88">
        <f t="shared" si="482"/>
        <v>798.75</v>
      </c>
      <c r="BS657" s="77"/>
      <c r="BT657" s="77"/>
    </row>
    <row r="658" spans="1:72" ht="14.1" customHeight="1" x14ac:dyDescent="0.2">
      <c r="A658" s="55" t="str">
        <f t="shared" si="483"/>
        <v>GDS-1 (Residential)_GDS-1-Low Income Credit - Tier 1</v>
      </c>
      <c r="B658" s="80" t="s">
        <v>95</v>
      </c>
      <c r="C658" s="83" t="s">
        <v>933</v>
      </c>
      <c r="D658" s="151"/>
      <c r="E658" s="81"/>
      <c r="F658" s="73" t="s">
        <v>649</v>
      </c>
      <c r="G658" s="73">
        <v>0</v>
      </c>
      <c r="H658" s="73">
        <v>6</v>
      </c>
      <c r="I658" s="74" t="s">
        <v>641</v>
      </c>
      <c r="J658" s="75" t="s">
        <v>634</v>
      </c>
      <c r="K658" s="74"/>
      <c r="L658" s="82">
        <v>0</v>
      </c>
      <c r="M658" s="138">
        <v>0</v>
      </c>
      <c r="N658" s="138">
        <v>0</v>
      </c>
      <c r="O658" s="138">
        <v>0</v>
      </c>
      <c r="P658" s="138">
        <v>0</v>
      </c>
      <c r="Q658" s="138">
        <v>0</v>
      </c>
      <c r="R658" s="138">
        <v>0</v>
      </c>
      <c r="S658" s="138">
        <v>0</v>
      </c>
      <c r="T658" s="138">
        <v>0</v>
      </c>
      <c r="U658" s="138">
        <v>0</v>
      </c>
      <c r="V658" s="138">
        <v>0.75</v>
      </c>
      <c r="W658" s="138">
        <v>0.75</v>
      </c>
      <c r="X658" s="138">
        <v>0.75</v>
      </c>
      <c r="Y658" s="138">
        <f t="shared" si="486"/>
        <v>0.75</v>
      </c>
      <c r="Z658" s="138">
        <f t="shared" si="487"/>
        <v>0.75</v>
      </c>
      <c r="AA658" s="138">
        <f t="shared" si="488"/>
        <v>0.75</v>
      </c>
      <c r="AB658" s="138">
        <f t="shared" si="489"/>
        <v>0.75</v>
      </c>
      <c r="AC658" s="138">
        <f t="shared" si="490"/>
        <v>0.75</v>
      </c>
      <c r="AD658" s="138">
        <f t="shared" si="491"/>
        <v>0.75</v>
      </c>
      <c r="AE658" s="138">
        <f t="shared" si="492"/>
        <v>0.75</v>
      </c>
      <c r="AF658" s="138">
        <f t="shared" si="493"/>
        <v>0.75</v>
      </c>
      <c r="AG658" s="138">
        <f t="shared" si="494"/>
        <v>0.75</v>
      </c>
      <c r="AH658" s="138">
        <f t="shared" si="495"/>
        <v>0.75</v>
      </c>
      <c r="AI658" s="138">
        <f t="shared" si="496"/>
        <v>0.75</v>
      </c>
      <c r="AJ658" s="138">
        <f t="shared" si="455"/>
        <v>0.75</v>
      </c>
      <c r="AK658" s="138">
        <f t="shared" si="455"/>
        <v>0.75</v>
      </c>
      <c r="AL658" s="138">
        <f t="shared" si="453"/>
        <v>0.75</v>
      </c>
      <c r="AM658" s="138">
        <f t="shared" si="454"/>
        <v>0.5</v>
      </c>
      <c r="AO658" s="77" t="str">
        <f t="shared" si="484"/>
        <v>GDS-1 (Residential)</v>
      </c>
      <c r="AP658" s="78" t="s">
        <v>668</v>
      </c>
      <c r="AQ658" s="77" t="str">
        <f t="shared" si="485"/>
        <v>GDS-1-Low Income Credit - Tier 1</v>
      </c>
      <c r="AR658" s="78" t="str">
        <f t="shared" si="456"/>
        <v>Billing Cycle</v>
      </c>
      <c r="AS658" s="79">
        <f t="shared" si="457"/>
        <v>6</v>
      </c>
      <c r="AT658" s="78">
        <f t="shared" si="458"/>
        <v>0</v>
      </c>
      <c r="AU658" s="78">
        <f t="shared" si="459"/>
        <v>0</v>
      </c>
      <c r="AV658" s="78">
        <f t="shared" si="460"/>
        <v>0</v>
      </c>
      <c r="AW658" s="78">
        <f t="shared" si="461"/>
        <v>0</v>
      </c>
      <c r="AX658" s="78">
        <f t="shared" si="462"/>
        <v>0</v>
      </c>
      <c r="AY658" s="78">
        <f t="shared" si="463"/>
        <v>0</v>
      </c>
      <c r="AZ658" s="78">
        <f t="shared" si="464"/>
        <v>0</v>
      </c>
      <c r="BA658" s="78">
        <f t="shared" si="465"/>
        <v>0</v>
      </c>
      <c r="BB658" s="78">
        <f t="shared" si="466"/>
        <v>0</v>
      </c>
      <c r="BC658" s="78">
        <f t="shared" si="467"/>
        <v>0</v>
      </c>
      <c r="BD658" s="78">
        <f t="shared" si="468"/>
        <v>0.75</v>
      </c>
      <c r="BE658" s="78">
        <f t="shared" si="469"/>
        <v>0.75</v>
      </c>
      <c r="BF658" s="88">
        <f t="shared" si="470"/>
        <v>0.75</v>
      </c>
      <c r="BG658" s="88">
        <f t="shared" si="471"/>
        <v>0.75</v>
      </c>
      <c r="BH658" s="88">
        <f t="shared" si="472"/>
        <v>0.75</v>
      </c>
      <c r="BI658" s="88">
        <f t="shared" si="473"/>
        <v>0.75</v>
      </c>
      <c r="BJ658" s="88">
        <f t="shared" si="474"/>
        <v>0.75</v>
      </c>
      <c r="BK658" s="88">
        <f t="shared" si="475"/>
        <v>0.75</v>
      </c>
      <c r="BL658" s="88">
        <f t="shared" si="476"/>
        <v>0.75</v>
      </c>
      <c r="BM658" s="88">
        <f t="shared" si="477"/>
        <v>0.75</v>
      </c>
      <c r="BN658" s="88">
        <f t="shared" si="478"/>
        <v>0.75</v>
      </c>
      <c r="BO658" s="88">
        <f t="shared" si="479"/>
        <v>0.75</v>
      </c>
      <c r="BP658" s="88">
        <f t="shared" si="480"/>
        <v>0.75</v>
      </c>
      <c r="BQ658" s="88">
        <f t="shared" si="481"/>
        <v>0.75</v>
      </c>
      <c r="BR658" s="88">
        <f t="shared" si="482"/>
        <v>0.75</v>
      </c>
      <c r="BS658" s="77"/>
      <c r="BT658" s="77"/>
    </row>
    <row r="659" spans="1:72" ht="14.1" customHeight="1" x14ac:dyDescent="0.2">
      <c r="A659" s="55" t="str">
        <f t="shared" si="483"/>
        <v>GDS-1 (Residential)_GDS-1-Low Income Credit - Tier 2</v>
      </c>
      <c r="B659" s="80" t="s">
        <v>95</v>
      </c>
      <c r="C659" s="83" t="s">
        <v>934</v>
      </c>
      <c r="D659" s="151"/>
      <c r="E659" s="81"/>
      <c r="F659" s="73" t="s">
        <v>649</v>
      </c>
      <c r="G659" s="73">
        <v>0</v>
      </c>
      <c r="H659" s="73">
        <v>6</v>
      </c>
      <c r="I659" s="74" t="s">
        <v>641</v>
      </c>
      <c r="J659" s="75" t="s">
        <v>634</v>
      </c>
      <c r="K659" s="74"/>
      <c r="L659" s="82">
        <v>0</v>
      </c>
      <c r="M659" s="138">
        <v>0</v>
      </c>
      <c r="N659" s="138">
        <v>0</v>
      </c>
      <c r="O659" s="138">
        <v>0</v>
      </c>
      <c r="P659" s="138">
        <v>0</v>
      </c>
      <c r="Q659" s="138">
        <v>0</v>
      </c>
      <c r="R659" s="138">
        <v>0</v>
      </c>
      <c r="S659" s="138">
        <v>0</v>
      </c>
      <c r="T659" s="138">
        <v>0</v>
      </c>
      <c r="U659" s="138">
        <v>0</v>
      </c>
      <c r="V659" s="138">
        <v>0.55000000000000004</v>
      </c>
      <c r="W659" s="138">
        <v>0.55000000000000004</v>
      </c>
      <c r="X659" s="138">
        <v>0.55000000000000004</v>
      </c>
      <c r="Y659" s="138">
        <f t="shared" si="486"/>
        <v>0.55000000000000004</v>
      </c>
      <c r="Z659" s="138">
        <f t="shared" si="487"/>
        <v>0.55000000000000004</v>
      </c>
      <c r="AA659" s="138">
        <f t="shared" si="488"/>
        <v>0.55000000000000004</v>
      </c>
      <c r="AB659" s="138">
        <f t="shared" si="489"/>
        <v>0.55000000000000004</v>
      </c>
      <c r="AC659" s="138">
        <f t="shared" si="490"/>
        <v>0.55000000000000004</v>
      </c>
      <c r="AD659" s="138">
        <f t="shared" si="491"/>
        <v>0.55000000000000004</v>
      </c>
      <c r="AE659" s="138">
        <f t="shared" si="492"/>
        <v>0.55000000000000004</v>
      </c>
      <c r="AF659" s="138">
        <f t="shared" si="493"/>
        <v>0.55000000000000004</v>
      </c>
      <c r="AG659" s="138">
        <f t="shared" si="494"/>
        <v>0.55000000000000004</v>
      </c>
      <c r="AH659" s="138">
        <f t="shared" si="495"/>
        <v>0.55000000000000004</v>
      </c>
      <c r="AI659" s="138">
        <f t="shared" si="496"/>
        <v>0.55000000000000004</v>
      </c>
      <c r="AJ659" s="138">
        <f t="shared" si="455"/>
        <v>0.55000000000000004</v>
      </c>
      <c r="AK659" s="138">
        <f t="shared" si="455"/>
        <v>0.55000000000000004</v>
      </c>
      <c r="AL659" s="138">
        <f t="shared" si="453"/>
        <v>0.54999999999999993</v>
      </c>
      <c r="AM659" s="138">
        <f t="shared" si="454"/>
        <v>0.36666666666666664</v>
      </c>
      <c r="AO659" s="77" t="str">
        <f t="shared" si="484"/>
        <v>GDS-1 (Residential)</v>
      </c>
      <c r="AP659" s="78" t="s">
        <v>668</v>
      </c>
      <c r="AQ659" s="77" t="str">
        <f t="shared" si="485"/>
        <v>GDS-1-Low Income Credit - Tier 2</v>
      </c>
      <c r="AR659" s="78" t="str">
        <f t="shared" si="456"/>
        <v>Billing Cycle</v>
      </c>
      <c r="AS659" s="79">
        <f t="shared" si="457"/>
        <v>6</v>
      </c>
      <c r="AT659" s="78">
        <f t="shared" si="458"/>
        <v>0</v>
      </c>
      <c r="AU659" s="78">
        <f t="shared" si="459"/>
        <v>0</v>
      </c>
      <c r="AV659" s="78">
        <f t="shared" si="460"/>
        <v>0</v>
      </c>
      <c r="AW659" s="78">
        <f t="shared" si="461"/>
        <v>0</v>
      </c>
      <c r="AX659" s="78">
        <f t="shared" si="462"/>
        <v>0</v>
      </c>
      <c r="AY659" s="78">
        <f t="shared" si="463"/>
        <v>0</v>
      </c>
      <c r="AZ659" s="78">
        <f t="shared" si="464"/>
        <v>0</v>
      </c>
      <c r="BA659" s="78">
        <f t="shared" si="465"/>
        <v>0</v>
      </c>
      <c r="BB659" s="78">
        <f t="shared" si="466"/>
        <v>0</v>
      </c>
      <c r="BC659" s="78">
        <f t="shared" si="467"/>
        <v>0</v>
      </c>
      <c r="BD659" s="78">
        <f t="shared" si="468"/>
        <v>0.55000000000000004</v>
      </c>
      <c r="BE659" s="78">
        <f t="shared" si="469"/>
        <v>0.55000000000000004</v>
      </c>
      <c r="BF659" s="88">
        <f t="shared" si="470"/>
        <v>0.55000000000000004</v>
      </c>
      <c r="BG659" s="88">
        <f t="shared" si="471"/>
        <v>0.55000000000000004</v>
      </c>
      <c r="BH659" s="88">
        <f t="shared" si="472"/>
        <v>0.55000000000000004</v>
      </c>
      <c r="BI659" s="88">
        <f t="shared" si="473"/>
        <v>0.55000000000000004</v>
      </c>
      <c r="BJ659" s="88">
        <f t="shared" si="474"/>
        <v>0.55000000000000004</v>
      </c>
      <c r="BK659" s="88">
        <f t="shared" si="475"/>
        <v>0.55000000000000004</v>
      </c>
      <c r="BL659" s="88">
        <f t="shared" si="476"/>
        <v>0.55000000000000004</v>
      </c>
      <c r="BM659" s="88">
        <f t="shared" si="477"/>
        <v>0.55000000000000004</v>
      </c>
      <c r="BN659" s="88">
        <f t="shared" si="478"/>
        <v>0.55000000000000004</v>
      </c>
      <c r="BO659" s="88">
        <f t="shared" si="479"/>
        <v>0.55000000000000004</v>
      </c>
      <c r="BP659" s="88">
        <f t="shared" si="480"/>
        <v>0.55000000000000004</v>
      </c>
      <c r="BQ659" s="88">
        <f t="shared" si="481"/>
        <v>0.55000000000000004</v>
      </c>
      <c r="BR659" s="88">
        <f t="shared" si="482"/>
        <v>0.55000000000000004</v>
      </c>
      <c r="BS659" s="77"/>
      <c r="BT659" s="77"/>
    </row>
    <row r="660" spans="1:72" ht="14.1" customHeight="1" x14ac:dyDescent="0.2">
      <c r="A660" s="55" t="str">
        <f t="shared" si="483"/>
        <v>GDS-1 (Residential)_GDS-1-Low Income Credit - Tier 3</v>
      </c>
      <c r="B660" s="80" t="s">
        <v>95</v>
      </c>
      <c r="C660" s="83" t="s">
        <v>935</v>
      </c>
      <c r="D660" s="151"/>
      <c r="E660" s="81"/>
      <c r="F660" s="73" t="s">
        <v>649</v>
      </c>
      <c r="G660" s="73">
        <v>0</v>
      </c>
      <c r="H660" s="73">
        <v>6</v>
      </c>
      <c r="I660" s="74" t="s">
        <v>641</v>
      </c>
      <c r="J660" s="75" t="s">
        <v>634</v>
      </c>
      <c r="K660" s="74"/>
      <c r="L660" s="82">
        <v>0</v>
      </c>
      <c r="M660" s="138">
        <v>0</v>
      </c>
      <c r="N660" s="138">
        <v>0</v>
      </c>
      <c r="O660" s="138">
        <v>0</v>
      </c>
      <c r="P660" s="138">
        <v>0</v>
      </c>
      <c r="Q660" s="138">
        <v>0</v>
      </c>
      <c r="R660" s="138">
        <v>0</v>
      </c>
      <c r="S660" s="138">
        <v>0</v>
      </c>
      <c r="T660" s="138">
        <v>0</v>
      </c>
      <c r="U660" s="138">
        <v>0</v>
      </c>
      <c r="V660" s="138">
        <v>0.25</v>
      </c>
      <c r="W660" s="138">
        <v>0.25</v>
      </c>
      <c r="X660" s="138">
        <v>0.25</v>
      </c>
      <c r="Y660" s="138">
        <f t="shared" si="486"/>
        <v>0.25</v>
      </c>
      <c r="Z660" s="138">
        <f t="shared" si="487"/>
        <v>0.25</v>
      </c>
      <c r="AA660" s="138">
        <f t="shared" si="488"/>
        <v>0.25</v>
      </c>
      <c r="AB660" s="138">
        <f t="shared" si="489"/>
        <v>0.25</v>
      </c>
      <c r="AC660" s="138">
        <f t="shared" si="490"/>
        <v>0.25</v>
      </c>
      <c r="AD660" s="138">
        <f t="shared" si="491"/>
        <v>0.25</v>
      </c>
      <c r="AE660" s="138">
        <f t="shared" si="492"/>
        <v>0.25</v>
      </c>
      <c r="AF660" s="138">
        <f t="shared" si="493"/>
        <v>0.25</v>
      </c>
      <c r="AG660" s="138">
        <f t="shared" si="494"/>
        <v>0.25</v>
      </c>
      <c r="AH660" s="138">
        <f t="shared" si="495"/>
        <v>0.25</v>
      </c>
      <c r="AI660" s="138">
        <f t="shared" si="496"/>
        <v>0.25</v>
      </c>
      <c r="AJ660" s="138">
        <f t="shared" si="455"/>
        <v>0.25</v>
      </c>
      <c r="AK660" s="138">
        <f t="shared" si="455"/>
        <v>0.25</v>
      </c>
      <c r="AL660" s="138">
        <f t="shared" si="453"/>
        <v>0.25</v>
      </c>
      <c r="AM660" s="138">
        <f t="shared" si="454"/>
        <v>0.16666666666666666</v>
      </c>
      <c r="AO660" s="77" t="str">
        <f t="shared" si="484"/>
        <v>GDS-1 (Residential)</v>
      </c>
      <c r="AP660" s="78" t="s">
        <v>668</v>
      </c>
      <c r="AQ660" s="77" t="str">
        <f t="shared" si="485"/>
        <v>GDS-1-Low Income Credit - Tier 3</v>
      </c>
      <c r="AR660" s="78" t="str">
        <f t="shared" si="456"/>
        <v>Billing Cycle</v>
      </c>
      <c r="AS660" s="79">
        <f t="shared" si="457"/>
        <v>6</v>
      </c>
      <c r="AT660" s="78">
        <f t="shared" si="458"/>
        <v>0</v>
      </c>
      <c r="AU660" s="78">
        <f t="shared" si="459"/>
        <v>0</v>
      </c>
      <c r="AV660" s="78">
        <f t="shared" si="460"/>
        <v>0</v>
      </c>
      <c r="AW660" s="78">
        <f t="shared" si="461"/>
        <v>0</v>
      </c>
      <c r="AX660" s="78">
        <f t="shared" si="462"/>
        <v>0</v>
      </c>
      <c r="AY660" s="78">
        <f t="shared" si="463"/>
        <v>0</v>
      </c>
      <c r="AZ660" s="78">
        <f t="shared" si="464"/>
        <v>0</v>
      </c>
      <c r="BA660" s="78">
        <f t="shared" si="465"/>
        <v>0</v>
      </c>
      <c r="BB660" s="78">
        <f t="shared" si="466"/>
        <v>0</v>
      </c>
      <c r="BC660" s="78">
        <f t="shared" si="467"/>
        <v>0</v>
      </c>
      <c r="BD660" s="78">
        <f t="shared" si="468"/>
        <v>0.25</v>
      </c>
      <c r="BE660" s="78">
        <f t="shared" si="469"/>
        <v>0.25</v>
      </c>
      <c r="BF660" s="88">
        <f t="shared" si="470"/>
        <v>0.25</v>
      </c>
      <c r="BG660" s="88">
        <f t="shared" si="471"/>
        <v>0.25</v>
      </c>
      <c r="BH660" s="88">
        <f t="shared" si="472"/>
        <v>0.25</v>
      </c>
      <c r="BI660" s="88">
        <f t="shared" si="473"/>
        <v>0.25</v>
      </c>
      <c r="BJ660" s="88">
        <f t="shared" si="474"/>
        <v>0.25</v>
      </c>
      <c r="BK660" s="88">
        <f t="shared" si="475"/>
        <v>0.25</v>
      </c>
      <c r="BL660" s="88">
        <f t="shared" si="476"/>
        <v>0.25</v>
      </c>
      <c r="BM660" s="88">
        <f t="shared" si="477"/>
        <v>0.25</v>
      </c>
      <c r="BN660" s="88">
        <f t="shared" si="478"/>
        <v>0.25</v>
      </c>
      <c r="BO660" s="88">
        <f t="shared" si="479"/>
        <v>0.25</v>
      </c>
      <c r="BP660" s="88">
        <f t="shared" si="480"/>
        <v>0.25</v>
      </c>
      <c r="BQ660" s="88">
        <f t="shared" si="481"/>
        <v>0.25</v>
      </c>
      <c r="BR660" s="88">
        <f t="shared" si="482"/>
        <v>0.25</v>
      </c>
      <c r="BS660" s="77"/>
      <c r="BT660" s="77"/>
    </row>
    <row r="661" spans="1:72" ht="14.1" customHeight="1" x14ac:dyDescent="0.2">
      <c r="A661" s="55" t="str">
        <f t="shared" si="483"/>
        <v>GDS-1 (Residential)_GDS-1-Low Income Credit - Tier 4</v>
      </c>
      <c r="B661" s="80" t="s">
        <v>95</v>
      </c>
      <c r="C661" s="83" t="s">
        <v>936</v>
      </c>
      <c r="D661" s="151"/>
      <c r="E661" s="81"/>
      <c r="F661" s="73" t="s">
        <v>649</v>
      </c>
      <c r="G661" s="73">
        <v>0</v>
      </c>
      <c r="H661" s="73">
        <v>6</v>
      </c>
      <c r="I661" s="74" t="s">
        <v>641</v>
      </c>
      <c r="J661" s="75" t="s">
        <v>634</v>
      </c>
      <c r="K661" s="74"/>
      <c r="L661" s="82">
        <v>0</v>
      </c>
      <c r="M661" s="138">
        <v>0</v>
      </c>
      <c r="N661" s="138">
        <v>0</v>
      </c>
      <c r="O661" s="138">
        <v>0</v>
      </c>
      <c r="P661" s="138">
        <v>0</v>
      </c>
      <c r="Q661" s="138">
        <v>0</v>
      </c>
      <c r="R661" s="138">
        <v>0</v>
      </c>
      <c r="S661" s="138">
        <v>0</v>
      </c>
      <c r="T661" s="138">
        <v>0</v>
      </c>
      <c r="U661" s="138">
        <v>0</v>
      </c>
      <c r="V661" s="138">
        <v>0.1</v>
      </c>
      <c r="W661" s="138">
        <v>0.1</v>
      </c>
      <c r="X661" s="138">
        <v>0.1</v>
      </c>
      <c r="Y661" s="138">
        <f t="shared" si="486"/>
        <v>0.1</v>
      </c>
      <c r="Z661" s="138">
        <f t="shared" si="487"/>
        <v>0.1</v>
      </c>
      <c r="AA661" s="138">
        <f t="shared" si="488"/>
        <v>0.1</v>
      </c>
      <c r="AB661" s="138">
        <f t="shared" si="489"/>
        <v>0.1</v>
      </c>
      <c r="AC661" s="138">
        <f t="shared" si="490"/>
        <v>0.1</v>
      </c>
      <c r="AD661" s="138">
        <f t="shared" si="491"/>
        <v>0.1</v>
      </c>
      <c r="AE661" s="138">
        <f t="shared" si="492"/>
        <v>0.1</v>
      </c>
      <c r="AF661" s="138">
        <f t="shared" si="493"/>
        <v>0.1</v>
      </c>
      <c r="AG661" s="138">
        <f t="shared" si="494"/>
        <v>0.1</v>
      </c>
      <c r="AH661" s="138">
        <f t="shared" si="495"/>
        <v>0.1</v>
      </c>
      <c r="AI661" s="138">
        <f t="shared" si="496"/>
        <v>0.1</v>
      </c>
      <c r="AJ661" s="138">
        <f t="shared" si="455"/>
        <v>0.1</v>
      </c>
      <c r="AK661" s="138">
        <f t="shared" si="455"/>
        <v>0.1</v>
      </c>
      <c r="AL661" s="138">
        <f t="shared" si="453"/>
        <v>9.9999999999999992E-2</v>
      </c>
      <c r="AM661" s="138">
        <f t="shared" si="454"/>
        <v>6.666666666666668E-2</v>
      </c>
      <c r="AO661" s="77" t="str">
        <f t="shared" si="484"/>
        <v>GDS-1 (Residential)</v>
      </c>
      <c r="AP661" s="78" t="s">
        <v>668</v>
      </c>
      <c r="AQ661" s="77" t="str">
        <f t="shared" si="485"/>
        <v>GDS-1-Low Income Credit - Tier 4</v>
      </c>
      <c r="AR661" s="78" t="str">
        <f t="shared" si="456"/>
        <v>Billing Cycle</v>
      </c>
      <c r="AS661" s="79">
        <f t="shared" si="457"/>
        <v>6</v>
      </c>
      <c r="AT661" s="78">
        <f t="shared" si="458"/>
        <v>0</v>
      </c>
      <c r="AU661" s="78">
        <f t="shared" si="459"/>
        <v>0</v>
      </c>
      <c r="AV661" s="78">
        <f t="shared" si="460"/>
        <v>0</v>
      </c>
      <c r="AW661" s="78">
        <f t="shared" si="461"/>
        <v>0</v>
      </c>
      <c r="AX661" s="78">
        <f t="shared" si="462"/>
        <v>0</v>
      </c>
      <c r="AY661" s="78">
        <f t="shared" si="463"/>
        <v>0</v>
      </c>
      <c r="AZ661" s="78">
        <f t="shared" si="464"/>
        <v>0</v>
      </c>
      <c r="BA661" s="78">
        <f t="shared" si="465"/>
        <v>0</v>
      </c>
      <c r="BB661" s="78">
        <f t="shared" si="466"/>
        <v>0</v>
      </c>
      <c r="BC661" s="78">
        <f t="shared" si="467"/>
        <v>0</v>
      </c>
      <c r="BD661" s="78">
        <f t="shared" si="468"/>
        <v>0.1</v>
      </c>
      <c r="BE661" s="78">
        <f t="shared" si="469"/>
        <v>0.1</v>
      </c>
      <c r="BF661" s="88">
        <f t="shared" si="470"/>
        <v>0.1</v>
      </c>
      <c r="BG661" s="88">
        <f t="shared" si="471"/>
        <v>0.1</v>
      </c>
      <c r="BH661" s="88">
        <f t="shared" si="472"/>
        <v>0.1</v>
      </c>
      <c r="BI661" s="88">
        <f t="shared" si="473"/>
        <v>0.1</v>
      </c>
      <c r="BJ661" s="88">
        <f t="shared" si="474"/>
        <v>0.1</v>
      </c>
      <c r="BK661" s="88">
        <f t="shared" si="475"/>
        <v>0.1</v>
      </c>
      <c r="BL661" s="88">
        <f t="shared" si="476"/>
        <v>0.1</v>
      </c>
      <c r="BM661" s="88">
        <f t="shared" si="477"/>
        <v>0.1</v>
      </c>
      <c r="BN661" s="88">
        <f t="shared" si="478"/>
        <v>0.1</v>
      </c>
      <c r="BO661" s="88">
        <f t="shared" si="479"/>
        <v>0.1</v>
      </c>
      <c r="BP661" s="88">
        <f t="shared" si="480"/>
        <v>0.1</v>
      </c>
      <c r="BQ661" s="88">
        <f t="shared" si="481"/>
        <v>0.1</v>
      </c>
      <c r="BR661" s="88">
        <f t="shared" si="482"/>
        <v>0.1</v>
      </c>
      <c r="BS661" s="77"/>
      <c r="BT661" s="77"/>
    </row>
    <row r="662" spans="1:72" ht="15.75" customHeight="1" thickBot="1" x14ac:dyDescent="0.25">
      <c r="A662" s="55" t="str">
        <f t="shared" si="483"/>
        <v>GDS-1 (Residential)_GDS-1-Low Income Credit - Tier 5</v>
      </c>
      <c r="B662" s="89" t="s">
        <v>95</v>
      </c>
      <c r="C662" s="90" t="s">
        <v>937</v>
      </c>
      <c r="D662" s="152"/>
      <c r="E662" s="91"/>
      <c r="F662" s="92" t="s">
        <v>649</v>
      </c>
      <c r="G662" s="92">
        <v>0</v>
      </c>
      <c r="H662" s="92">
        <v>6</v>
      </c>
      <c r="I662" s="93" t="s">
        <v>641</v>
      </c>
      <c r="J662" s="94" t="s">
        <v>634</v>
      </c>
      <c r="K662" s="93"/>
      <c r="L662" s="95">
        <v>0</v>
      </c>
      <c r="M662" s="138">
        <v>0</v>
      </c>
      <c r="N662" s="138">
        <v>0</v>
      </c>
      <c r="O662" s="138">
        <v>0</v>
      </c>
      <c r="P662" s="138">
        <v>0</v>
      </c>
      <c r="Q662" s="138">
        <v>0</v>
      </c>
      <c r="R662" s="138">
        <v>0</v>
      </c>
      <c r="S662" s="138">
        <v>0</v>
      </c>
      <c r="T662" s="138">
        <v>0</v>
      </c>
      <c r="U662" s="138">
        <v>0</v>
      </c>
      <c r="V662" s="138">
        <v>0.05</v>
      </c>
      <c r="W662" s="138">
        <v>0.05</v>
      </c>
      <c r="X662" s="138">
        <v>0.05</v>
      </c>
      <c r="Y662" s="138">
        <f t="shared" si="486"/>
        <v>0.05</v>
      </c>
      <c r="Z662" s="138">
        <f t="shared" si="487"/>
        <v>0.05</v>
      </c>
      <c r="AA662" s="138">
        <f t="shared" si="488"/>
        <v>0.05</v>
      </c>
      <c r="AB662" s="138">
        <f t="shared" si="489"/>
        <v>0.05</v>
      </c>
      <c r="AC662" s="138">
        <f t="shared" si="490"/>
        <v>0.05</v>
      </c>
      <c r="AD662" s="138">
        <f t="shared" si="491"/>
        <v>0.05</v>
      </c>
      <c r="AE662" s="138">
        <f t="shared" si="492"/>
        <v>0.05</v>
      </c>
      <c r="AF662" s="138">
        <f t="shared" si="493"/>
        <v>0.05</v>
      </c>
      <c r="AG662" s="138">
        <f t="shared" si="494"/>
        <v>0.05</v>
      </c>
      <c r="AH662" s="138">
        <f t="shared" si="495"/>
        <v>0.05</v>
      </c>
      <c r="AI662" s="138">
        <f t="shared" si="496"/>
        <v>0.05</v>
      </c>
      <c r="AJ662" s="138">
        <f t="shared" si="455"/>
        <v>0.05</v>
      </c>
      <c r="AK662" s="138">
        <f t="shared" si="455"/>
        <v>0.05</v>
      </c>
      <c r="AL662" s="138">
        <f t="shared" si="453"/>
        <v>4.9999999999999996E-2</v>
      </c>
      <c r="AM662" s="138">
        <f t="shared" si="454"/>
        <v>3.333333333333334E-2</v>
      </c>
      <c r="AO662" s="77" t="str">
        <f t="shared" si="484"/>
        <v>GDS-1 (Residential)</v>
      </c>
      <c r="AP662" s="97" t="s">
        <v>668</v>
      </c>
      <c r="AQ662" s="77" t="str">
        <f t="shared" si="485"/>
        <v>GDS-1-Low Income Credit - Tier 5</v>
      </c>
      <c r="AR662" s="78" t="str">
        <f t="shared" si="456"/>
        <v>Billing Cycle</v>
      </c>
      <c r="AS662" s="79">
        <f t="shared" si="457"/>
        <v>6</v>
      </c>
      <c r="AT662" s="78">
        <f t="shared" si="458"/>
        <v>0</v>
      </c>
      <c r="AU662" s="78">
        <f t="shared" si="459"/>
        <v>0</v>
      </c>
      <c r="AV662" s="78">
        <f t="shared" si="460"/>
        <v>0</v>
      </c>
      <c r="AW662" s="78">
        <f t="shared" si="461"/>
        <v>0</v>
      </c>
      <c r="AX662" s="78">
        <f t="shared" si="462"/>
        <v>0</v>
      </c>
      <c r="AY662" s="78">
        <f t="shared" si="463"/>
        <v>0</v>
      </c>
      <c r="AZ662" s="78">
        <f t="shared" si="464"/>
        <v>0</v>
      </c>
      <c r="BA662" s="78">
        <f t="shared" si="465"/>
        <v>0</v>
      </c>
      <c r="BB662" s="78">
        <f t="shared" si="466"/>
        <v>0</v>
      </c>
      <c r="BC662" s="78">
        <f t="shared" si="467"/>
        <v>0</v>
      </c>
      <c r="BD662" s="78">
        <f t="shared" si="468"/>
        <v>0.05</v>
      </c>
      <c r="BE662" s="78">
        <f t="shared" si="469"/>
        <v>0.05</v>
      </c>
      <c r="BF662" s="88">
        <f t="shared" si="470"/>
        <v>0.05</v>
      </c>
      <c r="BG662" s="88">
        <f t="shared" si="471"/>
        <v>0.05</v>
      </c>
      <c r="BH662" s="88">
        <f t="shared" si="472"/>
        <v>0.05</v>
      </c>
      <c r="BI662" s="88">
        <f t="shared" si="473"/>
        <v>0.05</v>
      </c>
      <c r="BJ662" s="88">
        <f t="shared" si="474"/>
        <v>0.05</v>
      </c>
      <c r="BK662" s="88">
        <f t="shared" si="475"/>
        <v>0.05</v>
      </c>
      <c r="BL662" s="88">
        <f t="shared" si="476"/>
        <v>0.05</v>
      </c>
      <c r="BM662" s="88">
        <f t="shared" si="477"/>
        <v>0.05</v>
      </c>
      <c r="BN662" s="88">
        <f t="shared" si="478"/>
        <v>0.05</v>
      </c>
      <c r="BO662" s="88">
        <f t="shared" si="479"/>
        <v>0.05</v>
      </c>
      <c r="BP662" s="88">
        <f t="shared" si="480"/>
        <v>0.05</v>
      </c>
      <c r="BQ662" s="88">
        <f t="shared" si="481"/>
        <v>0.05</v>
      </c>
      <c r="BR662" s="88">
        <f t="shared" si="482"/>
        <v>0.05</v>
      </c>
      <c r="BS662" s="96"/>
      <c r="BT662" s="96"/>
    </row>
  </sheetData>
  <sheetProtection autoFilter="0"/>
  <autoFilter ref="B5:AJ634" xr:uid="{00000000-0009-0000-0000-000001000000}"/>
  <conditionalFormatting sqref="E7:E9">
    <cfRule type="expression" dxfId="131" priority="1526">
      <formula>$I7:$I578="Gas Supply"</formula>
    </cfRule>
    <cfRule type="expression" dxfId="130" priority="1525">
      <formula>$I7:$I578="General Accounting"</formula>
    </cfRule>
  </conditionalFormatting>
  <conditionalFormatting sqref="E73:E93 L73:L93 I189">
    <cfRule type="expression" dxfId="129" priority="1534">
      <formula>$I73:$I697="Gas Supply"</formula>
    </cfRule>
    <cfRule type="expression" dxfId="128" priority="1533">
      <formula>$I73:$I697="General Accounting"</formula>
    </cfRule>
  </conditionalFormatting>
  <conditionalFormatting sqref="E94:E171 L94:L171">
    <cfRule type="expression" dxfId="127" priority="1513">
      <formula>$I94:$I717="General Accounting"</formula>
    </cfRule>
    <cfRule type="expression" dxfId="126" priority="1514">
      <formula>$I94:$I717="Gas Supply"</formula>
    </cfRule>
  </conditionalFormatting>
  <conditionalFormatting sqref="E172:E173 L172:L173 E187:E188 L187:L188 I191 E193">
    <cfRule type="expression" dxfId="125" priority="1529">
      <formula>$I172:$I794="General Accounting"</formula>
    </cfRule>
    <cfRule type="expression" dxfId="124" priority="1530">
      <formula>$I172:$I794="Gas Supply"</formula>
    </cfRule>
  </conditionalFormatting>
  <conditionalFormatting sqref="E174 L174 E191 L196">
    <cfRule type="expression" dxfId="123" priority="1528">
      <formula>$I174:$I793="Gas Supply"</formula>
    </cfRule>
    <cfRule type="expression" dxfId="122" priority="1527">
      <formula>$I174:$I793="General Accounting"</formula>
    </cfRule>
  </conditionalFormatting>
  <conditionalFormatting sqref="E175:E186 L175:L186 E190 L190 E195">
    <cfRule type="expression" dxfId="121" priority="1452">
      <formula>$I175:$I795="Gas Supply"</formula>
    </cfRule>
    <cfRule type="expression" dxfId="120" priority="1451">
      <formula>$I175:$I795="General Accounting"</formula>
    </cfRule>
  </conditionalFormatting>
  <conditionalFormatting sqref="E189 L189 I192 E194">
    <cfRule type="expression" dxfId="119" priority="1521">
      <formula>$I189:$I810="General Accounting"</formula>
    </cfRule>
    <cfRule type="expression" dxfId="118" priority="1522">
      <formula>$I189:$I810="Gas Supply"</formula>
    </cfRule>
  </conditionalFormatting>
  <conditionalFormatting sqref="E192 E197">
    <cfRule type="expression" dxfId="117" priority="1455">
      <formula>$I192:$I810="General Accounting"</formula>
    </cfRule>
    <cfRule type="expression" dxfId="116" priority="1456">
      <formula>$I192:$I810="Gas Supply"</formula>
    </cfRule>
  </conditionalFormatting>
  <conditionalFormatting sqref="E196">
    <cfRule type="expression" dxfId="115" priority="1458">
      <formula>$I196:$I815="Gas Supply"</formula>
    </cfRule>
    <cfRule type="expression" dxfId="114" priority="1457">
      <formula>$I196:$I815="General Accounting"</formula>
    </cfRule>
  </conditionalFormatting>
  <conditionalFormatting sqref="E198">
    <cfRule type="expression" dxfId="113" priority="1422">
      <formula>$I198:$I805="Gas Supply"</formula>
    </cfRule>
    <cfRule type="expression" dxfId="112" priority="1421">
      <formula>$I198:$I805="General Accounting"</formula>
    </cfRule>
  </conditionalFormatting>
  <conditionalFormatting sqref="E199">
    <cfRule type="expression" dxfId="111" priority="1418">
      <formula>$I199:$I805="Gas Supply"</formula>
    </cfRule>
    <cfRule type="expression" dxfId="110" priority="1417">
      <formula>$I199:$I805="General Accounting"</formula>
    </cfRule>
  </conditionalFormatting>
  <conditionalFormatting sqref="E200:E222">
    <cfRule type="expression" dxfId="109" priority="1427">
      <formula>$I200:$I814="General Accounting"</formula>
    </cfRule>
    <cfRule type="expression" dxfId="108" priority="1428">
      <formula>$I200:$I814="Gas Supply"</formula>
    </cfRule>
  </conditionalFormatting>
  <conditionalFormatting sqref="E223:E224 L223:L224">
    <cfRule type="expression" dxfId="107" priority="1558">
      <formula>$I223:$I835="Gas Supply"</formula>
    </cfRule>
    <cfRule type="expression" dxfId="106" priority="1557">
      <formula>$I223:$I835="General Accounting"</formula>
    </cfRule>
  </conditionalFormatting>
  <conditionalFormatting sqref="E225:E226 L225:L226">
    <cfRule type="expression" dxfId="105" priority="1552">
      <formula>$I225:$I836="Gas Supply"</formula>
    </cfRule>
    <cfRule type="expression" dxfId="104" priority="1551">
      <formula>$I225:$I836="General Accounting"</formula>
    </cfRule>
  </conditionalFormatting>
  <conditionalFormatting sqref="E227:E237 L227:L237">
    <cfRule type="expression" dxfId="103" priority="1555">
      <formula>$I227:$I837="General Accounting"</formula>
    </cfRule>
    <cfRule type="expression" dxfId="102" priority="1556">
      <formula>$I227:$I837="Gas Supply"</formula>
    </cfRule>
  </conditionalFormatting>
  <conditionalFormatting sqref="E238:E244 L238:L244 E287 E443:E471 L443:L471">
    <cfRule type="expression" dxfId="101" priority="1498">
      <formula>$I238:$I842="Gas Supply"</formula>
    </cfRule>
    <cfRule type="expression" dxfId="100" priority="1497">
      <formula>$I238:$I842="General Accounting"</formula>
    </cfRule>
  </conditionalFormatting>
  <conditionalFormatting sqref="E245:E286 L245:L286 E375:E425 L375:L425">
    <cfRule type="expression" dxfId="99" priority="1536">
      <formula>$I245:$I851="Gas Supply"</formula>
    </cfRule>
    <cfRule type="expression" dxfId="98" priority="1535">
      <formula>$I245:$I851="General Accounting"</formula>
    </cfRule>
  </conditionalFormatting>
  <conditionalFormatting sqref="E288:E289 E472:E521 L472:L521">
    <cfRule type="expression" dxfId="97" priority="1489">
      <formula>$I288:$I891="General Accounting"</formula>
    </cfRule>
    <cfRule type="expression" dxfId="96" priority="1490">
      <formula>$I288:$I891="Gas Supply"</formula>
    </cfRule>
  </conditionalFormatting>
  <conditionalFormatting sqref="E290:E296 L290:L296 E365:E374 L365:L374 E522:E524 L522:L524">
    <cfRule type="expression" dxfId="95" priority="1465">
      <formula>$I290:$I891="General Accounting"</formula>
    </cfRule>
    <cfRule type="expression" dxfId="94" priority="1466">
      <formula>$I290:$I891="Gas Supply"</formula>
    </cfRule>
  </conditionalFormatting>
  <conditionalFormatting sqref="E297:E306 L297:L307 E525 L525">
    <cfRule type="expression" dxfId="93" priority="1505">
      <formula>$I297:$I897="General Accounting"</formula>
    </cfRule>
    <cfRule type="expression" dxfId="92" priority="1506">
      <formula>$I297:$I897="Gas Supply"</formula>
    </cfRule>
  </conditionalFormatting>
  <conditionalFormatting sqref="E307">
    <cfRule type="expression" dxfId="91" priority="1515">
      <formula>$I307:$I906="General Accounting"</formula>
    </cfRule>
    <cfRule type="expression" dxfId="90" priority="1516">
      <formula>$I307:$I906="Gas Supply"</formula>
    </cfRule>
  </conditionalFormatting>
  <conditionalFormatting sqref="E308:E330 L308:L330 E335:E364 L335:L364">
    <cfRule type="expression" dxfId="89" priority="1517">
      <formula>$I308:$I906="General Accounting"</formula>
    </cfRule>
    <cfRule type="expression" dxfId="88" priority="1518">
      <formula>$I308:$I906="Gas Supply"</formula>
    </cfRule>
  </conditionalFormatting>
  <conditionalFormatting sqref="E331">
    <cfRule type="expression" dxfId="87" priority="1537">
      <formula>$I331:$I928="General Accounting"</formula>
    </cfRule>
    <cfRule type="expression" dxfId="86" priority="1538">
      <formula>$I331:$I928="Gas Supply"</formula>
    </cfRule>
  </conditionalFormatting>
  <conditionalFormatting sqref="E332:E334 L332:L334">
    <cfRule type="expression" dxfId="85" priority="1547">
      <formula>$I332:$I928="General Accounting"</formula>
    </cfRule>
    <cfRule type="expression" dxfId="84" priority="1548">
      <formula>$I332:$I928="Gas Supply"</formula>
    </cfRule>
  </conditionalFormatting>
  <conditionalFormatting sqref="E426:E442 L426:L442">
    <cfRule type="expression" dxfId="83" priority="1502">
      <formula>$I426:$I1031="Gas Supply"</formula>
    </cfRule>
    <cfRule type="expression" dxfId="82" priority="1501">
      <formula>$I426:$I1031="General Accounting"</formula>
    </cfRule>
  </conditionalFormatting>
  <conditionalFormatting sqref="E526:E562 L526:L562">
    <cfRule type="expression" dxfId="81" priority="1499">
      <formula>$I526:$I1125="General Accounting"</formula>
    </cfRule>
    <cfRule type="expression" dxfId="80" priority="1500">
      <formula>$I526:$I1125="Gas Supply"</formula>
    </cfRule>
  </conditionalFormatting>
  <conditionalFormatting sqref="E563 L563 E569 L569:L577">
    <cfRule type="expression" dxfId="79" priority="1524">
      <formula>$I563:$I1156="Gas Supply"</formula>
    </cfRule>
    <cfRule type="expression" dxfId="78" priority="1523">
      <formula>$I563:$I1156="General Accounting"</formula>
    </cfRule>
  </conditionalFormatting>
  <conditionalFormatting sqref="E564:E568 L564:L568 E570:E573">
    <cfRule type="expression" dxfId="77" priority="1545">
      <formula>$I564:$I1148="General Accounting"</formula>
    </cfRule>
    <cfRule type="expression" dxfId="76" priority="1546">
      <formula>$I564:$I1148="Gas Supply"</formula>
    </cfRule>
  </conditionalFormatting>
  <conditionalFormatting sqref="E574:E577">
    <cfRule type="expression" dxfId="75" priority="1323">
      <formula>$I574:$I1159="General Accounting"</formula>
    </cfRule>
    <cfRule type="expression" dxfId="74" priority="1324">
      <formula>$I574:$I1159="Gas Supply"</formula>
    </cfRule>
  </conditionalFormatting>
  <conditionalFormatting sqref="E578:E580 L578:L580">
    <cfRule type="expression" dxfId="73" priority="1173">
      <formula>$I578:$I1186="General Accounting"</formula>
    </cfRule>
    <cfRule type="expression" dxfId="72" priority="1174">
      <formula>$I578:$I1186="Gas Supply"</formula>
    </cfRule>
  </conditionalFormatting>
  <conditionalFormatting sqref="E581">
    <cfRule type="expression" dxfId="71" priority="1493">
      <formula>$I581:$I1180="General Accounting"</formula>
    </cfRule>
    <cfRule type="expression" dxfId="70" priority="1494">
      <formula>$I581:$I1180="Gas Supply"</formula>
    </cfRule>
  </conditionalFormatting>
  <conditionalFormatting sqref="E582:E607 E615:E661">
    <cfRule type="expression" dxfId="69" priority="1359">
      <formula>$I582:$I1136="General Accounting"</formula>
    </cfRule>
    <cfRule type="expression" dxfId="68" priority="1360">
      <formula>$I582:$I1136="Gas Supply"</formula>
    </cfRule>
  </conditionalFormatting>
  <conditionalFormatting sqref="E608:E614">
    <cfRule type="expression" dxfId="67" priority="243">
      <formula>$I608:$I1142="General Accounting"</formula>
    </cfRule>
    <cfRule type="expression" dxfId="66" priority="244">
      <formula>$I608:$I1142="Gas Supply"</formula>
    </cfRule>
  </conditionalFormatting>
  <conditionalFormatting sqref="E662 L662">
    <cfRule type="expression" dxfId="65" priority="6">
      <formula>$I662:$I1196="Gas Supply"</formula>
    </cfRule>
    <cfRule type="expression" dxfId="64" priority="5">
      <formula>$I662:$I1196="General Accounting"</formula>
    </cfRule>
  </conditionalFormatting>
  <conditionalFormatting sqref="E10:H72 L10:L72 I10:I188">
    <cfRule type="expression" dxfId="63" priority="1476">
      <formula>$I10:$I635="Gas Supply"</formula>
    </cfRule>
    <cfRule type="expression" dxfId="62" priority="1475">
      <formula>$I10:$I635="General Accounting"</formula>
    </cfRule>
  </conditionalFormatting>
  <conditionalFormatting sqref="I190">
    <cfRule type="expression" dxfId="61" priority="1531">
      <formula>$I190:$I813="General Accounting"</formula>
    </cfRule>
    <cfRule type="expression" dxfId="60" priority="1532">
      <formula>$I190:$I813="Gas Supply"</formula>
    </cfRule>
  </conditionalFormatting>
  <conditionalFormatting sqref="I193">
    <cfRule type="expression" dxfId="59" priority="1449">
      <formula>$I193:$I818="General Accounting"</formula>
    </cfRule>
    <cfRule type="expression" dxfId="58" priority="1450">
      <formula>$I193:$I818="Gas Supply"</formula>
    </cfRule>
  </conditionalFormatting>
  <conditionalFormatting sqref="I194">
    <cfRule type="expression" dxfId="57" priority="1464">
      <formula>$I194:$I818="Gas Supply"</formula>
    </cfRule>
    <cfRule type="expression" dxfId="56" priority="1463">
      <formula>$I194:$I818="General Accounting"</formula>
    </cfRule>
  </conditionalFormatting>
  <conditionalFormatting sqref="I195">
    <cfRule type="expression" dxfId="55" priority="1462">
      <formula>$I195:$I818="Gas Supply"</formula>
    </cfRule>
    <cfRule type="expression" dxfId="54" priority="1461">
      <formula>$I195:$I818="General Accounting"</formula>
    </cfRule>
  </conditionalFormatting>
  <conditionalFormatting sqref="I196">
    <cfRule type="expression" dxfId="53" priority="1460">
      <formula>$I196:$I818="Gas Supply"</formula>
    </cfRule>
    <cfRule type="expression" dxfId="52" priority="1459">
      <formula>$I196:$I818="General Accounting"</formula>
    </cfRule>
  </conditionalFormatting>
  <conditionalFormatting sqref="I197">
    <cfRule type="expression" dxfId="51" priority="1453">
      <formula>$I197:$I818="General Accounting"</formula>
    </cfRule>
    <cfRule type="expression" dxfId="50" priority="1454">
      <formula>$I197:$I818="Gas Supply"</formula>
    </cfRule>
  </conditionalFormatting>
  <conditionalFormatting sqref="I198">
    <cfRule type="expression" dxfId="49" priority="1419">
      <formula>$I198:$I816="General Accounting"</formula>
    </cfRule>
    <cfRule type="expression" dxfId="48" priority="1420">
      <formula>$I198:$I816="Gas Supply"</formula>
    </cfRule>
  </conditionalFormatting>
  <conditionalFormatting sqref="I199:I521">
    <cfRule type="expression" dxfId="47" priority="1415">
      <formula>$I199:$I816="General Accounting"</formula>
    </cfRule>
    <cfRule type="expression" dxfId="46" priority="1416">
      <formula>$I199:$I816="Gas Supply"</formula>
    </cfRule>
  </conditionalFormatting>
  <conditionalFormatting sqref="I522:I524">
    <cfRule type="expression" dxfId="45" priority="1554">
      <formula>$I522:$I1137="Gas Supply"</formula>
    </cfRule>
    <cfRule type="expression" dxfId="44" priority="1553">
      <formula>$I522:$I1137="General Accounting"</formula>
    </cfRule>
  </conditionalFormatting>
  <conditionalFormatting sqref="I525">
    <cfRule type="expression" dxfId="43" priority="1507">
      <formula>$I525:$I1139="General Accounting"</formula>
    </cfRule>
    <cfRule type="expression" dxfId="42" priority="1508">
      <formula>$I525:$I1139="Gas Supply"</formula>
    </cfRule>
  </conditionalFormatting>
  <conditionalFormatting sqref="I526:I587">
    <cfRule type="expression" dxfId="41" priority="1550">
      <formula>$I526:$I1139="Gas Supply"</formula>
    </cfRule>
    <cfRule type="expression" dxfId="40" priority="1549">
      <formula>$I526:$I1139="General Accounting"</formula>
    </cfRule>
  </conditionalFormatting>
  <conditionalFormatting sqref="I588:I661">
    <cfRule type="expression" dxfId="39" priority="216">
      <formula>$I588:$I1173="Gas Supply"</formula>
    </cfRule>
    <cfRule type="expression" dxfId="38" priority="215">
      <formula>$I588:$I1173="General Accounting"</formula>
    </cfRule>
  </conditionalFormatting>
  <conditionalFormatting sqref="I662">
    <cfRule type="expression" dxfId="37" priority="4">
      <formula>$I662:$I1227="Gas Supply"</formula>
    </cfRule>
    <cfRule type="expression" dxfId="36" priority="3">
      <formula>$I662:$I1227="General Accounting"</formula>
    </cfRule>
  </conditionalFormatting>
  <conditionalFormatting sqref="L7:L9">
    <cfRule type="expression" dxfId="35" priority="873">
      <formula>$I7:$I578="General Accounting"</formula>
    </cfRule>
    <cfRule type="expression" dxfId="34" priority="874">
      <formula>$I7:$I578="Gas Supply"</formula>
    </cfRule>
  </conditionalFormatting>
  <conditionalFormatting sqref="L191">
    <cfRule type="expression" dxfId="33" priority="340">
      <formula>$I191:$I810="Gas Supply"</formula>
    </cfRule>
    <cfRule type="expression" dxfId="32" priority="339">
      <formula>$I191:$I810="General Accounting"</formula>
    </cfRule>
  </conditionalFormatting>
  <conditionalFormatting sqref="L192">
    <cfRule type="expression" dxfId="31" priority="593">
      <formula>$I192:$I810="General Accounting"</formula>
    </cfRule>
    <cfRule type="expression" dxfId="30" priority="594">
      <formula>$I192:$I810="Gas Supply"</formula>
    </cfRule>
  </conditionalFormatting>
  <conditionalFormatting sqref="L193">
    <cfRule type="expression" dxfId="29" priority="366">
      <formula>$I193:$I815="Gas Supply"</formula>
    </cfRule>
    <cfRule type="expression" dxfId="28" priority="365">
      <formula>$I193:$I815="General Accounting"</formula>
    </cfRule>
  </conditionalFormatting>
  <conditionalFormatting sqref="L194">
    <cfRule type="expression" dxfId="27" priority="361">
      <formula>$I194:$I815="General Accounting"</formula>
    </cfRule>
    <cfRule type="expression" dxfId="26" priority="362">
      <formula>$I194:$I815="Gas Supply"</formula>
    </cfRule>
  </conditionalFormatting>
  <conditionalFormatting sqref="L195">
    <cfRule type="expression" dxfId="25" priority="357">
      <formula>$I195:$I815="General Accounting"</formula>
    </cfRule>
    <cfRule type="expression" dxfId="24" priority="358">
      <formula>$I195:$I815="Gas Supply"</formula>
    </cfRule>
  </conditionalFormatting>
  <conditionalFormatting sqref="L197">
    <cfRule type="expression" dxfId="23" priority="359">
      <formula>$I197:$I815="General Accounting"</formula>
    </cfRule>
    <cfRule type="expression" dxfId="22" priority="360">
      <formula>$I197:$I815="Gas Supply"</formula>
    </cfRule>
  </conditionalFormatting>
  <conditionalFormatting sqref="L198">
    <cfRule type="expression" dxfId="21" priority="369">
      <formula>$I198:$I805="General Accounting"</formula>
    </cfRule>
    <cfRule type="expression" dxfId="20" priority="370">
      <formula>$I198:$I805="Gas Supply"</formula>
    </cfRule>
  </conditionalFormatting>
  <conditionalFormatting sqref="L199">
    <cfRule type="expression" dxfId="19" priority="368">
      <formula>$I199:$I805="Gas Supply"</formula>
    </cfRule>
    <cfRule type="expression" dxfId="18" priority="367">
      <formula>$I199:$I805="General Accounting"</formula>
    </cfRule>
  </conditionalFormatting>
  <conditionalFormatting sqref="L200:L222">
    <cfRule type="expression" dxfId="17" priority="1424">
      <formula>$I200:$I814="Gas Supply"</formula>
    </cfRule>
    <cfRule type="expression" dxfId="16" priority="1423">
      <formula>$I200:$I814="General Accounting"</formula>
    </cfRule>
  </conditionalFormatting>
  <conditionalFormatting sqref="L287:L289">
    <cfRule type="expression" dxfId="15" priority="1495">
      <formula>$I287:$I889="General Accounting"</formula>
    </cfRule>
    <cfRule type="expression" dxfId="14" priority="1496">
      <formula>$I287:$I889="Gas Supply"</formula>
    </cfRule>
  </conditionalFormatting>
  <conditionalFormatting sqref="L331">
    <cfRule type="expression" dxfId="13" priority="884">
      <formula>$I331:$I928="Gas Supply"</formula>
    </cfRule>
    <cfRule type="expression" dxfId="12" priority="883">
      <formula>$I331:$I928="General Accounting"</formula>
    </cfRule>
  </conditionalFormatting>
  <conditionalFormatting sqref="L581">
    <cfRule type="expression" dxfId="11" priority="887">
      <formula>$I581:$I1163="General Accounting"</formula>
    </cfRule>
    <cfRule type="expression" dxfId="10" priority="888">
      <formula>$I581:$I1163="Gas Supply"</formula>
    </cfRule>
  </conditionalFormatting>
  <conditionalFormatting sqref="L582:L607">
    <cfRule type="expression" dxfId="9" priority="203">
      <formula>$I582:$I1136="General Accounting"</formula>
    </cfRule>
    <cfRule type="expression" dxfId="8" priority="204">
      <formula>$I582:$I1136="Gas Supply"</formula>
    </cfRule>
  </conditionalFormatting>
  <conditionalFormatting sqref="L608:L614">
    <cfRule type="expression" dxfId="7" priority="217">
      <formula>$I608:$I1142="General Accounting"</formula>
    </cfRule>
    <cfRule type="expression" dxfId="6" priority="218">
      <formula>$I608:$I1142="Gas Supply"</formula>
    </cfRule>
  </conditionalFormatting>
  <conditionalFormatting sqref="L615:L661">
    <cfRule type="expression" dxfId="5" priority="2">
      <formula>$I615:$I1169="Gas Supply"</formula>
    </cfRule>
    <cfRule type="expression" dxfId="4" priority="1">
      <formula>$I615:$I1169="General Accounting"</formula>
    </cfRule>
  </conditionalFormatting>
  <conditionalFormatting sqref="L6:AK6 M7:AK662">
    <cfRule type="expression" dxfId="3" priority="864">
      <formula>$I6:$I634="Gas Supply"</formula>
    </cfRule>
    <cfRule type="expression" dxfId="2" priority="863">
      <formula>$I6:$I634="General Accounting"</formula>
    </cfRule>
  </conditionalFormatting>
  <conditionalFormatting sqref="AL6:AM662">
    <cfRule type="expression" dxfId="1" priority="201">
      <formula>$I6:$I614="General Accounting"</formula>
    </cfRule>
    <cfRule type="expression" dxfId="0" priority="202">
      <formula>$I6:$I614="Gas Supply"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5546A-E1CA-40A1-8CD4-BBD1EF9E0586}">
  <sheetPr>
    <tabColor rgb="FF00B0F0"/>
  </sheetPr>
  <dimension ref="A2:AE41"/>
  <sheetViews>
    <sheetView showGridLines="0" zoomScale="85" zoomScaleNormal="85" workbookViewId="0">
      <selection activeCell="E25" sqref="E25"/>
    </sheetView>
  </sheetViews>
  <sheetFormatPr defaultRowHeight="15" x14ac:dyDescent="0.25"/>
  <cols>
    <col min="1" max="1" width="2.5703125" customWidth="1"/>
    <col min="2" max="2" width="15" customWidth="1"/>
    <col min="3" max="3" width="14.5703125" customWidth="1"/>
    <col min="4" max="4" width="16.42578125" customWidth="1"/>
    <col min="5" max="5" width="13.42578125" customWidth="1"/>
    <col min="6" max="6" width="34.42578125" customWidth="1"/>
    <col min="7" max="31" width="14.140625" customWidth="1"/>
  </cols>
  <sheetData>
    <row r="2" spans="2:16" x14ac:dyDescent="0.25">
      <c r="B2" s="1" t="s">
        <v>80</v>
      </c>
      <c r="F2" s="1" t="s">
        <v>81</v>
      </c>
      <c r="I2" s="1" t="s">
        <v>82</v>
      </c>
      <c r="M2" s="1" t="s">
        <v>83</v>
      </c>
    </row>
    <row r="3" spans="2:16" x14ac:dyDescent="0.25">
      <c r="B3" s="36" t="s">
        <v>84</v>
      </c>
      <c r="C3" s="38"/>
      <c r="D3" s="124">
        <f ca="1">-Y39+IF(AND(ISNUMBER(MATCH("Natural Gas",$E$25:$E$38,0)),G10="Total"),G9*12,0)</f>
        <v>0</v>
      </c>
      <c r="F3" s="29" t="s">
        <v>85</v>
      </c>
      <c r="G3" s="131">
        <f ca="1">TODAY()</f>
        <v>45734</v>
      </c>
      <c r="I3" s="36" t="s">
        <v>86</v>
      </c>
      <c r="J3" s="38"/>
      <c r="K3" s="121" t="e">
        <f>VLOOKUP('Project Details'!AI5,'Heating and Cooling Zip Codes'!A2:B962,2,FALSE)</f>
        <v>#N/A</v>
      </c>
      <c r="M3" s="36" t="s">
        <v>30</v>
      </c>
      <c r="N3" s="38"/>
      <c r="O3" s="126">
        <f>'Project Details'!N19</f>
        <v>0</v>
      </c>
      <c r="P3" s="127" t="s">
        <v>87</v>
      </c>
    </row>
    <row r="4" spans="2:16" x14ac:dyDescent="0.25">
      <c r="B4" s="36" t="s">
        <v>88</v>
      </c>
      <c r="C4" s="38"/>
      <c r="D4" s="160">
        <f>-T39</f>
        <v>0</v>
      </c>
      <c r="F4" s="29" t="s">
        <v>89</v>
      </c>
      <c r="G4" s="121" t="s">
        <v>90</v>
      </c>
      <c r="M4" s="36" t="s">
        <v>91</v>
      </c>
      <c r="N4" s="38"/>
      <c r="O4" s="126">
        <f>'Project Details'!N20</f>
        <v>0</v>
      </c>
      <c r="P4" t="s">
        <v>92</v>
      </c>
    </row>
    <row r="5" spans="2:16" ht="15" customHeight="1" x14ac:dyDescent="0.25">
      <c r="B5" s="36" t="s">
        <v>93</v>
      </c>
      <c r="C5" s="38"/>
      <c r="D5" s="160">
        <f>AB39</f>
        <v>0</v>
      </c>
      <c r="F5" s="29" t="s">
        <v>94</v>
      </c>
      <c r="G5" s="121" t="s">
        <v>95</v>
      </c>
      <c r="I5" s="1" t="s">
        <v>96</v>
      </c>
      <c r="M5" s="36" t="s">
        <v>97</v>
      </c>
      <c r="N5" s="38"/>
      <c r="O5" s="126">
        <f>'Project Details'!N21</f>
        <v>0</v>
      </c>
      <c r="P5" t="s">
        <v>92</v>
      </c>
    </row>
    <row r="6" spans="2:16" x14ac:dyDescent="0.25">
      <c r="B6" s="36" t="s">
        <v>98</v>
      </c>
      <c r="C6" s="38"/>
      <c r="D6" s="124">
        <f>G39</f>
        <v>0</v>
      </c>
      <c r="F6" s="29" t="s">
        <v>99</v>
      </c>
      <c r="G6" s="123">
        <f ca="1">'Electric Rates'!F42</f>
        <v>0.13192644536999998</v>
      </c>
      <c r="H6" t="s">
        <v>100</v>
      </c>
      <c r="I6" s="36" t="s">
        <v>101</v>
      </c>
      <c r="J6" s="38"/>
      <c r="K6" s="125">
        <f>'Project Details'!M13</f>
        <v>0</v>
      </c>
      <c r="M6" s="36" t="s">
        <v>102</v>
      </c>
      <c r="N6" s="38"/>
      <c r="O6" s="126">
        <f>'Project Details'!N22</f>
        <v>0</v>
      </c>
      <c r="P6" t="s">
        <v>92</v>
      </c>
    </row>
    <row r="7" spans="2:16" x14ac:dyDescent="0.25">
      <c r="B7" s="36" t="s">
        <v>103</v>
      </c>
      <c r="C7" s="38"/>
      <c r="D7" s="120" t="e">
        <f>D6/D5</f>
        <v>#DIV/0!</v>
      </c>
      <c r="F7" s="29" t="s">
        <v>104</v>
      </c>
      <c r="G7" s="123">
        <f ca="1">'Electric Rates'!E41</f>
        <v>0.15969796720333329</v>
      </c>
      <c r="H7" t="s">
        <v>100</v>
      </c>
      <c r="I7" s="36" t="s">
        <v>105</v>
      </c>
      <c r="J7" s="38"/>
      <c r="K7" s="129">
        <f>'Project Details'!O15/100</f>
        <v>0</v>
      </c>
      <c r="M7" s="36" t="s">
        <v>106</v>
      </c>
      <c r="N7" s="38"/>
      <c r="O7" s="126">
        <v>0</v>
      </c>
      <c r="P7" t="s">
        <v>92</v>
      </c>
    </row>
    <row r="8" spans="2:16" x14ac:dyDescent="0.25">
      <c r="B8" s="36" t="s">
        <v>107</v>
      </c>
      <c r="C8" s="38"/>
      <c r="D8" s="159">
        <f>AE39</f>
        <v>0</v>
      </c>
      <c r="F8" s="29" t="s">
        <v>108</v>
      </c>
      <c r="G8" s="123">
        <f ca="1">('Gas Rates'!D16*10)*IFERROR(INDEX('Form Lookups'!$M$2:$M$7,MATCH('Project Details'!$E$6,'Form Lookups'!$L$2:$L$7,0)),100%)</f>
        <v>11.53894265001739</v>
      </c>
      <c r="H8" t="s">
        <v>109</v>
      </c>
      <c r="I8" s="36" t="s">
        <v>110</v>
      </c>
      <c r="J8" s="38"/>
      <c r="K8" s="129">
        <f>'Project Details'!G10/100</f>
        <v>0</v>
      </c>
      <c r="M8" s="36" t="s">
        <v>40</v>
      </c>
      <c r="N8" s="38"/>
      <c r="O8" s="126">
        <f>'Project Details'!N23</f>
        <v>0</v>
      </c>
      <c r="P8" t="s">
        <v>92</v>
      </c>
    </row>
    <row r="9" spans="2:16" x14ac:dyDescent="0.25">
      <c r="F9" s="29" t="s">
        <v>111</v>
      </c>
      <c r="G9" s="123">
        <f ca="1">'Gas Rates'!D5*IFERROR(INDEX('Form Lookups'!$M$2:$M$7,MATCH('Project Details'!$E$6,'Form Lookups'!$L$2:$L$7,0)),100%)</f>
        <v>22.829999999999995</v>
      </c>
      <c r="H9" t="s">
        <v>112</v>
      </c>
      <c r="I9" s="36" t="s">
        <v>113</v>
      </c>
      <c r="J9" s="38"/>
      <c r="K9" s="126">
        <f>'Project Details'!AI13</f>
        <v>0</v>
      </c>
      <c r="M9" s="36" t="s">
        <v>114</v>
      </c>
      <c r="N9" s="38"/>
      <c r="O9" s="126">
        <f>'Project Details'!N24</f>
        <v>0</v>
      </c>
      <c r="P9" t="s">
        <v>92</v>
      </c>
    </row>
    <row r="10" spans="2:16" x14ac:dyDescent="0.25">
      <c r="B10" s="1" t="s">
        <v>115</v>
      </c>
      <c r="F10" s="132" t="s">
        <v>116</v>
      </c>
      <c r="G10" s="122" t="s">
        <v>79</v>
      </c>
      <c r="I10" s="36" t="s">
        <v>117</v>
      </c>
      <c r="J10" s="38"/>
      <c r="K10" s="126">
        <f>'Project Details'!Q9</f>
        <v>0</v>
      </c>
      <c r="M10" s="36" t="s">
        <v>118</v>
      </c>
      <c r="N10" s="38"/>
      <c r="O10" s="126">
        <f>'Project Details'!N25</f>
        <v>0</v>
      </c>
      <c r="P10" t="s">
        <v>119</v>
      </c>
    </row>
    <row r="11" spans="2:16" x14ac:dyDescent="0.25">
      <c r="B11" s="121" t="s">
        <v>120</v>
      </c>
      <c r="C11" s="133" t="s">
        <v>121</v>
      </c>
      <c r="F11" s="132" t="s">
        <v>122</v>
      </c>
      <c r="G11" s="122" t="s">
        <v>79</v>
      </c>
      <c r="I11" s="36" t="s">
        <v>123</v>
      </c>
      <c r="J11" s="38"/>
      <c r="K11" s="223" t="s">
        <v>124</v>
      </c>
      <c r="M11" s="36" t="s">
        <v>118</v>
      </c>
      <c r="N11" s="38"/>
      <c r="O11" s="126">
        <v>1</v>
      </c>
      <c r="P11" t="s">
        <v>125</v>
      </c>
    </row>
    <row r="12" spans="2:16" x14ac:dyDescent="0.25">
      <c r="F12" s="29" t="s">
        <v>126</v>
      </c>
      <c r="G12" s="128">
        <v>2.2799999999999998</v>
      </c>
      <c r="H12" t="s">
        <v>127</v>
      </c>
      <c r="M12" s="36" t="s">
        <v>118</v>
      </c>
      <c r="N12" s="38"/>
      <c r="O12" s="126">
        <v>3</v>
      </c>
      <c r="P12" t="s">
        <v>128</v>
      </c>
    </row>
    <row r="13" spans="2:16" x14ac:dyDescent="0.25">
      <c r="F13" s="29" t="s">
        <v>129</v>
      </c>
      <c r="G13" s="128">
        <f>(17.297/10^6)*Backup_FS!$C$15</f>
        <v>1.5818452440000002</v>
      </c>
      <c r="H13" t="s">
        <v>127</v>
      </c>
      <c r="I13" s="1" t="s">
        <v>130</v>
      </c>
    </row>
    <row r="14" spans="2:16" x14ac:dyDescent="0.25">
      <c r="I14" s="36" t="s">
        <v>131</v>
      </c>
      <c r="J14" s="38"/>
      <c r="K14" s="125">
        <f>'Project Details'!I13</f>
        <v>0</v>
      </c>
      <c r="M14" s="1" t="s">
        <v>132</v>
      </c>
      <c r="O14" s="1" t="s">
        <v>133</v>
      </c>
      <c r="P14" s="1" t="s">
        <v>134</v>
      </c>
    </row>
    <row r="15" spans="2:16" x14ac:dyDescent="0.25">
      <c r="F15" t="s">
        <v>135</v>
      </c>
      <c r="G15" s="195">
        <f>IF(ISBLANK('Project Details'!Q10),'Project Details'!G10,IF(2023-'Project Details'!Q10&lt;30,'Project Details'!G10*(1-0.01)^(2023-'Project Details'!Q10),'Project Details'!G10*(1-0.01)^30))/100</f>
        <v>0</v>
      </c>
      <c r="I15" s="36" t="s">
        <v>136</v>
      </c>
      <c r="J15" s="38"/>
      <c r="K15" s="125">
        <f>'Project Details'!Y10*0.95</f>
        <v>0</v>
      </c>
      <c r="L15" s="222" t="s">
        <v>137</v>
      </c>
      <c r="M15" s="36" t="s">
        <v>91</v>
      </c>
      <c r="N15" s="38"/>
      <c r="O15" s="125">
        <f>'Project Details'!Y20</f>
        <v>0</v>
      </c>
      <c r="P15" s="125">
        <f>'Project Details'!AI20</f>
        <v>0</v>
      </c>
    </row>
    <row r="16" spans="2:16" x14ac:dyDescent="0.25">
      <c r="F16" t="s">
        <v>138</v>
      </c>
      <c r="G16">
        <f>IF(ISBLANK('Project Details'!AI10),'Project Details'!Y10,IF(2023-'Project Details'!AI10&lt;30,'Project Details'!Y10*(1-0.01)^(2023-'Project Details'!AI10),'Project Details'!Y10*(1-0.01)^30))</f>
        <v>0</v>
      </c>
      <c r="I16" s="36" t="s">
        <v>139</v>
      </c>
      <c r="J16" s="38"/>
      <c r="K16" s="125">
        <f>'Project Details'!Z13</f>
        <v>0</v>
      </c>
      <c r="M16" s="36" t="s">
        <v>97</v>
      </c>
      <c r="N16" s="38"/>
      <c r="O16" s="125">
        <f>'Project Details'!Y21</f>
        <v>0</v>
      </c>
      <c r="P16" s="125">
        <f>'Project Details'!AI21</f>
        <v>0</v>
      </c>
    </row>
    <row r="17" spans="1:31" x14ac:dyDescent="0.25">
      <c r="I17" s="36" t="s">
        <v>140</v>
      </c>
      <c r="J17" s="38"/>
      <c r="K17" s="125" t="str">
        <f>IF('Project Details'!V9="Central Air Conditioning","Yes",IF('Project Details'!V9="ASHP","Yes",IF('Project Details'!V9="DHP","Yes","No")))</f>
        <v>No</v>
      </c>
      <c r="M17" s="36" t="s">
        <v>102</v>
      </c>
      <c r="N17" s="38"/>
      <c r="O17" s="125">
        <v>1</v>
      </c>
      <c r="P17" s="125">
        <f>'Project Details'!AI22</f>
        <v>0</v>
      </c>
    </row>
    <row r="18" spans="1:31" x14ac:dyDescent="0.25">
      <c r="M18" s="36" t="s">
        <v>106</v>
      </c>
      <c r="N18" s="38"/>
      <c r="O18" s="125"/>
      <c r="P18" s="125"/>
    </row>
    <row r="19" spans="1:31" x14ac:dyDescent="0.25">
      <c r="I19" s="1" t="s">
        <v>141</v>
      </c>
      <c r="M19" s="36" t="s">
        <v>40</v>
      </c>
      <c r="N19" s="38"/>
      <c r="O19" s="163">
        <v>1</v>
      </c>
      <c r="P19" s="163">
        <f>'Project Details'!AI23</f>
        <v>0</v>
      </c>
    </row>
    <row r="20" spans="1:31" x14ac:dyDescent="0.25">
      <c r="I20" s="36" t="s">
        <v>142</v>
      </c>
      <c r="J20" s="38"/>
      <c r="K20" s="125" t="s">
        <v>143</v>
      </c>
      <c r="M20" s="36" t="s">
        <v>114</v>
      </c>
      <c r="N20" s="38"/>
      <c r="O20" s="163">
        <v>1</v>
      </c>
      <c r="P20" s="163">
        <f>'Project Details'!AI24</f>
        <v>0</v>
      </c>
    </row>
    <row r="21" spans="1:31" x14ac:dyDescent="0.25">
      <c r="M21" s="36" t="s">
        <v>118</v>
      </c>
      <c r="N21" s="38"/>
      <c r="O21" s="163">
        <v>1</v>
      </c>
      <c r="P21" s="163">
        <f>'Project Details'!AI25</f>
        <v>0</v>
      </c>
      <c r="U21" s="168">
        <f ca="1">U25+V25+W25</f>
        <v>0</v>
      </c>
    </row>
    <row r="22" spans="1:31" x14ac:dyDescent="0.25">
      <c r="B22" s="1" t="s">
        <v>144</v>
      </c>
    </row>
    <row r="23" spans="1:31" ht="30" x14ac:dyDescent="0.25">
      <c r="B23" s="31" t="s">
        <v>145</v>
      </c>
      <c r="C23" s="31" t="s">
        <v>146</v>
      </c>
      <c r="D23" s="130" t="s">
        <v>147</v>
      </c>
      <c r="E23" s="31" t="s">
        <v>148</v>
      </c>
      <c r="F23" s="31" t="s">
        <v>149</v>
      </c>
      <c r="G23" s="49" t="s">
        <v>150</v>
      </c>
      <c r="H23" s="41" t="s">
        <v>151</v>
      </c>
      <c r="I23" s="42"/>
      <c r="J23" s="42"/>
      <c r="K23" s="43"/>
      <c r="L23" s="41" t="s">
        <v>152</v>
      </c>
      <c r="M23" s="42"/>
      <c r="N23" s="42"/>
      <c r="O23" s="43"/>
      <c r="P23" s="44" t="s">
        <v>153</v>
      </c>
      <c r="Q23" s="45"/>
      <c r="R23" s="45"/>
      <c r="S23" s="45"/>
      <c r="T23" s="46"/>
      <c r="U23" s="44" t="s">
        <v>154</v>
      </c>
      <c r="V23" s="45"/>
      <c r="W23" s="45"/>
      <c r="X23" s="45"/>
      <c r="Y23" s="46"/>
      <c r="Z23" s="41" t="s">
        <v>155</v>
      </c>
      <c r="AA23" s="42"/>
      <c r="AB23" s="43"/>
      <c r="AC23" s="41" t="s">
        <v>156</v>
      </c>
      <c r="AD23" s="42"/>
      <c r="AE23" s="43"/>
    </row>
    <row r="24" spans="1:31" ht="30" x14ac:dyDescent="0.25">
      <c r="B24" s="32"/>
      <c r="C24" s="32"/>
      <c r="D24" s="32"/>
      <c r="E24" s="32"/>
      <c r="F24" s="32"/>
      <c r="G24" s="32" t="s">
        <v>79</v>
      </c>
      <c r="H24" s="32" t="s">
        <v>157</v>
      </c>
      <c r="I24" s="32" t="s">
        <v>158</v>
      </c>
      <c r="J24" s="32" t="s">
        <v>159</v>
      </c>
      <c r="K24" s="32" t="s">
        <v>160</v>
      </c>
      <c r="L24" s="32" t="s">
        <v>157</v>
      </c>
      <c r="M24" s="32" t="s">
        <v>158</v>
      </c>
      <c r="N24" s="32" t="s">
        <v>159</v>
      </c>
      <c r="O24" s="32" t="s">
        <v>160</v>
      </c>
      <c r="P24" s="32" t="s">
        <v>157</v>
      </c>
      <c r="Q24" s="32" t="s">
        <v>158</v>
      </c>
      <c r="R24" s="32" t="s">
        <v>159</v>
      </c>
      <c r="S24" s="32" t="s">
        <v>160</v>
      </c>
      <c r="T24" s="32" t="s">
        <v>79</v>
      </c>
      <c r="U24" s="32" t="s">
        <v>157</v>
      </c>
      <c r="V24" s="32" t="s">
        <v>158</v>
      </c>
      <c r="W24" s="32" t="s">
        <v>159</v>
      </c>
      <c r="X24" s="32" t="s">
        <v>160</v>
      </c>
      <c r="Y24" s="32" t="s">
        <v>79</v>
      </c>
      <c r="Z24" s="32" t="s">
        <v>157</v>
      </c>
      <c r="AA24" s="32" t="s">
        <v>161</v>
      </c>
      <c r="AB24" s="32" t="s">
        <v>79</v>
      </c>
      <c r="AC24" s="32" t="s">
        <v>157</v>
      </c>
      <c r="AD24" s="32" t="s">
        <v>161</v>
      </c>
      <c r="AE24" s="32" t="s">
        <v>79</v>
      </c>
    </row>
    <row r="25" spans="1:31" x14ac:dyDescent="0.25">
      <c r="A25" s="51" t="str">
        <f t="shared" ref="A25:A38" si="0">B25&amp;"_"&amp;C25&amp;"_"&amp;F25</f>
        <v>Residential_HVAC_n/a</v>
      </c>
      <c r="B25" s="29" t="s">
        <v>162</v>
      </c>
      <c r="C25" s="29" t="s">
        <v>163</v>
      </c>
      <c r="D25" s="29" t="str">
        <f>IF(F25="n/a","n/a",INDEX(Backup_FS!$B$11:$I$11,MATCH($F25,Backup_FS!$B$7:$I$7,0)))</f>
        <v>n/a</v>
      </c>
      <c r="E25" s="30" t="s">
        <v>126</v>
      </c>
      <c r="F25" s="30" t="str">
        <f>IF('Project Details'!P32="Propane",IF('Project Details'!U32="Air Source Heat Pump","Air-Source Heat Pump",IF('Project Details'!U32="Ductless Minisplit Heat Pump","Ductless Heat Pump",IF('Project Details'!U32="Ground Source Heat Pump","Ground Source Heat Pump","n/a"))),"n/a")</f>
        <v>n/a</v>
      </c>
      <c r="G25" s="179">
        <f>'Project Details'!AI32</f>
        <v>0</v>
      </c>
      <c r="H25" s="33">
        <f>IFERROR(INDEX(Algorithms_FS!$F:$F,MATCH($A25&amp;"_BTU Impact_Existing_"&amp;H$24,Algorithms_FS!$A:$A,0)),0)</f>
        <v>0</v>
      </c>
      <c r="I25" s="33">
        <f>IFERROR(INDEX(Algorithms_FS!$F:$F,MATCH($A25&amp;"_BTU Impact_Existing_"&amp;I$24,Algorithms_FS!$A:$A,0)),0)</f>
        <v>0</v>
      </c>
      <c r="J25" s="33">
        <f>IFERROR(INDEX(Algorithms_FS!$F:$F,MATCH($A25&amp;"_BTU Impact_Existing_"&amp;J$24,Algorithms_FS!$A:$A,0)),0)</f>
        <v>0</v>
      </c>
      <c r="K25" s="33">
        <f>I25+J25</f>
        <v>0</v>
      </c>
      <c r="L25" s="33">
        <f>IFERROR(INDEX(Algorithms_FS!$F:$F,MATCH($A25&amp;"_BTU Impact_New_"&amp;L$24,Algorithms_FS!$A:$A,0)),0)</f>
        <v>0</v>
      </c>
      <c r="M25" s="33">
        <f>IFERROR(INDEX(Algorithms_FS!$F:$F,MATCH($A25&amp;"_BTU Impact_New_"&amp;M$24,Algorithms_FS!$A:$A,0)),0)</f>
        <v>0</v>
      </c>
      <c r="N25" s="33">
        <f>IFERROR(INDEX(Algorithms_FS!$F:$F,MATCH($A25&amp;"_BTU Impact_New_"&amp;N$24,Algorithms_FS!$A:$A,0)),0)</f>
        <v>0</v>
      </c>
      <c r="O25" s="33">
        <f t="shared" ref="O25:O29" si="1">M25+N25</f>
        <v>0</v>
      </c>
      <c r="P25" s="33">
        <f>H25+L25</f>
        <v>0</v>
      </c>
      <c r="Q25" s="33">
        <f t="shared" ref="Q25:Q38" si="2">I25+M25</f>
        <v>0</v>
      </c>
      <c r="R25" s="33">
        <f t="shared" ref="R25:R38" si="3">J25+N25</f>
        <v>0</v>
      </c>
      <c r="S25" s="33">
        <f t="shared" ref="S25:S38" si="4">K25+O25</f>
        <v>0</v>
      </c>
      <c r="T25" s="33">
        <f>P25+Q25+R25</f>
        <v>0</v>
      </c>
      <c r="U25" s="34">
        <f>(P25/INDEX(Backup_FS!$C$15:$C$18,MATCH($E25,Backup_FS!$A$15:$A$18,0)))*INDEX($G$8:$G$13,MATCH($E25,$F$8:$F$13,0))</f>
        <v>0</v>
      </c>
      <c r="V25" s="34">
        <f ca="1">(Q25/INDEX(Backup_FS!$C$15:$C$18,MATCH("Electricity",Backup_FS!$A$15:$A$18,0)))*$G$6</f>
        <v>0</v>
      </c>
      <c r="W25" s="34">
        <f ca="1">(R25/INDEX(Backup_FS!$C$15:$C$18,MATCH("Electricity",Backup_FS!$A$15:$A$18,0)))*$G$7</f>
        <v>0</v>
      </c>
      <c r="X25" s="34">
        <f ca="1">V25+W25</f>
        <v>0</v>
      </c>
      <c r="Y25" s="34">
        <f ca="1">U25+V25+W25</f>
        <v>0</v>
      </c>
      <c r="Z25" s="33">
        <f>-P25/3412</f>
        <v>0</v>
      </c>
      <c r="AA25" s="33">
        <f>-S25/3412</f>
        <v>0</v>
      </c>
      <c r="AB25" s="33">
        <f>Z25+AA25</f>
        <v>0</v>
      </c>
      <c r="AC25" s="33">
        <f>-P25*INDEX(Backup_FS!$D$15:$D$18,MATCH($E25,Backup_FS!$A$15:$A$18,0))</f>
        <v>0</v>
      </c>
      <c r="AD25" s="33">
        <f>-Q25*Backup_FS!$D$18</f>
        <v>0</v>
      </c>
      <c r="AE25" s="33">
        <f>AC25+AD25</f>
        <v>0</v>
      </c>
    </row>
    <row r="26" spans="1:31" x14ac:dyDescent="0.25">
      <c r="A26" s="51" t="str">
        <f t="shared" ref="A26" si="5">B26&amp;"_"&amp;C26&amp;"_"&amp;F26</f>
        <v>Residential_HVAC_n/a</v>
      </c>
      <c r="B26" s="29" t="s">
        <v>162</v>
      </c>
      <c r="C26" s="29" t="s">
        <v>163</v>
      </c>
      <c r="D26" s="29" t="str">
        <f>IF(F26="n/a","n/a",INDEX(Backup_FS!$B$11:$I$11,MATCH($F26,Backup_FS!$B$7:$I$7,0)))</f>
        <v>n/a</v>
      </c>
      <c r="E26" s="30" t="s">
        <v>126</v>
      </c>
      <c r="F26" s="30" t="s">
        <v>164</v>
      </c>
      <c r="G26" s="179">
        <f>IFERROR(INDEX(Algorithms_FS!$F:$F,MATCH($A26&amp;"_Incremental Cost",Algorithms_FS!$A:$A,0)),0)</f>
        <v>0</v>
      </c>
      <c r="H26" s="33">
        <f>IFERROR(INDEX(Algorithms_FS!$F:$F,MATCH($A26&amp;"_BTU Impact_Existing_"&amp;H$24,Algorithms_FS!$A:$A,0)),0)</f>
        <v>0</v>
      </c>
      <c r="I26" s="33">
        <f>IFERROR(INDEX(Algorithms_FS!$F:$F,MATCH($A26&amp;"_BTU Impact_Existing_"&amp;I$24,Algorithms_FS!$A:$A,0)),0)</f>
        <v>0</v>
      </c>
      <c r="J26" s="33">
        <f>IFERROR(INDEX(Algorithms_FS!$F:$F,MATCH($A26&amp;"_BTU Impact_Existing_"&amp;J$24,Algorithms_FS!$A:$A,0)),0)</f>
        <v>0</v>
      </c>
      <c r="K26" s="33">
        <f t="shared" ref="K26:K29" si="6">I26+J26</f>
        <v>0</v>
      </c>
      <c r="L26" s="33">
        <f>IFERROR(INDEX(Algorithms_FS!$F:$F,MATCH($A26&amp;"_BTU Impact_New_"&amp;L$24,Algorithms_FS!$A:$A,0)),0)</f>
        <v>0</v>
      </c>
      <c r="M26" s="33">
        <f>IFERROR(INDEX(Algorithms_FS!$F:$F,MATCH($A26&amp;"_BTU Impact_New_"&amp;M$24,Algorithms_FS!$A:$A,0)),0)</f>
        <v>0</v>
      </c>
      <c r="N26" s="33">
        <f>IFERROR(INDEX(Algorithms_FS!$F:$F,MATCH($A26&amp;"_BTU Impact_New_"&amp;N$24,Algorithms_FS!$A:$A,0)),0)</f>
        <v>0</v>
      </c>
      <c r="O26" s="33">
        <f t="shared" si="1"/>
        <v>0</v>
      </c>
      <c r="P26" s="33">
        <f>H26+L26</f>
        <v>0</v>
      </c>
      <c r="Q26" s="33">
        <f t="shared" ref="Q26" si="7">I26+M26</f>
        <v>0</v>
      </c>
      <c r="R26" s="33">
        <f t="shared" ref="R26" si="8">J26+N26</f>
        <v>0</v>
      </c>
      <c r="S26" s="33">
        <f t="shared" ref="S26" si="9">K26+O26</f>
        <v>0</v>
      </c>
      <c r="T26" s="33">
        <f>P26+Q26+R26</f>
        <v>0</v>
      </c>
      <c r="U26" s="34">
        <f>(P26/INDEX(Backup_FS!$C$15:$C$18,MATCH($E26,Backup_FS!$A$15:$A$18,0)))*INDEX($G$8:$G$13,MATCH($E26,$F$8:$F$13,0))</f>
        <v>0</v>
      </c>
      <c r="V26" s="34">
        <f ca="1">(Q26/INDEX(Backup_FS!$C$15:$C$18,MATCH("Electricity",Backup_FS!$A$15:$A$18,0)))*$G$6</f>
        <v>0</v>
      </c>
      <c r="W26" s="34">
        <f ca="1">(R26/INDEX(Backup_FS!$C$15:$C$18,MATCH("Electricity",Backup_FS!$A$15:$A$18,0)))*$G$7</f>
        <v>0</v>
      </c>
      <c r="X26" s="34">
        <f ca="1">V26+W26</f>
        <v>0</v>
      </c>
      <c r="Y26" s="34">
        <f ca="1">U26+V26+W26</f>
        <v>0</v>
      </c>
      <c r="Z26" s="33">
        <f>-P26/3412</f>
        <v>0</v>
      </c>
      <c r="AA26" s="33">
        <f>-S26/3412</f>
        <v>0</v>
      </c>
      <c r="AB26" s="33">
        <f>Z26+AA26</f>
        <v>0</v>
      </c>
      <c r="AC26" s="33">
        <f>-P26*INDEX(Backup_FS!$D$15:$D$18,MATCH($E26,Backup_FS!$A$15:$A$18,0))</f>
        <v>0</v>
      </c>
      <c r="AD26" s="33">
        <f>-Q26*Backup_FS!$D$18</f>
        <v>0</v>
      </c>
      <c r="AE26" s="33">
        <f>AC26+AD26</f>
        <v>0</v>
      </c>
    </row>
    <row r="27" spans="1:31" x14ac:dyDescent="0.25">
      <c r="A27" s="51" t="str">
        <f t="shared" si="0"/>
        <v>Residential_Hot Water_n/a</v>
      </c>
      <c r="B27" s="29" t="s">
        <v>162</v>
      </c>
      <c r="C27" s="29" t="s">
        <v>165</v>
      </c>
      <c r="D27" s="29" t="str">
        <f>IF(F27="n/a","n/a",INDEX(Backup_FS!$B$11:$I$11,MATCH($F27,Backup_FS!$B$7:$I$7,0)))</f>
        <v>n/a</v>
      </c>
      <c r="E27" s="30" t="s">
        <v>126</v>
      </c>
      <c r="F27" s="30" t="str">
        <f>IF('Project Details'!P31="Propane",IF('Project Details'!U31="Heat Pump Water Heater","Heat Pump Water Heater","n/a"),"n/a")</f>
        <v>n/a</v>
      </c>
      <c r="G27" s="179">
        <f>'Project Details'!AI31</f>
        <v>0</v>
      </c>
      <c r="H27" s="33">
        <f>IFERROR(INDEX(Algorithms_FS!$F:$F,MATCH($A27&amp;"_BTU Impact_Existing_"&amp;H$24,Algorithms_FS!$A:$A,0)),0)</f>
        <v>0</v>
      </c>
      <c r="I27" s="33">
        <f>IFERROR(INDEX(Algorithms_FS!$F:$F,MATCH($A27&amp;"_BTU Impact_Existing_"&amp;I$24,Algorithms_FS!$A:$A,0)),0)</f>
        <v>0</v>
      </c>
      <c r="J27" s="33">
        <f>IFERROR(INDEX(Algorithms_FS!$F:$F,MATCH($A27&amp;"_BTU Impact_Existing_"&amp;J$24,Algorithms_FS!$A:$A,0)),0)</f>
        <v>0</v>
      </c>
      <c r="K27" s="33">
        <f t="shared" si="6"/>
        <v>0</v>
      </c>
      <c r="L27" s="33">
        <f>IFERROR(INDEX(Algorithms_FS!$F:$F,MATCH($A27&amp;"_BTU Impact_New_"&amp;L$24,Algorithms_FS!$A:$A,0)),0)</f>
        <v>0</v>
      </c>
      <c r="M27" s="33">
        <f>IFERROR(INDEX(Algorithms_FS!$F:$F,MATCH($A27&amp;"_BTU Impact_New_"&amp;M$24,Algorithms_FS!$A:$A,0)),0)</f>
        <v>0</v>
      </c>
      <c r="N27" s="33">
        <f>IFERROR(INDEX(Algorithms_FS!$F:$F,MATCH($A27&amp;"_BTU Impact_New_"&amp;N$24,Algorithms_FS!$A:$A,0)),0)</f>
        <v>0</v>
      </c>
      <c r="O27" s="33">
        <f t="shared" si="1"/>
        <v>0</v>
      </c>
      <c r="P27" s="33">
        <f t="shared" ref="P27:P38" si="10">H27+L27</f>
        <v>0</v>
      </c>
      <c r="Q27" s="33">
        <f t="shared" si="2"/>
        <v>0</v>
      </c>
      <c r="R27" s="33">
        <f t="shared" si="3"/>
        <v>0</v>
      </c>
      <c r="S27" s="33">
        <f t="shared" si="4"/>
        <v>0</v>
      </c>
      <c r="T27" s="33">
        <f t="shared" ref="T27:T38" si="11">P27+Q27+R27</f>
        <v>0</v>
      </c>
      <c r="U27" s="34">
        <f>(P27/INDEX(Backup_FS!$C$15:$C$18,MATCH($E27,Backup_FS!$A$15:$A$18,0)))*INDEX($G$8:$G$13,MATCH($E27,$F$8:$F$13,0))</f>
        <v>0</v>
      </c>
      <c r="V27" s="34">
        <f ca="1">(Q27/INDEX(Backup_FS!$C$15:$C$18,MATCH("Electricity",Backup_FS!$A$15:$A$18,0)))*$G$6</f>
        <v>0</v>
      </c>
      <c r="W27" s="34">
        <f ca="1">(R27/INDEX(Backup_FS!$C$15:$C$18,MATCH("Electricity",Backup_FS!$A$15:$A$18,0)))*$G$7</f>
        <v>0</v>
      </c>
      <c r="X27" s="34">
        <f t="shared" ref="X27:X38" ca="1" si="12">V27+W27</f>
        <v>0</v>
      </c>
      <c r="Y27" s="34">
        <f t="shared" ref="Y27:Y38" ca="1" si="13">U27+V27+W27</f>
        <v>0</v>
      </c>
      <c r="Z27" s="33">
        <f t="shared" ref="Z27:Z38" si="14">-P27/3412</f>
        <v>0</v>
      </c>
      <c r="AA27" s="33">
        <f t="shared" ref="AA27:AA38" si="15">-S27/3412</f>
        <v>0</v>
      </c>
      <c r="AB27" s="33">
        <f t="shared" ref="AB27:AB38" si="16">Z27+AA27</f>
        <v>0</v>
      </c>
      <c r="AC27" s="33">
        <f>-P27*INDEX(Backup_FS!$D$15:$D$18,MATCH($E27,Backup_FS!$A$15:$A$18,0))</f>
        <v>0</v>
      </c>
      <c r="AD27" s="33">
        <f>-Q27*Backup_FS!$D$18</f>
        <v>0</v>
      </c>
      <c r="AE27" s="33">
        <f t="shared" ref="AE27:AE38" si="17">AC27+AD27</f>
        <v>0</v>
      </c>
    </row>
    <row r="28" spans="1:31" x14ac:dyDescent="0.25">
      <c r="A28" s="51" t="str">
        <f t="shared" si="0"/>
        <v>Residential_Appliances_n/a</v>
      </c>
      <c r="B28" s="29" t="s">
        <v>162</v>
      </c>
      <c r="C28" s="29" t="s">
        <v>166</v>
      </c>
      <c r="D28" s="29" t="str">
        <f>IF(F28="n/a","n/a",INDEX(Backup_FS!$B$11:$I$11,MATCH($F28,Backup_FS!$B$7:$I$7,0)))</f>
        <v>n/a</v>
      </c>
      <c r="E28" s="30" t="s">
        <v>126</v>
      </c>
      <c r="F28" s="30" t="str">
        <f>IF('Project Details'!P30="Propane",IF('Project Details'!U30="Heat Pump Clothes Dryer","Heat Pump Clothes Dryer","n/a"),"n/a")</f>
        <v>n/a</v>
      </c>
      <c r="G28" s="179">
        <f>'Project Details'!AI30</f>
        <v>0</v>
      </c>
      <c r="H28" s="33">
        <f>IFERROR(INDEX(Algorithms_FS!$F:$F,MATCH($A28&amp;"_BTU Impact_Existing_"&amp;H$24,Algorithms_FS!$A:$A,0)),0)</f>
        <v>0</v>
      </c>
      <c r="I28" s="33">
        <f>IFERROR(INDEX(Algorithms_FS!$F:$F,MATCH($A28&amp;"_BTU Impact_Existing_"&amp;I$24,Algorithms_FS!$A:$A,0)),0)</f>
        <v>0</v>
      </c>
      <c r="J28" s="33">
        <f>IFERROR(INDEX(Algorithms_FS!$F:$F,MATCH($A28&amp;"_BTU Impact_Existing_"&amp;J$24,Algorithms_FS!$A:$A,0)),0)</f>
        <v>0</v>
      </c>
      <c r="K28" s="33">
        <f t="shared" si="6"/>
        <v>0</v>
      </c>
      <c r="L28" s="33">
        <f>IFERROR(INDEX(Algorithms_FS!$F:$F,MATCH($A28&amp;"_BTU Impact_New_"&amp;L$24,Algorithms_FS!$A:$A,0)),0)</f>
        <v>0</v>
      </c>
      <c r="M28" s="33">
        <f>IFERROR(INDEX(Algorithms_FS!$F:$F,MATCH($A28&amp;"_BTU Impact_New_"&amp;M$24,Algorithms_FS!$A:$A,0)),0)</f>
        <v>0</v>
      </c>
      <c r="N28" s="33">
        <f>IFERROR(INDEX(Algorithms_FS!$F:$F,MATCH($A28&amp;"_BTU Impact_New_"&amp;N$24,Algorithms_FS!$A:$A,0)),0)</f>
        <v>0</v>
      </c>
      <c r="O28" s="33">
        <f t="shared" si="1"/>
        <v>0</v>
      </c>
      <c r="P28" s="33">
        <f t="shared" si="10"/>
        <v>0</v>
      </c>
      <c r="Q28" s="33">
        <f t="shared" si="2"/>
        <v>0</v>
      </c>
      <c r="R28" s="33">
        <f t="shared" si="3"/>
        <v>0</v>
      </c>
      <c r="S28" s="33">
        <f t="shared" si="4"/>
        <v>0</v>
      </c>
      <c r="T28" s="33">
        <f t="shared" si="11"/>
        <v>0</v>
      </c>
      <c r="U28" s="34">
        <f>(P28/INDEX(Backup_FS!$C$15:$C$18,MATCH($E28,Backup_FS!$A$15:$A$18,0)))*INDEX($G$8:$G$13,MATCH($E28,$F$8:$F$13,0))</f>
        <v>0</v>
      </c>
      <c r="V28" s="34">
        <f ca="1">(Q28/INDEX(Backup_FS!$C$15:$C$18,MATCH("Electricity",Backup_FS!$A$15:$A$18,0)))*$G$6</f>
        <v>0</v>
      </c>
      <c r="W28" s="34">
        <f ca="1">(R28/INDEX(Backup_FS!$C$15:$C$18,MATCH("Electricity",Backup_FS!$A$15:$A$18,0)))*$G$7</f>
        <v>0</v>
      </c>
      <c r="X28" s="34">
        <f t="shared" ca="1" si="12"/>
        <v>0</v>
      </c>
      <c r="Y28" s="34">
        <f t="shared" ca="1" si="13"/>
        <v>0</v>
      </c>
      <c r="Z28" s="33">
        <f t="shared" si="14"/>
        <v>0</v>
      </c>
      <c r="AA28" s="33">
        <f t="shared" si="15"/>
        <v>0</v>
      </c>
      <c r="AB28" s="33">
        <f t="shared" si="16"/>
        <v>0</v>
      </c>
      <c r="AC28" s="33">
        <f>-P28*INDEX(Backup_FS!$D$15:$D$18,MATCH($E28,Backup_FS!$A$15:$A$18,0))</f>
        <v>0</v>
      </c>
      <c r="AD28" s="33">
        <f>-Q28*Backup_FS!$D$18</f>
        <v>0</v>
      </c>
      <c r="AE28" s="33">
        <f t="shared" si="17"/>
        <v>0</v>
      </c>
    </row>
    <row r="29" spans="1:31" x14ac:dyDescent="0.25">
      <c r="A29" s="51" t="str">
        <f t="shared" si="0"/>
        <v>Residential_Appliances_n/a</v>
      </c>
      <c r="B29" s="29" t="s">
        <v>162</v>
      </c>
      <c r="C29" s="29" t="s">
        <v>166</v>
      </c>
      <c r="D29" s="29" t="str">
        <f>IF(F29="n/a","n/a",INDEX(Backup_FS!$B$11:$I$11,MATCH($F29,Backup_FS!$B$7:$I$7,0)))</f>
        <v>n/a</v>
      </c>
      <c r="E29" s="30" t="s">
        <v>126</v>
      </c>
      <c r="F29" s="30" t="str">
        <f>IF('Project Details'!P29="Propane",IF('Project Details'!U29="Induction Cooktop","Electric Range","n/a"),"n/a")</f>
        <v>n/a</v>
      </c>
      <c r="G29" s="179">
        <f>'Project Details'!AI29</f>
        <v>0</v>
      </c>
      <c r="H29" s="33">
        <f>IFERROR(INDEX(Algorithms_FS!$F:$F,MATCH($A29&amp;"_BTU Impact_Existing_"&amp;H$24,Algorithms_FS!$A:$A,0)),0)</f>
        <v>0</v>
      </c>
      <c r="I29" s="33">
        <f>IFERROR(INDEX(Algorithms_FS!$F:$F,MATCH($A29&amp;"_BTU Impact_Existing_"&amp;I$24,Algorithms_FS!$A:$A,0)),0)</f>
        <v>0</v>
      </c>
      <c r="J29" s="33">
        <f>IFERROR(INDEX(Algorithms_FS!$F:$F,MATCH($A29&amp;"_BTU Impact_Existing_"&amp;J$24,Algorithms_FS!$A:$A,0)),0)</f>
        <v>0</v>
      </c>
      <c r="K29" s="33">
        <f t="shared" si="6"/>
        <v>0</v>
      </c>
      <c r="L29" s="33">
        <f>IFERROR(INDEX(Algorithms_FS!$F:$F,MATCH($A29&amp;"_BTU Impact_New_"&amp;L$24,Algorithms_FS!$A:$A,0)),0)</f>
        <v>0</v>
      </c>
      <c r="M29" s="33">
        <f>IFERROR(INDEX(Algorithms_FS!$F:$F,MATCH($A29&amp;"_BTU Impact_New_"&amp;M$24,Algorithms_FS!$A:$A,0)),0)</f>
        <v>0</v>
      </c>
      <c r="N29" s="33">
        <f>IFERROR(INDEX(Algorithms_FS!$F:$F,MATCH($A29&amp;"_BTU Impact_New_"&amp;N$24,Algorithms_FS!$A:$A,0)),0)</f>
        <v>0</v>
      </c>
      <c r="O29" s="33">
        <f t="shared" si="1"/>
        <v>0</v>
      </c>
      <c r="P29" s="33">
        <f t="shared" si="10"/>
        <v>0</v>
      </c>
      <c r="Q29" s="33">
        <f t="shared" si="2"/>
        <v>0</v>
      </c>
      <c r="R29" s="33">
        <f t="shared" si="3"/>
        <v>0</v>
      </c>
      <c r="S29" s="33">
        <f t="shared" si="4"/>
        <v>0</v>
      </c>
      <c r="T29" s="33">
        <f t="shared" si="11"/>
        <v>0</v>
      </c>
      <c r="U29" s="34">
        <f>(P29/INDEX(Backup_FS!$C$15:$C$18,MATCH($E29,Backup_FS!$A$15:$A$18,0)))*INDEX($G$8:$G$13,MATCH($E29,$F$8:$F$13,0))</f>
        <v>0</v>
      </c>
      <c r="V29" s="34">
        <f ca="1">(Q29/INDEX(Backup_FS!$C$15:$C$18,MATCH("Electricity",Backup_FS!$A$15:$A$18,0)))*$G$6</f>
        <v>0</v>
      </c>
      <c r="W29" s="34">
        <f ca="1">(R29/INDEX(Backup_FS!$C$15:$C$18,MATCH("Electricity",Backup_FS!$A$15:$A$18,0)))*$G$7</f>
        <v>0</v>
      </c>
      <c r="X29" s="34">
        <f t="shared" ca="1" si="12"/>
        <v>0</v>
      </c>
      <c r="Y29" s="34">
        <f t="shared" ca="1" si="13"/>
        <v>0</v>
      </c>
      <c r="Z29" s="33">
        <f t="shared" si="14"/>
        <v>0</v>
      </c>
      <c r="AA29" s="33">
        <f t="shared" si="15"/>
        <v>0</v>
      </c>
      <c r="AB29" s="33">
        <f t="shared" si="16"/>
        <v>0</v>
      </c>
      <c r="AC29" s="33">
        <f>-P29*INDEX(Backup_FS!$D$15:$D$18,MATCH($E29,Backup_FS!$A$15:$A$18,0))</f>
        <v>0</v>
      </c>
      <c r="AD29" s="33">
        <f>-Q29*Backup_FS!$D$18</f>
        <v>0</v>
      </c>
      <c r="AE29" s="33">
        <f t="shared" si="17"/>
        <v>0</v>
      </c>
    </row>
    <row r="30" spans="1:31" ht="1.5" customHeight="1" x14ac:dyDescent="0.25">
      <c r="A30" s="51"/>
      <c r="B30" s="164"/>
      <c r="C30" s="164"/>
      <c r="D30" s="164"/>
      <c r="E30" s="165"/>
      <c r="F30" s="165"/>
      <c r="G30" s="178"/>
      <c r="H30" s="166"/>
      <c r="I30" s="166"/>
      <c r="J30" s="166"/>
      <c r="K30" s="166"/>
      <c r="L30" s="166"/>
      <c r="M30" s="166"/>
      <c r="N30" s="166"/>
      <c r="O30" s="166"/>
      <c r="P30" s="166"/>
      <c r="Q30" s="166"/>
      <c r="R30" s="166"/>
      <c r="S30" s="166"/>
      <c r="T30" s="166"/>
      <c r="U30" s="167"/>
      <c r="V30" s="167"/>
      <c r="W30" s="167"/>
      <c r="X30" s="167"/>
      <c r="Y30" s="167"/>
      <c r="Z30" s="166"/>
      <c r="AA30" s="166"/>
      <c r="AB30" s="166"/>
      <c r="AC30" s="166"/>
      <c r="AD30" s="166"/>
      <c r="AE30" s="166"/>
    </row>
    <row r="31" spans="1:31" x14ac:dyDescent="0.25">
      <c r="A31" s="51" t="str">
        <f t="shared" si="0"/>
        <v>Residential_Building Shell_n/a</v>
      </c>
      <c r="B31" s="29" t="s">
        <v>162</v>
      </c>
      <c r="C31" s="29" t="s">
        <v>167</v>
      </c>
      <c r="D31" s="29" t="s">
        <v>168</v>
      </c>
      <c r="E31" s="30" t="s">
        <v>126</v>
      </c>
      <c r="F31" s="30" t="str">
        <f>IF('Project Details'!N19=0,"n/a","Air Sealing (Electric Heat)")</f>
        <v>n/a</v>
      </c>
      <c r="G31" s="179">
        <f>'Project Details'!AI19</f>
        <v>0</v>
      </c>
      <c r="H31" s="33">
        <f>IFERROR(INDEX(Algorithms_FS!$F:$F,MATCH($A31&amp;"_BTU Impact_Existing_"&amp;H$24,Algorithms_FS!$A:$A,0)),0)</f>
        <v>0</v>
      </c>
      <c r="I31" s="33">
        <f>IFERROR(INDEX(Algorithms_FS!$F:$F,MATCH($A31&amp;"_BTU Impact_Existing_"&amp;I$24,Algorithms_FS!$A:$A,0)),0)</f>
        <v>0</v>
      </c>
      <c r="J31" s="33">
        <f>IFERROR(INDEX(Algorithms_FS!$F:$F,MATCH($A31&amp;"_BTU Impact_Existing_"&amp;J$24,Algorithms_FS!$A:$A,0)),0)</f>
        <v>0</v>
      </c>
      <c r="K31" s="33">
        <f t="shared" ref="K31:K38" si="18">I31+J31</f>
        <v>0</v>
      </c>
      <c r="L31" s="33">
        <f>IFERROR(INDEX(Algorithms_FS!$F:$F,MATCH($A31&amp;"_BTU Impact_New_"&amp;L$24,Algorithms_FS!$A:$A,0)),0)</f>
        <v>0</v>
      </c>
      <c r="M31" s="33">
        <f>IFERROR(INDEX(Algorithms_FS!$F:$F,MATCH($A31&amp;"_BTU Impact_New_"&amp;M$24,Algorithms_FS!$A:$A,0)),0)</f>
        <v>0</v>
      </c>
      <c r="N31" s="33">
        <f>IFERROR(INDEX(Algorithms_FS!$F:$F,MATCH($A31&amp;"_BTU Impact_New_"&amp;N$24,Algorithms_FS!$A:$A,0)),0)</f>
        <v>0</v>
      </c>
      <c r="O31" s="33">
        <f t="shared" ref="O31:O38" si="19">M31+N31</f>
        <v>0</v>
      </c>
      <c r="P31" s="33">
        <f t="shared" si="10"/>
        <v>0</v>
      </c>
      <c r="Q31" s="33">
        <f t="shared" si="2"/>
        <v>0</v>
      </c>
      <c r="R31" s="33">
        <f t="shared" si="3"/>
        <v>0</v>
      </c>
      <c r="S31" s="33">
        <f t="shared" si="4"/>
        <v>0</v>
      </c>
      <c r="T31" s="33">
        <f t="shared" si="11"/>
        <v>0</v>
      </c>
      <c r="U31" s="34">
        <f>(P31/INDEX(Backup_FS!$C$15:$C$18,MATCH($E31,Backup_FS!$A$15:$A$18,0)))*INDEX($G$8:$G$13,MATCH($E31,$F$8:$F$13,0))</f>
        <v>0</v>
      </c>
      <c r="V31" s="34">
        <f ca="1">(Q31/INDEX(Backup_FS!$C$15:$C$18,MATCH("Electricity",Backup_FS!$A$15:$A$18,0)))*$G$6</f>
        <v>0</v>
      </c>
      <c r="W31" s="34">
        <f ca="1">(R31/INDEX(Backup_FS!$C$15:$C$18,MATCH("Electricity",Backup_FS!$A$15:$A$18,0)))*$G$7</f>
        <v>0</v>
      </c>
      <c r="X31" s="34">
        <f t="shared" ca="1" si="12"/>
        <v>0</v>
      </c>
      <c r="Y31" s="34">
        <f t="shared" ca="1" si="13"/>
        <v>0</v>
      </c>
      <c r="Z31" s="33">
        <f t="shared" si="14"/>
        <v>0</v>
      </c>
      <c r="AA31" s="33">
        <f t="shared" si="15"/>
        <v>0</v>
      </c>
      <c r="AB31" s="33">
        <f t="shared" si="16"/>
        <v>0</v>
      </c>
      <c r="AC31" s="33">
        <f>-P31*INDEX(Backup_FS!$D$15:$D$18,MATCH($E31,Backup_FS!$A$15:$A$18,0))</f>
        <v>0</v>
      </c>
      <c r="AD31" s="33">
        <f>-Q31*Backup_FS!$D$18</f>
        <v>0</v>
      </c>
      <c r="AE31" s="33">
        <f t="shared" si="17"/>
        <v>0</v>
      </c>
    </row>
    <row r="32" spans="1:31" x14ac:dyDescent="0.25">
      <c r="A32" s="51" t="str">
        <f t="shared" si="0"/>
        <v>Residential_Building Shell_n/a</v>
      </c>
      <c r="B32" s="29" t="s">
        <v>162</v>
      </c>
      <c r="C32" s="29" t="s">
        <v>167</v>
      </c>
      <c r="D32" s="29" t="s">
        <v>168</v>
      </c>
      <c r="E32" s="30" t="s">
        <v>126</v>
      </c>
      <c r="F32" s="30" t="str">
        <f>IF('Project Details'!N20=0,"n/a","Ceiling/Attic Insulation #1 (Electric Heat)")</f>
        <v>n/a</v>
      </c>
      <c r="G32" s="179">
        <f>'Project Details'!AI20</f>
        <v>0</v>
      </c>
      <c r="H32" s="33">
        <f>IFERROR(INDEX(Algorithms_FS!$F:$F,MATCH($A32&amp;"_BTU Impact_Existing_"&amp;H$24,Algorithms_FS!$A:$A,0)),0)</f>
        <v>0</v>
      </c>
      <c r="I32" s="33">
        <f>IFERROR(INDEX(Algorithms_FS!$F:$F,MATCH($A32&amp;"_BTU Impact_Existing_"&amp;I$24,Algorithms_FS!$A:$A,0)),0)</f>
        <v>0</v>
      </c>
      <c r="J32" s="33">
        <f>IFERROR(INDEX(Algorithms_FS!$F:$F,MATCH($A32&amp;"_BTU Impact_Existing_"&amp;J$24,Algorithms_FS!$A:$A,0)),0)</f>
        <v>0</v>
      </c>
      <c r="K32" s="33">
        <f t="shared" si="18"/>
        <v>0</v>
      </c>
      <c r="L32" s="33">
        <f>IFERROR(INDEX(Algorithms_FS!$F:$F,MATCH($A32&amp;"_BTU Impact_New_"&amp;L$24,Algorithms_FS!$A:$A,0)),0)</f>
        <v>0</v>
      </c>
      <c r="M32" s="33">
        <f>IFERROR(INDEX(Algorithms_FS!$F:$F,MATCH($A32&amp;"_BTU Impact_New_"&amp;M$24,Algorithms_FS!$A:$A,0)),0)</f>
        <v>0</v>
      </c>
      <c r="N32" s="33">
        <f>IFERROR(INDEX(Algorithms_FS!$F:$F,MATCH($A32&amp;"_BTU Impact_New_"&amp;N$24,Algorithms_FS!$A:$A,0)),0)</f>
        <v>0</v>
      </c>
      <c r="O32" s="33">
        <f t="shared" si="19"/>
        <v>0</v>
      </c>
      <c r="P32" s="33">
        <f t="shared" si="10"/>
        <v>0</v>
      </c>
      <c r="Q32" s="33">
        <f t="shared" si="2"/>
        <v>0</v>
      </c>
      <c r="R32" s="33">
        <f t="shared" si="3"/>
        <v>0</v>
      </c>
      <c r="S32" s="33">
        <f t="shared" si="4"/>
        <v>0</v>
      </c>
      <c r="T32" s="33">
        <f t="shared" si="11"/>
        <v>0</v>
      </c>
      <c r="U32" s="34">
        <f>(P32/INDEX(Backup_FS!$C$15:$C$18,MATCH($E32,Backup_FS!$A$15:$A$18,0)))*INDEX($G$8:$G$13,MATCH($E32,$F$8:$F$13,0))</f>
        <v>0</v>
      </c>
      <c r="V32" s="34">
        <f ca="1">(Q32/INDEX(Backup_FS!$C$15:$C$18,MATCH("Electricity",Backup_FS!$A$15:$A$18,0)))*$G$6</f>
        <v>0</v>
      </c>
      <c r="W32" s="34">
        <f ca="1">(R32/INDEX(Backup_FS!$C$15:$C$18,MATCH("Electricity",Backup_FS!$A$15:$A$18,0)))*$G$7</f>
        <v>0</v>
      </c>
      <c r="X32" s="34">
        <f t="shared" ca="1" si="12"/>
        <v>0</v>
      </c>
      <c r="Y32" s="34">
        <f t="shared" ca="1" si="13"/>
        <v>0</v>
      </c>
      <c r="Z32" s="33">
        <f t="shared" si="14"/>
        <v>0</v>
      </c>
      <c r="AA32" s="33">
        <f t="shared" si="15"/>
        <v>0</v>
      </c>
      <c r="AB32" s="33">
        <f t="shared" si="16"/>
        <v>0</v>
      </c>
      <c r="AC32" s="33">
        <f>-P32*INDEX(Backup_FS!$D$15:$D$18,MATCH($E32,Backup_FS!$A$15:$A$18,0))</f>
        <v>0</v>
      </c>
      <c r="AD32" s="33">
        <f>-Q32*Backup_FS!$D$18</f>
        <v>0</v>
      </c>
      <c r="AE32" s="33">
        <f t="shared" si="17"/>
        <v>0</v>
      </c>
    </row>
    <row r="33" spans="1:31" x14ac:dyDescent="0.25">
      <c r="A33" s="51" t="str">
        <f t="shared" ref="A33:A34" si="20">B33&amp;"_"&amp;C33&amp;"_"&amp;F33</f>
        <v>Residential_Building Shell_n/a</v>
      </c>
      <c r="B33" s="29" t="s">
        <v>162</v>
      </c>
      <c r="C33" s="29" t="s">
        <v>167</v>
      </c>
      <c r="D33" s="29" t="s">
        <v>168</v>
      </c>
      <c r="E33" s="30" t="s">
        <v>126</v>
      </c>
      <c r="F33" s="30" t="str">
        <f>IF('Project Details'!N21=0,"n/a","Ceiling/Attic Insulation #2 (Electric Heat)")</f>
        <v>n/a</v>
      </c>
      <c r="G33" s="179">
        <f>'Project Details'!AI21</f>
        <v>0</v>
      </c>
      <c r="H33" s="33">
        <f>IFERROR(INDEX(Algorithms_FS!$F:$F,MATCH($A33&amp;"_BTU Impact_Existing_"&amp;H$24,Algorithms_FS!$A:$A,0)),0)</f>
        <v>0</v>
      </c>
      <c r="I33" s="33">
        <f>IFERROR(INDEX(Algorithms_FS!$F:$F,MATCH($A33&amp;"_BTU Impact_Existing_"&amp;I$24,Algorithms_FS!$A:$A,0)),0)</f>
        <v>0</v>
      </c>
      <c r="J33" s="33">
        <f>IFERROR(INDEX(Algorithms_FS!$F:$F,MATCH($A33&amp;"_BTU Impact_Existing_"&amp;J$24,Algorithms_FS!$A:$A,0)),0)</f>
        <v>0</v>
      </c>
      <c r="K33" s="33">
        <f t="shared" ref="K33:K34" si="21">I33+J33</f>
        <v>0</v>
      </c>
      <c r="L33" s="33">
        <f>IFERROR(INDEX(Algorithms_FS!$F:$F,MATCH($A33&amp;"_BTU Impact_New_"&amp;L$24,Algorithms_FS!$A:$A,0)),0)</f>
        <v>0</v>
      </c>
      <c r="M33" s="33">
        <f>IFERROR(INDEX(Algorithms_FS!$F:$F,MATCH($A33&amp;"_BTU Impact_New_"&amp;M$24,Algorithms_FS!$A:$A,0)),0)</f>
        <v>0</v>
      </c>
      <c r="N33" s="33">
        <f>IFERROR(INDEX(Algorithms_FS!$F:$F,MATCH($A33&amp;"_BTU Impact_New_"&amp;N$24,Algorithms_FS!$A:$A,0)),0)</f>
        <v>0</v>
      </c>
      <c r="O33" s="33">
        <f t="shared" ref="O33:O34" si="22">M33+N33</f>
        <v>0</v>
      </c>
      <c r="P33" s="33">
        <f t="shared" ref="P33:P34" si="23">H33+L33</f>
        <v>0</v>
      </c>
      <c r="Q33" s="33">
        <f t="shared" ref="Q33:Q34" si="24">I33+M33</f>
        <v>0</v>
      </c>
      <c r="R33" s="33">
        <f t="shared" ref="R33:R34" si="25">J33+N33</f>
        <v>0</v>
      </c>
      <c r="S33" s="33">
        <f t="shared" ref="S33:S34" si="26">K33+O33</f>
        <v>0</v>
      </c>
      <c r="T33" s="33">
        <f t="shared" ref="T33:T34" si="27">P33+Q33+R33</f>
        <v>0</v>
      </c>
      <c r="U33" s="34">
        <f>(P33/INDEX(Backup_FS!$C$15:$C$18,MATCH($E33,Backup_FS!$A$15:$A$18,0)))*INDEX($G$8:$G$13,MATCH($E33,$F$8:$F$13,0))</f>
        <v>0</v>
      </c>
      <c r="V33" s="34">
        <f ca="1">(Q33/INDEX(Backup_FS!$C$15:$C$18,MATCH("Electricity",Backup_FS!$A$15:$A$18,0)))*$G$6</f>
        <v>0</v>
      </c>
      <c r="W33" s="34">
        <f ca="1">(R33/INDEX(Backup_FS!$C$15:$C$18,MATCH("Electricity",Backup_FS!$A$15:$A$18,0)))*$G$7</f>
        <v>0</v>
      </c>
      <c r="X33" s="34">
        <f t="shared" ref="X33:X34" ca="1" si="28">V33+W33</f>
        <v>0</v>
      </c>
      <c r="Y33" s="34">
        <f t="shared" ref="Y33:Y34" ca="1" si="29">U33+V33+W33</f>
        <v>0</v>
      </c>
      <c r="Z33" s="33">
        <f t="shared" ref="Z33:Z34" si="30">-P33/3412</f>
        <v>0</v>
      </c>
      <c r="AA33" s="33">
        <f t="shared" ref="AA33:AA34" si="31">-S33/3412</f>
        <v>0</v>
      </c>
      <c r="AB33" s="33">
        <f t="shared" ref="AB33:AB34" si="32">Z33+AA33</f>
        <v>0</v>
      </c>
      <c r="AC33" s="33">
        <f>-P33*INDEX(Backup_FS!$D$15:$D$18,MATCH($E33,Backup_FS!$A$15:$A$18,0))</f>
        <v>0</v>
      </c>
      <c r="AD33" s="33">
        <f>-Q33*Backup_FS!$D$18</f>
        <v>0</v>
      </c>
      <c r="AE33" s="33">
        <f t="shared" ref="AE33:AE34" si="33">AC33+AD33</f>
        <v>0</v>
      </c>
    </row>
    <row r="34" spans="1:31" x14ac:dyDescent="0.25">
      <c r="A34" s="51" t="str">
        <f t="shared" si="20"/>
        <v>Residential_Building Shell_n/a</v>
      </c>
      <c r="B34" s="29" t="s">
        <v>162</v>
      </c>
      <c r="C34" s="29" t="s">
        <v>167</v>
      </c>
      <c r="D34" s="29" t="s">
        <v>168</v>
      </c>
      <c r="E34" s="30" t="s">
        <v>126</v>
      </c>
      <c r="F34" s="30" t="str">
        <f>IF('Project Details'!N22=0,"n/a","Attic Kneewall Insulation #1 (Electric Heat)")</f>
        <v>n/a</v>
      </c>
      <c r="G34" s="179">
        <f>'Project Details'!AI22</f>
        <v>0</v>
      </c>
      <c r="H34" s="33">
        <f>IFERROR(INDEX(Algorithms_FS!$F:$F,MATCH($A34&amp;"_BTU Impact_Existing_"&amp;H$24,Algorithms_FS!$A:$A,0)),0)</f>
        <v>0</v>
      </c>
      <c r="I34" s="33">
        <f>IFERROR(INDEX(Algorithms_FS!$F:$F,MATCH($A34&amp;"_BTU Impact_Existing_"&amp;I$24,Algorithms_FS!$A:$A,0)),0)</f>
        <v>0</v>
      </c>
      <c r="J34" s="33">
        <f>IFERROR(INDEX(Algorithms_FS!$F:$F,MATCH($A34&amp;"_BTU Impact_Existing_"&amp;J$24,Algorithms_FS!$A:$A,0)),0)</f>
        <v>0</v>
      </c>
      <c r="K34" s="33">
        <f t="shared" si="21"/>
        <v>0</v>
      </c>
      <c r="L34" s="33">
        <f>IFERROR(INDEX(Algorithms_FS!$F:$F,MATCH($A34&amp;"_BTU Impact_New_"&amp;L$24,Algorithms_FS!$A:$A,0)),0)</f>
        <v>0</v>
      </c>
      <c r="M34" s="33">
        <f>IFERROR(INDEX(Algorithms_FS!$F:$F,MATCH($A34&amp;"_BTU Impact_New_"&amp;M$24,Algorithms_FS!$A:$A,0)),0)</f>
        <v>0</v>
      </c>
      <c r="N34" s="33">
        <f>IFERROR(INDEX(Algorithms_FS!$F:$F,MATCH($A34&amp;"_BTU Impact_New_"&amp;N$24,Algorithms_FS!$A:$A,0)),0)</f>
        <v>0</v>
      </c>
      <c r="O34" s="33">
        <f t="shared" si="22"/>
        <v>0</v>
      </c>
      <c r="P34" s="33">
        <f t="shared" si="23"/>
        <v>0</v>
      </c>
      <c r="Q34" s="33">
        <f t="shared" si="24"/>
        <v>0</v>
      </c>
      <c r="R34" s="33">
        <f t="shared" si="25"/>
        <v>0</v>
      </c>
      <c r="S34" s="33">
        <f t="shared" si="26"/>
        <v>0</v>
      </c>
      <c r="T34" s="33">
        <f t="shared" si="27"/>
        <v>0</v>
      </c>
      <c r="U34" s="34">
        <f>(P34/INDEX(Backup_FS!$C$15:$C$18,MATCH($E34,Backup_FS!$A$15:$A$18,0)))*INDEX($G$8:$G$13,MATCH($E34,$F$8:$F$13,0))</f>
        <v>0</v>
      </c>
      <c r="V34" s="34">
        <f ca="1">(Q34/INDEX(Backup_FS!$C$15:$C$18,MATCH("Electricity",Backup_FS!$A$15:$A$18,0)))*$G$6</f>
        <v>0</v>
      </c>
      <c r="W34" s="34">
        <f ca="1">(R34/INDEX(Backup_FS!$C$15:$C$18,MATCH("Electricity",Backup_FS!$A$15:$A$18,0)))*$G$7</f>
        <v>0</v>
      </c>
      <c r="X34" s="34">
        <f t="shared" ca="1" si="28"/>
        <v>0</v>
      </c>
      <c r="Y34" s="34">
        <f t="shared" ca="1" si="29"/>
        <v>0</v>
      </c>
      <c r="Z34" s="33">
        <f t="shared" si="30"/>
        <v>0</v>
      </c>
      <c r="AA34" s="33">
        <f t="shared" si="31"/>
        <v>0</v>
      </c>
      <c r="AB34" s="33">
        <f t="shared" si="32"/>
        <v>0</v>
      </c>
      <c r="AC34" s="33">
        <f>-P34*INDEX(Backup_FS!$D$15:$D$18,MATCH($E34,Backup_FS!$A$15:$A$18,0))</f>
        <v>0</v>
      </c>
      <c r="AD34" s="33">
        <f>-Q34*Backup_FS!$D$18</f>
        <v>0</v>
      </c>
      <c r="AE34" s="33">
        <f t="shared" si="33"/>
        <v>0</v>
      </c>
    </row>
    <row r="35" spans="1:31" x14ac:dyDescent="0.25">
      <c r="A35" s="51" t="str">
        <f t="shared" ref="A35" si="34">B35&amp;"_"&amp;C35&amp;"_"&amp;F35</f>
        <v>Residential_Building Shell_n/a</v>
      </c>
      <c r="B35" s="29" t="s">
        <v>162</v>
      </c>
      <c r="C35" s="29" t="s">
        <v>167</v>
      </c>
      <c r="D35" s="29" t="s">
        <v>168</v>
      </c>
      <c r="E35" s="30" t="s">
        <v>126</v>
      </c>
      <c r="F35" s="30" t="s">
        <v>164</v>
      </c>
      <c r="G35" s="179">
        <f>IFERROR(INDEX(Algorithms_FS!$F:$F,MATCH($A35&amp;"_Incremental Cost",Algorithms_FS!$A:$A,0)),0)</f>
        <v>0</v>
      </c>
      <c r="H35" s="33">
        <f>IFERROR(INDEX(Algorithms_FS!$F:$F,MATCH($A35&amp;"_BTU Impact_Existing_"&amp;H$24,Algorithms_FS!$A:$A,0)),0)</f>
        <v>0</v>
      </c>
      <c r="I35" s="33">
        <f>IFERROR(INDEX(Algorithms_FS!$F:$F,MATCH($A35&amp;"_BTU Impact_Existing_"&amp;I$24,Algorithms_FS!$A:$A,0)),0)</f>
        <v>0</v>
      </c>
      <c r="J35" s="33">
        <f>IFERROR(INDEX(Algorithms_FS!$F:$F,MATCH($A35&amp;"_BTU Impact_Existing_"&amp;J$24,Algorithms_FS!$A:$A,0)),0)</f>
        <v>0</v>
      </c>
      <c r="K35" s="33">
        <f t="shared" si="18"/>
        <v>0</v>
      </c>
      <c r="L35" s="33">
        <f>IFERROR(INDEX(Algorithms_FS!$F:$F,MATCH($A35&amp;"_BTU Impact_New_"&amp;L$24,Algorithms_FS!$A:$A,0)),0)</f>
        <v>0</v>
      </c>
      <c r="M35" s="33">
        <f>IFERROR(INDEX(Algorithms_FS!$F:$F,MATCH($A35&amp;"_BTU Impact_New_"&amp;M$24,Algorithms_FS!$A:$A,0)),0)</f>
        <v>0</v>
      </c>
      <c r="N35" s="33">
        <f>IFERROR(INDEX(Algorithms_FS!$F:$F,MATCH($A35&amp;"_BTU Impact_New_"&amp;N$24,Algorithms_FS!$A:$A,0)),0)</f>
        <v>0</v>
      </c>
      <c r="O35" s="33">
        <f t="shared" si="19"/>
        <v>0</v>
      </c>
      <c r="P35" s="33">
        <f t="shared" ref="P35" si="35">H35+L35</f>
        <v>0</v>
      </c>
      <c r="Q35" s="33">
        <f t="shared" ref="Q35" si="36">I35+M35</f>
        <v>0</v>
      </c>
      <c r="R35" s="33">
        <f t="shared" ref="R35" si="37">J35+N35</f>
        <v>0</v>
      </c>
      <c r="S35" s="33">
        <f t="shared" ref="S35" si="38">K35+O35</f>
        <v>0</v>
      </c>
      <c r="T35" s="33">
        <f t="shared" ref="T35" si="39">P35+Q35+R35</f>
        <v>0</v>
      </c>
      <c r="U35" s="34">
        <f>(P35/INDEX(Backup_FS!$C$15:$C$18,MATCH($E35,Backup_FS!$A$15:$A$18,0)))*INDEX($G$8:$G$13,MATCH($E35,$F$8:$F$13,0))</f>
        <v>0</v>
      </c>
      <c r="V35" s="34">
        <f ca="1">(Q35/INDEX(Backup_FS!$C$15:$C$18,MATCH("Electricity",Backup_FS!$A$15:$A$18,0)))*$G$6</f>
        <v>0</v>
      </c>
      <c r="W35" s="34">
        <f ca="1">(R35/INDEX(Backup_FS!$C$15:$C$18,MATCH("Electricity",Backup_FS!$A$15:$A$18,0)))*$G$7</f>
        <v>0</v>
      </c>
      <c r="X35" s="34">
        <f t="shared" ref="X35" ca="1" si="40">V35+W35</f>
        <v>0</v>
      </c>
      <c r="Y35" s="34">
        <f t="shared" ref="Y35" ca="1" si="41">U35+V35+W35</f>
        <v>0</v>
      </c>
      <c r="Z35" s="33">
        <f t="shared" ref="Z35" si="42">-P35/3412</f>
        <v>0</v>
      </c>
      <c r="AA35" s="33">
        <f t="shared" ref="AA35" si="43">-S35/3412</f>
        <v>0</v>
      </c>
      <c r="AB35" s="33">
        <f t="shared" ref="AB35" si="44">Z35+AA35</f>
        <v>0</v>
      </c>
      <c r="AC35" s="33">
        <f>-P35*INDEX(Backup_FS!$D$15:$D$18,MATCH($E35,Backup_FS!$A$15:$A$18,0))</f>
        <v>0</v>
      </c>
      <c r="AD35" s="33">
        <f>-Q35*Backup_FS!$D$18</f>
        <v>0</v>
      </c>
      <c r="AE35" s="33">
        <f t="shared" ref="AE35" si="45">AC35+AD35</f>
        <v>0</v>
      </c>
    </row>
    <row r="36" spans="1:31" x14ac:dyDescent="0.25">
      <c r="A36" s="51" t="str">
        <f t="shared" si="0"/>
        <v>Residential_Building Shell_n/a</v>
      </c>
      <c r="B36" s="29" t="s">
        <v>162</v>
      </c>
      <c r="C36" s="29" t="s">
        <v>167</v>
      </c>
      <c r="D36" s="29" t="s">
        <v>168</v>
      </c>
      <c r="E36" s="30" t="s">
        <v>126</v>
      </c>
      <c r="F36" s="30" t="str">
        <f>IF('Project Details'!N23=0,"n/a","Wall Insulation (Electric Heat)")</f>
        <v>n/a</v>
      </c>
      <c r="G36" s="179">
        <f>'Project Details'!AI23</f>
        <v>0</v>
      </c>
      <c r="H36" s="33">
        <f>IFERROR(INDEX(Algorithms_FS!$F:$F,MATCH($A36&amp;"_BTU Impact_Existing_"&amp;H$24,Algorithms_FS!$A:$A,0)),0)</f>
        <v>0</v>
      </c>
      <c r="I36" s="33">
        <f>IFERROR(INDEX(Algorithms_FS!$F:$F,MATCH($A36&amp;"_BTU Impact_Existing_"&amp;I$24,Algorithms_FS!$A:$A,0)),0)</f>
        <v>0</v>
      </c>
      <c r="J36" s="33">
        <f>IFERROR(INDEX(Algorithms_FS!$F:$F,MATCH($A36&amp;"_BTU Impact_Existing_"&amp;J$24,Algorithms_FS!$A:$A,0)),0)</f>
        <v>0</v>
      </c>
      <c r="K36" s="33">
        <f t="shared" si="18"/>
        <v>0</v>
      </c>
      <c r="L36" s="33">
        <f>IFERROR(INDEX(Algorithms_FS!$F:$F,MATCH($A36&amp;"_BTU Impact_New_"&amp;L$24,Algorithms_FS!$A:$A,0)),0)</f>
        <v>0</v>
      </c>
      <c r="M36" s="33">
        <f>IFERROR(INDEX(Algorithms_FS!$F:$F,MATCH($A36&amp;"_BTU Impact_New_"&amp;M$24,Algorithms_FS!$A:$A,0)),0)</f>
        <v>0</v>
      </c>
      <c r="N36" s="33">
        <f>IFERROR(INDEX(Algorithms_FS!$F:$F,MATCH($A36&amp;"_BTU Impact_New_"&amp;N$24,Algorithms_FS!$A:$A,0)),0)</f>
        <v>0</v>
      </c>
      <c r="O36" s="33">
        <f t="shared" si="19"/>
        <v>0</v>
      </c>
      <c r="P36" s="33">
        <f t="shared" si="10"/>
        <v>0</v>
      </c>
      <c r="Q36" s="33">
        <f t="shared" si="2"/>
        <v>0</v>
      </c>
      <c r="R36" s="33">
        <f t="shared" si="3"/>
        <v>0</v>
      </c>
      <c r="S36" s="33">
        <f t="shared" si="4"/>
        <v>0</v>
      </c>
      <c r="T36" s="33">
        <f t="shared" si="11"/>
        <v>0</v>
      </c>
      <c r="U36" s="34">
        <f>(P36/INDEX(Backup_FS!$C$15:$C$18,MATCH($E36,Backup_FS!$A$15:$A$18,0)))*INDEX($G$8:$G$13,MATCH($E36,$F$8:$F$13,0))</f>
        <v>0</v>
      </c>
      <c r="V36" s="34">
        <f ca="1">(Q36/INDEX(Backup_FS!$C$15:$C$18,MATCH("Electricity",Backup_FS!$A$15:$A$18,0)))*$G$6</f>
        <v>0</v>
      </c>
      <c r="W36" s="34">
        <f ca="1">(R36/INDEX(Backup_FS!$C$15:$C$18,MATCH("Electricity",Backup_FS!$A$15:$A$18,0)))*$G$7</f>
        <v>0</v>
      </c>
      <c r="X36" s="34">
        <f t="shared" ca="1" si="12"/>
        <v>0</v>
      </c>
      <c r="Y36" s="34">
        <f t="shared" ca="1" si="13"/>
        <v>0</v>
      </c>
      <c r="Z36" s="33">
        <f t="shared" si="14"/>
        <v>0</v>
      </c>
      <c r="AA36" s="33">
        <f t="shared" si="15"/>
        <v>0</v>
      </c>
      <c r="AB36" s="33">
        <f t="shared" si="16"/>
        <v>0</v>
      </c>
      <c r="AC36" s="33">
        <f>-P36*INDEX(Backup_FS!$D$15:$D$18,MATCH($E36,Backup_FS!$A$15:$A$18,0))</f>
        <v>0</v>
      </c>
      <c r="AD36" s="33">
        <f>-Q36*Backup_FS!$D$18</f>
        <v>0</v>
      </c>
      <c r="AE36" s="33">
        <f t="shared" si="17"/>
        <v>0</v>
      </c>
    </row>
    <row r="37" spans="1:31" x14ac:dyDescent="0.25">
      <c r="A37" s="51" t="str">
        <f t="shared" si="0"/>
        <v>Residential_Building Shell_n/a</v>
      </c>
      <c r="B37" s="29" t="s">
        <v>162</v>
      </c>
      <c r="C37" s="29" t="s">
        <v>167</v>
      </c>
      <c r="D37" s="29" t="s">
        <v>168</v>
      </c>
      <c r="E37" s="30" t="s">
        <v>126</v>
      </c>
      <c r="F37" s="30" t="str">
        <f>IF('Project Details'!N24=0,"n/a","Rim/Band Joist Insulation (Electric Heat)")</f>
        <v>n/a</v>
      </c>
      <c r="G37" s="179">
        <f>'Project Details'!AI24</f>
        <v>0</v>
      </c>
      <c r="H37" s="33">
        <f>IFERROR(INDEX(Algorithms_FS!$F:$F,MATCH($A37&amp;"_BTU Impact_Existing_"&amp;H$24,Algorithms_FS!$A:$A,0)),0)</f>
        <v>0</v>
      </c>
      <c r="I37" s="33">
        <f>IFERROR(INDEX(Algorithms_FS!$F:$F,MATCH($A37&amp;"_BTU Impact_Existing_"&amp;I$24,Algorithms_FS!$A:$A,0)),0)</f>
        <v>0</v>
      </c>
      <c r="J37" s="33">
        <f>IFERROR(INDEX(Algorithms_FS!$F:$F,MATCH($A37&amp;"_BTU Impact_Existing_"&amp;J$24,Algorithms_FS!$A:$A,0)),0)</f>
        <v>0</v>
      </c>
      <c r="K37" s="33">
        <f t="shared" si="18"/>
        <v>0</v>
      </c>
      <c r="L37" s="33">
        <f>IFERROR(INDEX(Algorithms_FS!$F:$F,MATCH($A37&amp;"_BTU Impact_New_"&amp;L$24,Algorithms_FS!$A:$A,0)),0)</f>
        <v>0</v>
      </c>
      <c r="M37" s="33">
        <f>IFERROR(INDEX(Algorithms_FS!$F:$F,MATCH($A37&amp;"_BTU Impact_New_"&amp;M$24,Algorithms_FS!$A:$A,0)),0)</f>
        <v>0</v>
      </c>
      <c r="N37" s="33">
        <f>IFERROR(INDEX(Algorithms_FS!$F:$F,MATCH($A37&amp;"_BTU Impact_New_"&amp;N$24,Algorithms_FS!$A:$A,0)),0)</f>
        <v>0</v>
      </c>
      <c r="O37" s="33">
        <f t="shared" si="19"/>
        <v>0</v>
      </c>
      <c r="P37" s="33">
        <f t="shared" si="10"/>
        <v>0</v>
      </c>
      <c r="Q37" s="33">
        <f t="shared" si="2"/>
        <v>0</v>
      </c>
      <c r="R37" s="33">
        <f t="shared" si="3"/>
        <v>0</v>
      </c>
      <c r="S37" s="33">
        <f t="shared" si="4"/>
        <v>0</v>
      </c>
      <c r="T37" s="33">
        <f t="shared" si="11"/>
        <v>0</v>
      </c>
      <c r="U37" s="34">
        <f>(P37/INDEX(Backup_FS!$C$15:$C$18,MATCH($E37,Backup_FS!$A$15:$A$18,0)))*INDEX($G$8:$G$13,MATCH($E37,$F$8:$F$13,0))</f>
        <v>0</v>
      </c>
      <c r="V37" s="34">
        <f ca="1">(Q37/INDEX(Backup_FS!$C$15:$C$18,MATCH("Electricity",Backup_FS!$A$15:$A$18,0)))*$G$6</f>
        <v>0</v>
      </c>
      <c r="W37" s="34">
        <f ca="1">(R37/INDEX(Backup_FS!$C$15:$C$18,MATCH("Electricity",Backup_FS!$A$15:$A$18,0)))*$G$7</f>
        <v>0</v>
      </c>
      <c r="X37" s="34">
        <f t="shared" ca="1" si="12"/>
        <v>0</v>
      </c>
      <c r="Y37" s="34">
        <f t="shared" ca="1" si="13"/>
        <v>0</v>
      </c>
      <c r="Z37" s="33">
        <f t="shared" si="14"/>
        <v>0</v>
      </c>
      <c r="AA37" s="33">
        <f t="shared" si="15"/>
        <v>0</v>
      </c>
      <c r="AB37" s="33">
        <f t="shared" si="16"/>
        <v>0</v>
      </c>
      <c r="AC37" s="33">
        <f>-P37*INDEX(Backup_FS!$D$15:$D$18,MATCH($E37,Backup_FS!$A$15:$A$18,0))</f>
        <v>0</v>
      </c>
      <c r="AD37" s="33">
        <f>-Q37*Backup_FS!$D$18</f>
        <v>0</v>
      </c>
      <c r="AE37" s="33">
        <f t="shared" si="17"/>
        <v>0</v>
      </c>
    </row>
    <row r="38" spans="1:31" x14ac:dyDescent="0.25">
      <c r="A38" s="51" t="str">
        <f t="shared" si="0"/>
        <v>Residential_Building Shell_n/a</v>
      </c>
      <c r="B38" s="35" t="s">
        <v>162</v>
      </c>
      <c r="C38" s="35" t="s">
        <v>167</v>
      </c>
      <c r="D38" s="29" t="s">
        <v>168</v>
      </c>
      <c r="E38" s="30" t="s">
        <v>126</v>
      </c>
      <c r="F38" s="30" t="str">
        <f>IF('Project Details'!N25=0,"n/a","Basement Sidewall Insulation (Electric Heat)")</f>
        <v>n/a</v>
      </c>
      <c r="G38" s="179">
        <f>'Project Details'!AI25</f>
        <v>0</v>
      </c>
      <c r="H38" s="33">
        <f>IFERROR(INDEX(Algorithms_FS!$F:$F,MATCH($A38&amp;"_BTU Impact_Existing_"&amp;H$24,Algorithms_FS!$A:$A,0)),0)</f>
        <v>0</v>
      </c>
      <c r="I38" s="33">
        <f>IFERROR(INDEX(Algorithms_FS!$F:$F,MATCH($A38&amp;"_BTU Impact_Existing_"&amp;I$24,Algorithms_FS!$A:$A,0)),0)</f>
        <v>0</v>
      </c>
      <c r="J38" s="33">
        <f>IFERROR(INDEX(Algorithms_FS!$F:$F,MATCH($A38&amp;"_BTU Impact_Existing_"&amp;J$24,Algorithms_FS!$A:$A,0)),0)</f>
        <v>0</v>
      </c>
      <c r="K38" s="33">
        <f t="shared" si="18"/>
        <v>0</v>
      </c>
      <c r="L38" s="33">
        <f>IFERROR(INDEX(Algorithms_FS!$F:$F,MATCH($A38&amp;"_BTU Impact_New_"&amp;L$24,Algorithms_FS!$A:$A,0)),0)</f>
        <v>0</v>
      </c>
      <c r="M38" s="33">
        <f>IFERROR(INDEX(Algorithms_FS!$F:$F,MATCH($A38&amp;"_BTU Impact_New_"&amp;M$24,Algorithms_FS!$A:$A,0)),0)</f>
        <v>0</v>
      </c>
      <c r="N38" s="33">
        <f>IFERROR(INDEX(Algorithms_FS!$F:$F,MATCH($A38&amp;"_BTU Impact_New_"&amp;N$24,Algorithms_FS!$A:$A,0)),0)</f>
        <v>0</v>
      </c>
      <c r="O38" s="33">
        <f t="shared" si="19"/>
        <v>0</v>
      </c>
      <c r="P38" s="33">
        <f t="shared" si="10"/>
        <v>0</v>
      </c>
      <c r="Q38" s="33">
        <f t="shared" si="2"/>
        <v>0</v>
      </c>
      <c r="R38" s="33">
        <f t="shared" si="3"/>
        <v>0</v>
      </c>
      <c r="S38" s="33">
        <f t="shared" si="4"/>
        <v>0</v>
      </c>
      <c r="T38" s="33">
        <f t="shared" si="11"/>
        <v>0</v>
      </c>
      <c r="U38" s="34">
        <f>(P38/INDEX(Backup_FS!$C$15:$C$18,MATCH($E38,Backup_FS!$A$15:$A$18,0)))*INDEX($G$8:$G$13,MATCH($E38,$F$8:$F$13,0))</f>
        <v>0</v>
      </c>
      <c r="V38" s="34">
        <f ca="1">(Q38/INDEX(Backup_FS!$C$15:$C$18,MATCH("Electricity",Backup_FS!$A$15:$A$18,0)))*$G$6</f>
        <v>0</v>
      </c>
      <c r="W38" s="34">
        <f ca="1">(R38/INDEX(Backup_FS!$C$15:$C$18,MATCH("Electricity",Backup_FS!$A$15:$A$18,0)))*$G$7</f>
        <v>0</v>
      </c>
      <c r="X38" s="34">
        <f t="shared" ca="1" si="12"/>
        <v>0</v>
      </c>
      <c r="Y38" s="34">
        <f t="shared" ca="1" si="13"/>
        <v>0</v>
      </c>
      <c r="Z38" s="33">
        <f t="shared" si="14"/>
        <v>0</v>
      </c>
      <c r="AA38" s="33">
        <f t="shared" si="15"/>
        <v>0</v>
      </c>
      <c r="AB38" s="33">
        <f t="shared" si="16"/>
        <v>0</v>
      </c>
      <c r="AC38" s="33">
        <f>-P38*INDEX(Backup_FS!$D$15:$D$18,MATCH($E38,Backup_FS!$A$15:$A$18,0))</f>
        <v>0</v>
      </c>
      <c r="AD38" s="33">
        <f>-Q38*Backup_FS!$D$18</f>
        <v>0</v>
      </c>
      <c r="AE38" s="33">
        <f t="shared" si="17"/>
        <v>0</v>
      </c>
    </row>
    <row r="39" spans="1:31" x14ac:dyDescent="0.25">
      <c r="B39" s="36"/>
      <c r="C39" s="37"/>
      <c r="D39" s="37"/>
      <c r="E39" s="37"/>
      <c r="F39" s="38"/>
      <c r="G39" s="50">
        <f>SUM(G25:G38)</f>
        <v>0</v>
      </c>
      <c r="H39" s="36"/>
      <c r="I39" s="37"/>
      <c r="J39" s="39"/>
      <c r="K39" s="40"/>
      <c r="L39" s="36"/>
      <c r="M39" s="37"/>
      <c r="N39" s="39"/>
      <c r="O39" s="40"/>
      <c r="P39" s="36"/>
      <c r="Q39" s="37"/>
      <c r="R39" s="39"/>
      <c r="S39" s="39" t="s">
        <v>169</v>
      </c>
      <c r="T39" s="52">
        <f>SUM(T25:T38)</f>
        <v>0</v>
      </c>
      <c r="U39" s="36"/>
      <c r="V39" s="37"/>
      <c r="W39" s="39"/>
      <c r="X39" s="39" t="s">
        <v>170</v>
      </c>
      <c r="Y39" s="48">
        <f ca="1">SUM(Y25:Y38)</f>
        <v>0</v>
      </c>
      <c r="Z39" s="36"/>
      <c r="AA39" s="39" t="s">
        <v>171</v>
      </c>
      <c r="AB39" s="47">
        <f>SUM(AB25:AB38)</f>
        <v>0</v>
      </c>
      <c r="AC39" s="36"/>
      <c r="AD39" s="39" t="s">
        <v>172</v>
      </c>
      <c r="AE39" s="47">
        <f>SUM(AE25:AE38)</f>
        <v>0</v>
      </c>
    </row>
    <row r="41" spans="1:31" x14ac:dyDescent="0.25">
      <c r="S41" s="168"/>
    </row>
  </sheetData>
  <pageMargins left="0.7" right="0.7" top="0.75" bottom="0.75" header="0.3" footer="0.3"/>
  <pageSetup orientation="portrait" verticalDpi="1200"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963660E-21B5-41B9-8A3B-D3A96BB987AE}">
          <x14:formula1>
            <xm:f>Backup_FS!$A$2:$A$3</xm:f>
          </x14:formula1>
          <xm:sqref>G10:G11</xm:sqref>
        </x14:dataValidation>
        <x14:dataValidation type="list" allowBlank="1" showInputMessage="1" showErrorMessage="1" xr:uid="{EB1C3089-140E-4735-8460-E028AC4D8851}">
          <x14:formula1>
            <xm:f>Backup_FS!$B$2:$B$3</xm:f>
          </x14:formula1>
          <xm:sqref>E25:E38</xm:sqref>
        </x14:dataValidation>
        <x14:dataValidation type="list" allowBlank="1" showInputMessage="1" showErrorMessage="1" xr:uid="{034D7C1B-3A55-4853-9FDB-E22B3ACDE654}">
          <x14:formula1>
            <xm:f>Backup_FS!$B$22:$B$22</xm:f>
          </x14:formula1>
          <xm:sqref>G5</xm:sqref>
        </x14:dataValidation>
        <x14:dataValidation type="list" allowBlank="1" showInputMessage="1" showErrorMessage="1" xr:uid="{8038CB07-D01D-456C-80CB-F24EECEA9B86}">
          <x14:formula1>
            <xm:f>Backup_FS!$A$22:$A$22</xm:f>
          </x14:formula1>
          <xm:sqref>G4</xm:sqref>
        </x14:dataValidation>
        <x14:dataValidation type="list" allowBlank="1" showInputMessage="1" showErrorMessage="1" xr:uid="{65C68E08-1156-4225-99AE-C44095D14E33}">
          <x14:formula1>
            <xm:f>Backup_FS!$H$8:$H$9</xm:f>
          </x14:formula1>
          <xm:sqref>F30</xm:sqref>
        </x14:dataValidation>
        <x14:dataValidation type="list" allowBlank="1" showInputMessage="1" showErrorMessage="1" xr:uid="{D3076EE3-E969-48D3-ACCE-A46F0A1B78CE}">
          <x14:formula1>
            <xm:f>Backup_FS!$B$8:$E$8</xm:f>
          </x14:formula1>
          <xm:sqref>F26</xm:sqref>
        </x14:dataValidation>
        <x14:dataValidation type="list" allowBlank="1" showInputMessage="1" showErrorMessage="1" xr:uid="{EB2BCC90-C35F-45B9-896C-0AA8EB18C704}">
          <x14:formula1>
            <xm:f>Backup_FS!$C$2:$C$3</xm:f>
          </x14:formula1>
          <xm:sqref>K20</xm:sqref>
        </x14:dataValidation>
        <x14:dataValidation type="list" allowBlank="1" showInputMessage="1" showErrorMessage="1" xr:uid="{9C196DFD-9434-4CE1-9602-3848721F002C}">
          <x14:formula1>
            <xm:f>'Form Lookups'!$A$22:$A$32</xm:f>
          </x14:formula1>
          <xm:sqref>K11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EB062-8B16-4CC9-A8C7-A315D9F7C9CA}">
  <sheetPr>
    <tabColor rgb="FFFFC000"/>
  </sheetPr>
  <dimension ref="A2:W40"/>
  <sheetViews>
    <sheetView showGridLines="0" zoomScale="85" zoomScaleNormal="85" workbookViewId="0">
      <selection activeCell="G3" sqref="G3"/>
    </sheetView>
  </sheetViews>
  <sheetFormatPr defaultRowHeight="15" x14ac:dyDescent="0.25"/>
  <cols>
    <col min="1" max="1" width="2.5703125" customWidth="1"/>
    <col min="2" max="2" width="15" customWidth="1"/>
    <col min="3" max="3" width="14.5703125" customWidth="1"/>
    <col min="4" max="4" width="16.42578125" customWidth="1"/>
    <col min="5" max="5" width="13.42578125" customWidth="1"/>
    <col min="6" max="6" width="39.42578125" customWidth="1"/>
    <col min="7" max="31" width="14.140625" customWidth="1"/>
  </cols>
  <sheetData>
    <row r="2" spans="2:16" x14ac:dyDescent="0.25">
      <c r="B2" s="1" t="s">
        <v>80</v>
      </c>
      <c r="F2" s="1" t="s">
        <v>81</v>
      </c>
      <c r="I2" s="1" t="s">
        <v>82</v>
      </c>
      <c r="M2" s="1" t="s">
        <v>83</v>
      </c>
    </row>
    <row r="3" spans="2:16" x14ac:dyDescent="0.25">
      <c r="B3" s="36" t="s">
        <v>84</v>
      </c>
      <c r="C3" s="38"/>
      <c r="D3" s="124">
        <f ca="1">-Q38+IF(AND(ISNUMBER(MATCH("Natural Gas",$E$25:$E$37,0)),G10="Total"),G9*12,0)</f>
        <v>0</v>
      </c>
      <c r="F3" s="29" t="s">
        <v>85</v>
      </c>
      <c r="G3" s="131">
        <f ca="1">TODAY()</f>
        <v>45734</v>
      </c>
      <c r="I3" s="36" t="s">
        <v>86</v>
      </c>
      <c r="J3" s="38"/>
      <c r="K3" s="121" t="e">
        <f>VLOOKUP('Project Details'!AI5,'Heating and Cooling Zip Codes'!A2:B962,2,FALSE)</f>
        <v>#N/A</v>
      </c>
      <c r="M3" s="36" t="s">
        <v>30</v>
      </c>
      <c r="N3" s="38"/>
      <c r="O3" s="126">
        <f>'Project Details'!N19</f>
        <v>0</v>
      </c>
      <c r="P3" s="127" t="s">
        <v>87</v>
      </c>
    </row>
    <row r="4" spans="2:16" x14ac:dyDescent="0.25">
      <c r="B4" s="36" t="s">
        <v>88</v>
      </c>
      <c r="C4" s="38"/>
      <c r="D4" s="160">
        <f>-L38</f>
        <v>0</v>
      </c>
      <c r="F4" s="29" t="s">
        <v>89</v>
      </c>
      <c r="G4" s="121" t="s">
        <v>90</v>
      </c>
      <c r="M4" s="36" t="s">
        <v>91</v>
      </c>
      <c r="N4" s="38"/>
      <c r="O4" s="126">
        <f>'Project Details'!N20</f>
        <v>0</v>
      </c>
      <c r="P4" t="s">
        <v>92</v>
      </c>
    </row>
    <row r="5" spans="2:16" ht="15" customHeight="1" x14ac:dyDescent="0.25">
      <c r="B5" s="36" t="s">
        <v>173</v>
      </c>
      <c r="C5" s="38"/>
      <c r="D5" s="160">
        <f>T38</f>
        <v>0</v>
      </c>
      <c r="F5" s="29" t="s">
        <v>94</v>
      </c>
      <c r="G5" s="121" t="s">
        <v>95</v>
      </c>
      <c r="I5" s="1" t="s">
        <v>96</v>
      </c>
      <c r="M5" s="36" t="s">
        <v>97</v>
      </c>
      <c r="N5" s="38"/>
      <c r="O5" s="126">
        <f>'Project Details'!N21</f>
        <v>0</v>
      </c>
      <c r="P5" t="s">
        <v>92</v>
      </c>
    </row>
    <row r="6" spans="2:16" x14ac:dyDescent="0.25">
      <c r="B6" s="36" t="s">
        <v>98</v>
      </c>
      <c r="C6" s="38"/>
      <c r="D6" s="124">
        <f>G38</f>
        <v>0</v>
      </c>
      <c r="F6" s="29" t="s">
        <v>99</v>
      </c>
      <c r="G6" s="123">
        <f ca="1">'Electric Rates'!F42</f>
        <v>0.13192644536999998</v>
      </c>
      <c r="H6" t="s">
        <v>100</v>
      </c>
      <c r="I6" s="36" t="s">
        <v>174</v>
      </c>
      <c r="J6" s="38"/>
      <c r="K6" s="125">
        <f>'Project Details'!M13</f>
        <v>0</v>
      </c>
      <c r="M6" s="36" t="s">
        <v>102</v>
      </c>
      <c r="N6" s="38"/>
      <c r="O6" s="126">
        <f>'Project Details'!N22</f>
        <v>0</v>
      </c>
      <c r="P6" t="s">
        <v>92</v>
      </c>
    </row>
    <row r="7" spans="2:16" x14ac:dyDescent="0.25">
      <c r="B7" s="36" t="s">
        <v>175</v>
      </c>
      <c r="C7" s="38"/>
      <c r="D7" s="120" t="e">
        <f>D6/D5</f>
        <v>#DIV/0!</v>
      </c>
      <c r="F7" s="29" t="s">
        <v>104</v>
      </c>
      <c r="G7" s="123">
        <f ca="1">'Electric Rates'!E41</f>
        <v>0.15969796720333329</v>
      </c>
      <c r="H7" t="s">
        <v>100</v>
      </c>
      <c r="I7" s="36" t="s">
        <v>105</v>
      </c>
      <c r="J7" s="38"/>
      <c r="K7" s="129">
        <f>IF('Project Details'!D15="High Efficiency Furnace",'Project Details'!O15/100,IF('Project Details'!D15="High Efficiency Boiler",'Project Details'!O15/100,K8))</f>
        <v>0</v>
      </c>
      <c r="M7" s="36" t="s">
        <v>106</v>
      </c>
      <c r="N7" s="38"/>
      <c r="O7" s="126">
        <v>0</v>
      </c>
      <c r="P7" t="s">
        <v>92</v>
      </c>
    </row>
    <row r="8" spans="2:16" x14ac:dyDescent="0.25">
      <c r="B8" s="36" t="s">
        <v>107</v>
      </c>
      <c r="C8" s="38"/>
      <c r="D8" s="159">
        <f>W38</f>
        <v>0</v>
      </c>
      <c r="F8" s="29" t="s">
        <v>108</v>
      </c>
      <c r="G8" s="123">
        <f ca="1">('Gas Rates'!D16*10)*IFERROR(INDEX('Form Lookups'!$M$2:$M$7,MATCH('Project Details'!$E$6,'Form Lookups'!$L$2:$L$7,0)),100%)</f>
        <v>11.53894265001739</v>
      </c>
      <c r="H8" t="s">
        <v>109</v>
      </c>
      <c r="I8" s="36" t="s">
        <v>110</v>
      </c>
      <c r="J8" s="38"/>
      <c r="K8" s="129">
        <f>'Project Details'!G10/100</f>
        <v>0</v>
      </c>
      <c r="M8" s="36" t="s">
        <v>40</v>
      </c>
      <c r="N8" s="38"/>
      <c r="O8" s="126">
        <f>'Project Details'!N23</f>
        <v>0</v>
      </c>
      <c r="P8" t="s">
        <v>92</v>
      </c>
    </row>
    <row r="9" spans="2:16" x14ac:dyDescent="0.25">
      <c r="F9" s="29" t="s">
        <v>111</v>
      </c>
      <c r="G9" s="123">
        <f ca="1">'Gas Rates'!D5*IFERROR(INDEX('Form Lookups'!$M$2:$M$7,MATCH('Project Details'!$E$6,'Form Lookups'!$L$2:$L$7,0)),100%)</f>
        <v>22.829999999999995</v>
      </c>
      <c r="H9" t="s">
        <v>112</v>
      </c>
      <c r="I9" s="36" t="s">
        <v>113</v>
      </c>
      <c r="J9" s="38"/>
      <c r="K9" s="126">
        <f>'Project Details'!V15</f>
        <v>0</v>
      </c>
      <c r="M9" s="36" t="s">
        <v>114</v>
      </c>
      <c r="N9" s="38"/>
      <c r="O9" s="126">
        <f>'Project Details'!N24</f>
        <v>0</v>
      </c>
      <c r="P9" t="s">
        <v>92</v>
      </c>
    </row>
    <row r="10" spans="2:16" x14ac:dyDescent="0.25">
      <c r="B10" s="1" t="s">
        <v>115</v>
      </c>
      <c r="F10" s="132" t="s">
        <v>116</v>
      </c>
      <c r="G10" s="122" t="s">
        <v>176</v>
      </c>
      <c r="I10" s="36" t="s">
        <v>123</v>
      </c>
      <c r="J10" s="38"/>
      <c r="K10" s="223" t="str">
        <f>Dashboard_FS!K11</f>
        <v>32F</v>
      </c>
      <c r="M10" s="36" t="s">
        <v>118</v>
      </c>
      <c r="N10" s="38"/>
      <c r="O10" s="126">
        <f>'Project Details'!N25</f>
        <v>0</v>
      </c>
      <c r="P10" t="s">
        <v>119</v>
      </c>
    </row>
    <row r="11" spans="2:16" x14ac:dyDescent="0.25">
      <c r="B11" s="121" t="s">
        <v>120</v>
      </c>
      <c r="C11" s="133" t="s">
        <v>121</v>
      </c>
      <c r="F11" s="29" t="s">
        <v>126</v>
      </c>
      <c r="G11" s="128">
        <v>2.2799999999999998</v>
      </c>
      <c r="H11" t="s">
        <v>127</v>
      </c>
      <c r="M11" s="36" t="s">
        <v>118</v>
      </c>
      <c r="N11" s="38"/>
      <c r="O11" s="126">
        <v>1</v>
      </c>
      <c r="P11" t="s">
        <v>125</v>
      </c>
    </row>
    <row r="12" spans="2:16" x14ac:dyDescent="0.25">
      <c r="F12" s="29" t="s">
        <v>129</v>
      </c>
      <c r="G12" s="128">
        <f>(17.297/10^6)*Backup_EE!$C$15</f>
        <v>1.5818452440000002</v>
      </c>
      <c r="H12" t="s">
        <v>127</v>
      </c>
      <c r="I12" s="1" t="s">
        <v>130</v>
      </c>
      <c r="M12" s="36" t="s">
        <v>118</v>
      </c>
      <c r="N12" s="38"/>
      <c r="O12" s="126">
        <v>3</v>
      </c>
      <c r="P12" t="s">
        <v>128</v>
      </c>
    </row>
    <row r="13" spans="2:16" x14ac:dyDescent="0.25">
      <c r="I13" s="36" t="s">
        <v>177</v>
      </c>
      <c r="J13" s="38"/>
      <c r="K13" s="125">
        <f>'Project Details'!Y10*0.95</f>
        <v>0</v>
      </c>
      <c r="L13" s="222" t="s">
        <v>137</v>
      </c>
    </row>
    <row r="14" spans="2:16" x14ac:dyDescent="0.25">
      <c r="F14" t="s">
        <v>135</v>
      </c>
      <c r="G14" s="195">
        <f>IF(ISBLANK('Project Details'!Q10),'Project Details'!G10,IF(2023-'Project Details'!Q10&lt;30,'Project Details'!G10*(1-0.01)^(2023-'Project Details'!Q10),'Project Details'!G10*(1-0.01)^30))/100</f>
        <v>0</v>
      </c>
      <c r="I14" s="36" t="s">
        <v>178</v>
      </c>
      <c r="J14" s="38"/>
      <c r="K14" s="125" t="str">
        <f>IF('Project Details'!V9="Central Air Conditioning","Yes",IF('Project Details'!V9="ASHP","Yes",IF('Project Details'!V9="DHP","Yes","No")))</f>
        <v>No</v>
      </c>
      <c r="M14" s="1" t="s">
        <v>132</v>
      </c>
      <c r="O14" s="1" t="s">
        <v>133</v>
      </c>
      <c r="P14" s="1" t="s">
        <v>134</v>
      </c>
    </row>
    <row r="15" spans="2:16" x14ac:dyDescent="0.25">
      <c r="F15" t="s">
        <v>138</v>
      </c>
      <c r="G15">
        <f>IF(ISBLANK('Project Details'!AI10),'Project Details'!Y10,IF(2023-'Project Details'!AI10&lt;30,'Project Details'!Y10*(1-0.01)^(2023-'Project Details'!AI10),'Project Details'!Y10*(1-0.01)^30))</f>
        <v>0</v>
      </c>
      <c r="M15" s="36" t="s">
        <v>91</v>
      </c>
      <c r="N15" s="38"/>
      <c r="O15" s="125">
        <f>'Project Details'!Y20</f>
        <v>0</v>
      </c>
      <c r="P15" s="125">
        <f>'Project Details'!AI20</f>
        <v>0</v>
      </c>
    </row>
    <row r="16" spans="2:16" x14ac:dyDescent="0.25">
      <c r="I16" s="1" t="s">
        <v>141</v>
      </c>
      <c r="M16" s="36" t="s">
        <v>97</v>
      </c>
      <c r="N16" s="38"/>
      <c r="O16" s="125">
        <f>'Project Details'!Y21</f>
        <v>0</v>
      </c>
      <c r="P16" s="125">
        <f>'Project Details'!AI21</f>
        <v>0</v>
      </c>
    </row>
    <row r="17" spans="1:23" x14ac:dyDescent="0.25">
      <c r="I17" s="36" t="s">
        <v>142</v>
      </c>
      <c r="J17" s="38"/>
      <c r="K17" s="125" t="s">
        <v>143</v>
      </c>
      <c r="M17" s="36" t="s">
        <v>102</v>
      </c>
      <c r="N17" s="38"/>
      <c r="O17" s="125">
        <v>1</v>
      </c>
      <c r="P17" s="125">
        <f>'Project Details'!AI22</f>
        <v>0</v>
      </c>
    </row>
    <row r="18" spans="1:23" x14ac:dyDescent="0.25">
      <c r="M18" s="36" t="s">
        <v>106</v>
      </c>
      <c r="N18" s="38"/>
      <c r="O18" s="125"/>
      <c r="P18" s="125"/>
    </row>
    <row r="19" spans="1:23" x14ac:dyDescent="0.25">
      <c r="M19" s="36" t="s">
        <v>40</v>
      </c>
      <c r="N19" s="38"/>
      <c r="O19" s="163">
        <v>1</v>
      </c>
      <c r="P19" s="163">
        <f>'Project Details'!AI23</f>
        <v>0</v>
      </c>
    </row>
    <row r="20" spans="1:23" x14ac:dyDescent="0.25">
      <c r="M20" s="36" t="s">
        <v>114</v>
      </c>
      <c r="N20" s="38"/>
      <c r="O20" s="163">
        <v>1</v>
      </c>
      <c r="P20" s="163">
        <f>'Project Details'!AI24</f>
        <v>0</v>
      </c>
    </row>
    <row r="21" spans="1:23" x14ac:dyDescent="0.25">
      <c r="M21" s="36" t="s">
        <v>118</v>
      </c>
      <c r="N21" s="38"/>
      <c r="O21" s="163">
        <v>1</v>
      </c>
      <c r="P21" s="163">
        <f>'Project Details'!AI25</f>
        <v>0</v>
      </c>
    </row>
    <row r="22" spans="1:23" x14ac:dyDescent="0.25">
      <c r="B22" s="1" t="s">
        <v>144</v>
      </c>
    </row>
    <row r="23" spans="1:23" ht="30" x14ac:dyDescent="0.25">
      <c r="B23" s="31" t="s">
        <v>145</v>
      </c>
      <c r="C23" s="31" t="s">
        <v>146</v>
      </c>
      <c r="D23" s="130" t="s">
        <v>147</v>
      </c>
      <c r="E23" s="31" t="s">
        <v>148</v>
      </c>
      <c r="F23" s="31" t="s">
        <v>149</v>
      </c>
      <c r="G23" s="49" t="s">
        <v>150</v>
      </c>
      <c r="H23" s="44" t="s">
        <v>153</v>
      </c>
      <c r="I23" s="45"/>
      <c r="J23" s="45"/>
      <c r="K23" s="45"/>
      <c r="L23" s="46"/>
      <c r="M23" s="44" t="s">
        <v>154</v>
      </c>
      <c r="N23" s="45"/>
      <c r="O23" s="45"/>
      <c r="P23" s="45"/>
      <c r="Q23" s="46"/>
      <c r="R23" s="41" t="s">
        <v>155</v>
      </c>
      <c r="S23" s="42"/>
      <c r="T23" s="43"/>
      <c r="U23" s="41" t="s">
        <v>156</v>
      </c>
      <c r="V23" s="42"/>
      <c r="W23" s="43"/>
    </row>
    <row r="24" spans="1:23" ht="30" x14ac:dyDescent="0.25">
      <c r="B24" s="32"/>
      <c r="C24" s="32"/>
      <c r="D24" s="32"/>
      <c r="E24" s="32"/>
      <c r="F24" s="32"/>
      <c r="G24" s="32" t="s">
        <v>79</v>
      </c>
      <c r="H24" s="32" t="s">
        <v>157</v>
      </c>
      <c r="I24" s="32" t="s">
        <v>158</v>
      </c>
      <c r="J24" s="32" t="s">
        <v>159</v>
      </c>
      <c r="K24" s="32" t="s">
        <v>160</v>
      </c>
      <c r="L24" s="32" t="s">
        <v>79</v>
      </c>
      <c r="M24" s="32" t="s">
        <v>157</v>
      </c>
      <c r="N24" s="32" t="s">
        <v>158</v>
      </c>
      <c r="O24" s="32" t="s">
        <v>159</v>
      </c>
      <c r="P24" s="32" t="s">
        <v>160</v>
      </c>
      <c r="Q24" s="32" t="s">
        <v>79</v>
      </c>
      <c r="R24" s="32" t="s">
        <v>157</v>
      </c>
      <c r="S24" s="32" t="s">
        <v>161</v>
      </c>
      <c r="T24" s="32" t="s">
        <v>79</v>
      </c>
      <c r="U24" s="32" t="s">
        <v>157</v>
      </c>
      <c r="V24" s="32" t="s">
        <v>161</v>
      </c>
      <c r="W24" s="32" t="s">
        <v>79</v>
      </c>
    </row>
    <row r="25" spans="1:23" x14ac:dyDescent="0.25">
      <c r="A25" s="51" t="str">
        <f t="shared" ref="A25:A37" si="0">B25&amp;"_"&amp;C25&amp;"_"&amp;F25</f>
        <v>Residential_HVAC_n/a</v>
      </c>
      <c r="B25" s="29" t="s">
        <v>162</v>
      </c>
      <c r="C25" s="29" t="s">
        <v>163</v>
      </c>
      <c r="D25" s="29" t="str">
        <f>IF(F25="n/a","n/a",INDEX(Backup_EE!$B$11:$F$11,MATCH($F25,Backup_EE!$B$7:$G$7,0)))</f>
        <v>n/a</v>
      </c>
      <c r="E25" s="30" t="s">
        <v>126</v>
      </c>
      <c r="F25" s="30" t="str">
        <f>IF('Project Details'!D15="High Efficiency Furnace","Gas High Efficiency Furnace",IF('Project Details'!D15="High Efficiency Boiler","Gas High Efficiency Boiler","n/a"))</f>
        <v>n/a</v>
      </c>
      <c r="G25" s="179">
        <f>IFERROR(INDEX(Algorithms_EE!$F:$F,MATCH($A25&amp;"_Incremental Cost",Algorithms_EE!$A:$A,0)),0)</f>
        <v>0</v>
      </c>
      <c r="H25" s="33">
        <f>IFERROR(INDEX(Algorithms_EE!$F:$F,MATCH($A25&amp;"_BTU Impact_New_"&amp;H$24,Algorithms_EE!$A:$A,0)),0)</f>
        <v>0</v>
      </c>
      <c r="I25" s="33">
        <f>IFERROR(INDEX(Algorithms_EE!$F:$F,MATCH($A25&amp;"_BTU Impact_New_"&amp;I$24,Algorithms_EE!$A:$A,0)),0)</f>
        <v>0</v>
      </c>
      <c r="J25" s="33">
        <f>IFERROR(INDEX(Algorithms_EE!$F:$F,MATCH($A25&amp;"_BTU Impact_New_"&amp;J$24,Algorithms_EE!$A:$A,0)),0)</f>
        <v>0</v>
      </c>
      <c r="K25" s="33">
        <f t="shared" ref="K25:K28" si="1">I25+J25</f>
        <v>0</v>
      </c>
      <c r="L25" s="33">
        <f>H25+I25+J25</f>
        <v>0</v>
      </c>
      <c r="M25" s="34">
        <f>(H25/INDEX(Backup_EE!$C$15:$C$18,MATCH($E25,Backup_EE!$A$15:$A$18,0)))*INDEX($G$8:$G$12,MATCH($E25,$F$8:$F$12,0))</f>
        <v>0</v>
      </c>
      <c r="N25" s="34">
        <f ca="1">(I25/INDEX(Backup_EE!$C$15:$C$18,MATCH("Electricity",Backup_EE!$A$15:$A$18,0)))*$G$6</f>
        <v>0</v>
      </c>
      <c r="O25" s="34">
        <f ca="1">(J25/INDEX(Backup_EE!$C$15:$C$18,MATCH("Electricity",Backup_EE!$A$15:$A$18,0)))*$G$7</f>
        <v>0</v>
      </c>
      <c r="P25" s="34">
        <f ca="1">N25+O25</f>
        <v>0</v>
      </c>
      <c r="Q25" s="34">
        <f ca="1">M25+N25+O25</f>
        <v>0</v>
      </c>
      <c r="R25" s="33">
        <f>-H25/3412</f>
        <v>0</v>
      </c>
      <c r="S25" s="33">
        <f>-K25/3412</f>
        <v>0</v>
      </c>
      <c r="T25" s="33">
        <f>R25+S25</f>
        <v>0</v>
      </c>
      <c r="U25" s="33">
        <f>-H25*INDEX(Backup_EE!$D$15:$D$18,MATCH($E25,Backup_EE!$A$15:$A$18,0))</f>
        <v>0</v>
      </c>
      <c r="V25" s="33">
        <f>-K25*Backup_EE!$D$18</f>
        <v>0</v>
      </c>
      <c r="W25" s="33">
        <f>U25+V25</f>
        <v>0</v>
      </c>
    </row>
    <row r="26" spans="1:23" x14ac:dyDescent="0.25">
      <c r="A26" s="51" t="str">
        <f t="shared" si="0"/>
        <v>Residential_HVAC_n/a</v>
      </c>
      <c r="B26" s="29" t="s">
        <v>162</v>
      </c>
      <c r="C26" s="29" t="s">
        <v>163</v>
      </c>
      <c r="D26" s="29" t="str">
        <f>IF(F26="n/a","n/a",INDEX(Backup_EE!$B$11:$F$11,MATCH($F26,Backup_EE!$B$7:$G$7,0)))</f>
        <v>n/a</v>
      </c>
      <c r="E26" s="30" t="s">
        <v>126</v>
      </c>
      <c r="F26" s="30" t="s">
        <v>164</v>
      </c>
      <c r="G26" s="179">
        <f>IFERROR(INDEX(Algorithms_EE!$F:$F,MATCH($A26&amp;"_Incremental Cost",Algorithms_EE!$A:$A,0)),0)</f>
        <v>0</v>
      </c>
      <c r="H26" s="33">
        <f>IFERROR(INDEX(Algorithms_EE!$F:$F,MATCH($A26&amp;"_BTU Impact_New_"&amp;H$24,Algorithms_EE!$A:$A,0)),0)</f>
        <v>0</v>
      </c>
      <c r="I26" s="33">
        <f>IFERROR(INDEX(Algorithms_EE!$F:$F,MATCH($A26&amp;"_BTU Impact_New_"&amp;I$24,Algorithms_EE!$A:$A,0)),0)</f>
        <v>0</v>
      </c>
      <c r="J26" s="33">
        <f>IFERROR(INDEX(Algorithms_EE!$F:$F,MATCH($A26&amp;"_BTU Impact_New_"&amp;J$24,Algorithms_EE!$A:$A,0)),0)</f>
        <v>0</v>
      </c>
      <c r="K26" s="33">
        <f t="shared" si="1"/>
        <v>0</v>
      </c>
      <c r="L26" s="33">
        <f t="shared" ref="L26:L28" si="2">H26+I26+J26</f>
        <v>0</v>
      </c>
      <c r="M26" s="34">
        <f>(H26/INDEX(Backup_EE!$C$15:$C$18,MATCH($E26,Backup_EE!$A$15:$A$18,0)))*INDEX($G$8:$G$12,MATCH($E26,$F$8:$F$12,0))</f>
        <v>0</v>
      </c>
      <c r="N26" s="34">
        <f ca="1">(I26/INDEX(Backup_EE!$C$15:$C$18,MATCH("Electricity",Backup_EE!$A$15:$A$18,0)))*$G$6</f>
        <v>0</v>
      </c>
      <c r="O26" s="34">
        <f ca="1">(J26/INDEX(Backup_EE!$C$15:$C$18,MATCH("Electricity",Backup_EE!$A$15:$A$18,0)))*$G$7</f>
        <v>0</v>
      </c>
      <c r="P26" s="34">
        <f t="shared" ref="P26:P28" ca="1" si="3">N26+O26</f>
        <v>0</v>
      </c>
      <c r="Q26" s="34">
        <f t="shared" ref="Q26:Q28" ca="1" si="4">M26+N26+O26</f>
        <v>0</v>
      </c>
      <c r="R26" s="33">
        <f t="shared" ref="R26:R28" si="5">-H26/3412</f>
        <v>0</v>
      </c>
      <c r="S26" s="33">
        <f t="shared" ref="S26:S28" si="6">-K26/3412</f>
        <v>0</v>
      </c>
      <c r="T26" s="33">
        <f>R26+S26</f>
        <v>0</v>
      </c>
      <c r="U26" s="33">
        <f>-H26*INDEX(Backup_EE!$D$15:$D$18,MATCH($E26,Backup_EE!$A$15:$A$18,0))</f>
        <v>0</v>
      </c>
      <c r="V26" s="33">
        <f>-K26*Backup_EE!$D$18</f>
        <v>0</v>
      </c>
      <c r="W26" s="33">
        <f>U26+V26</f>
        <v>0</v>
      </c>
    </row>
    <row r="27" spans="1:23" x14ac:dyDescent="0.25">
      <c r="A27" s="51" t="str">
        <f t="shared" si="0"/>
        <v>Residential_Hot Water_n/a</v>
      </c>
      <c r="B27" s="29" t="s">
        <v>162</v>
      </c>
      <c r="C27" s="29" t="s">
        <v>165</v>
      </c>
      <c r="D27" s="29" t="str">
        <f>IF(F27="n/a","n/a",INDEX(Backup_EE!$B$11:$F$11,MATCH($F27,Backup_EE!$B$7:$G$7,0)))</f>
        <v>n/a</v>
      </c>
      <c r="E27" s="30" t="s">
        <v>126</v>
      </c>
      <c r="F27" s="30" t="s">
        <v>164</v>
      </c>
      <c r="G27" s="179">
        <f>IFERROR(INDEX(Algorithms_EE!$F:$F,MATCH($A27&amp;"_Incremental Cost",Algorithms_EE!$A:$A,0)),0)</f>
        <v>0</v>
      </c>
      <c r="H27" s="33">
        <f>IFERROR(INDEX(Algorithms_EE!$F:$F,MATCH($A27&amp;"_BTU Impact_New_"&amp;H$24,Algorithms_EE!$A:$A,0)),0)</f>
        <v>0</v>
      </c>
      <c r="I27" s="33">
        <f>IFERROR(INDEX(Algorithms_EE!$F:$F,MATCH($A27&amp;"_BTU Impact_New_"&amp;I$24,Algorithms_EE!$A:$A,0)),0)</f>
        <v>0</v>
      </c>
      <c r="J27" s="33">
        <f>IFERROR(INDEX(Algorithms_EE!$F:$F,MATCH($A27&amp;"_BTU Impact_New_"&amp;J$24,Algorithms_EE!$A:$A,0)),0)</f>
        <v>0</v>
      </c>
      <c r="K27" s="33">
        <f t="shared" si="1"/>
        <v>0</v>
      </c>
      <c r="L27" s="33">
        <f t="shared" si="2"/>
        <v>0</v>
      </c>
      <c r="M27" s="34">
        <f>(H27/INDEX(Backup_EE!$C$15:$C$18,MATCH($E27,Backup_EE!$A$15:$A$18,0)))*INDEX($G$8:$G$12,MATCH($E27,$F$8:$F$12,0))</f>
        <v>0</v>
      </c>
      <c r="N27" s="34">
        <f ca="1">(I27/INDEX(Backup_EE!$C$15:$C$18,MATCH("Electricity",Backup_EE!$A$15:$A$18,0)))*$G$6</f>
        <v>0</v>
      </c>
      <c r="O27" s="34">
        <f ca="1">(J27/INDEX(Backup_EE!$C$15:$C$18,MATCH("Electricity",Backup_EE!$A$15:$A$18,0)))*$G$7</f>
        <v>0</v>
      </c>
      <c r="P27" s="34">
        <f t="shared" ca="1" si="3"/>
        <v>0</v>
      </c>
      <c r="Q27" s="34">
        <f t="shared" ca="1" si="4"/>
        <v>0</v>
      </c>
      <c r="R27" s="33">
        <f t="shared" si="5"/>
        <v>0</v>
      </c>
      <c r="S27" s="33">
        <f t="shared" si="6"/>
        <v>0</v>
      </c>
      <c r="T27" s="33">
        <f t="shared" ref="T27:T37" si="7">R27+S27</f>
        <v>0</v>
      </c>
      <c r="U27" s="33">
        <f>-H27*INDEX(Backup_EE!$D$15:$D$18,MATCH($E27,Backup_EE!$A$15:$A$18,0))</f>
        <v>0</v>
      </c>
      <c r="V27" s="33">
        <f>-K27*Backup_EE!$D$18</f>
        <v>0</v>
      </c>
      <c r="W27" s="33">
        <f t="shared" ref="W27:W37" si="8">U27+V27</f>
        <v>0</v>
      </c>
    </row>
    <row r="28" spans="1:23" x14ac:dyDescent="0.25">
      <c r="A28" s="51" t="str">
        <f t="shared" si="0"/>
        <v>Residential_Appliances_n/a</v>
      </c>
      <c r="B28" s="29" t="s">
        <v>162</v>
      </c>
      <c r="C28" s="29" t="s">
        <v>166</v>
      </c>
      <c r="D28" s="29" t="str">
        <f>IF(F28="n/a","n/a",INDEX(Backup_EE!$B$11:$F$11,MATCH($F28,Backup_EE!$B$7:$G$7,0)))</f>
        <v>n/a</v>
      </c>
      <c r="E28" s="30" t="s">
        <v>126</v>
      </c>
      <c r="F28" s="30" t="s">
        <v>164</v>
      </c>
      <c r="G28" s="179">
        <f>IFERROR(INDEX(Algorithms_EE!$F:$F,MATCH($A28&amp;"_Incremental Cost",Algorithms_EE!$A:$A,0)),0)</f>
        <v>0</v>
      </c>
      <c r="H28" s="33">
        <f>IFERROR(INDEX(Algorithms_EE!$F:$F,MATCH($A28&amp;"_BTU Impact_New_"&amp;H$24,Algorithms_EE!$A:$A,0)),0)</f>
        <v>0</v>
      </c>
      <c r="I28" s="33">
        <f>IFERROR(INDEX(Algorithms_EE!$F:$F,MATCH($A28&amp;"_BTU Impact_New_"&amp;I$24,Algorithms_EE!$A:$A,0)),0)</f>
        <v>0</v>
      </c>
      <c r="J28" s="33">
        <f>IFERROR(INDEX(Algorithms_EE!$F:$F,MATCH($A28&amp;"_BTU Impact_New_"&amp;J$24,Algorithms_EE!$A:$A,0)),0)</f>
        <v>0</v>
      </c>
      <c r="K28" s="33">
        <f t="shared" si="1"/>
        <v>0</v>
      </c>
      <c r="L28" s="33">
        <f t="shared" si="2"/>
        <v>0</v>
      </c>
      <c r="M28" s="34">
        <f>(H28/INDEX(Backup_EE!$C$15:$C$18,MATCH($E28,Backup_EE!$A$15:$A$18,0)))*INDEX($G$8:$G$12,MATCH($E28,$F$8:$F$12,0))</f>
        <v>0</v>
      </c>
      <c r="N28" s="34">
        <f ca="1">(I28/INDEX(Backup_EE!$C$15:$C$18,MATCH("Electricity",Backup_EE!$A$15:$A$18,0)))*$G$6</f>
        <v>0</v>
      </c>
      <c r="O28" s="34">
        <f ca="1">(J28/INDEX(Backup_EE!$C$15:$C$18,MATCH("Electricity",Backup_EE!$A$15:$A$18,0)))*$G$7</f>
        <v>0</v>
      </c>
      <c r="P28" s="34">
        <f t="shared" ca="1" si="3"/>
        <v>0</v>
      </c>
      <c r="Q28" s="34">
        <f t="shared" ca="1" si="4"/>
        <v>0</v>
      </c>
      <c r="R28" s="33">
        <f t="shared" si="5"/>
        <v>0</v>
      </c>
      <c r="S28" s="33">
        <f t="shared" si="6"/>
        <v>0</v>
      </c>
      <c r="T28" s="33">
        <f t="shared" si="7"/>
        <v>0</v>
      </c>
      <c r="U28" s="33">
        <f>-H28*INDEX(Backup_EE!$D$15:$D$18,MATCH($E28,Backup_EE!$A$15:$A$18,0))</f>
        <v>0</v>
      </c>
      <c r="V28" s="33">
        <f>-K28*Backup_EE!$D$18</f>
        <v>0</v>
      </c>
      <c r="W28" s="33">
        <f t="shared" si="8"/>
        <v>0</v>
      </c>
    </row>
    <row r="29" spans="1:23" ht="1.5" customHeight="1" x14ac:dyDescent="0.25">
      <c r="A29" s="51"/>
      <c r="B29" s="164"/>
      <c r="C29" s="164"/>
      <c r="D29" s="164"/>
      <c r="E29" s="165"/>
      <c r="F29" s="165"/>
      <c r="G29" s="178"/>
      <c r="H29" s="166"/>
      <c r="I29" s="166"/>
      <c r="J29" s="166"/>
      <c r="K29" s="166"/>
      <c r="L29" s="166"/>
      <c r="M29" s="167"/>
      <c r="N29" s="167"/>
      <c r="O29" s="167"/>
      <c r="P29" s="167"/>
      <c r="Q29" s="167"/>
      <c r="R29" s="166"/>
      <c r="S29" s="166"/>
      <c r="T29" s="166"/>
      <c r="U29" s="166"/>
      <c r="V29" s="166"/>
      <c r="W29" s="166"/>
    </row>
    <row r="30" spans="1:23" x14ac:dyDescent="0.25">
      <c r="A30" s="51" t="str">
        <f t="shared" si="0"/>
        <v>Residential_Building Shell_Air Sealing (Fossil Fuel Heat)</v>
      </c>
      <c r="B30" s="29" t="s">
        <v>162</v>
      </c>
      <c r="C30" s="29" t="s">
        <v>167</v>
      </c>
      <c r="D30" s="29" t="s">
        <v>168</v>
      </c>
      <c r="E30" s="30" t="s">
        <v>126</v>
      </c>
      <c r="F30" s="30" t="s">
        <v>179</v>
      </c>
      <c r="G30" s="179">
        <f>IFERROR(INDEX(Algorithms_EE!$F:$F,MATCH($A30&amp;"_Incremental Cost",Algorithms_EE!$A:$A,0)),0)</f>
        <v>0</v>
      </c>
      <c r="H30" s="33">
        <f>IFERROR(INDEX(Algorithms_EE!$F:$F,MATCH($A30&amp;"_BTU Impact_New_"&amp;H$24,Algorithms_EE!$A:$A,0)),0)</f>
        <v>0</v>
      </c>
      <c r="I30" s="33">
        <f>IFERROR(INDEX(Algorithms_EE!$F:$F,MATCH($A30&amp;"_BTU Impact_New_"&amp;I$24,Algorithms_EE!$A:$A,0)),0)</f>
        <v>0</v>
      </c>
      <c r="J30" s="33">
        <f>IFERROR(INDEX(Algorithms_EE!$F:$F,MATCH($A30&amp;"_BTU Impact_New_"&amp;J$24,Algorithms_EE!$A:$A,0)),0)</f>
        <v>0</v>
      </c>
      <c r="K30" s="33">
        <f t="shared" ref="K30:K37" si="9">I30+J30</f>
        <v>0</v>
      </c>
      <c r="L30" s="33">
        <f t="shared" ref="L30:L37" si="10">H30+I30+J30</f>
        <v>0</v>
      </c>
      <c r="M30" s="34">
        <f>(H30/INDEX(Backup_EE!$C$15:$C$18,MATCH($E30,Backup_EE!$A$15:$A$18,0)))*INDEX($G$8:$G$12,MATCH($E30,$F$8:$F$12,0))</f>
        <v>0</v>
      </c>
      <c r="N30" s="34">
        <f ca="1">(I30/INDEX(Backup_EE!$C$15:$C$18,MATCH("Electricity",Backup_EE!$A$15:$A$18,0)))*$G$6</f>
        <v>0</v>
      </c>
      <c r="O30" s="34">
        <f ca="1">(J30/INDEX(Backup_EE!$C$15:$C$18,MATCH("Electricity",Backup_EE!$A$15:$A$18,0)))*$G$7</f>
        <v>0</v>
      </c>
      <c r="P30" s="34">
        <f t="shared" ref="P30:P37" ca="1" si="11">N30+O30</f>
        <v>0</v>
      </c>
      <c r="Q30" s="34">
        <f t="shared" ref="Q30:Q37" ca="1" si="12">M30+N30+O30</f>
        <v>0</v>
      </c>
      <c r="R30" s="33">
        <f t="shared" ref="R30:R37" si="13">-H30/3412</f>
        <v>0</v>
      </c>
      <c r="S30" s="33">
        <f t="shared" ref="S30:S37" si="14">-K30/3412</f>
        <v>0</v>
      </c>
      <c r="T30" s="33">
        <f t="shared" si="7"/>
        <v>0</v>
      </c>
      <c r="U30" s="33">
        <f>-H30*INDEX(Backup_EE!$D$15:$D$18,MATCH($E30,Backup_EE!$A$15:$A$18,0))</f>
        <v>0</v>
      </c>
      <c r="V30" s="33">
        <f>-K30*Backup_EE!$D$18</f>
        <v>0</v>
      </c>
      <c r="W30" s="33">
        <f t="shared" si="8"/>
        <v>0</v>
      </c>
    </row>
    <row r="31" spans="1:23" x14ac:dyDescent="0.25">
      <c r="A31" s="51" t="str">
        <f t="shared" si="0"/>
        <v>Residential_Building Shell_Ceiling/Attic Insulation #1 (Fossil Fuel Heat)</v>
      </c>
      <c r="B31" s="29" t="s">
        <v>162</v>
      </c>
      <c r="C31" s="29" t="s">
        <v>167</v>
      </c>
      <c r="D31" s="29" t="s">
        <v>168</v>
      </c>
      <c r="E31" s="30" t="s">
        <v>126</v>
      </c>
      <c r="F31" s="30" t="s">
        <v>180</v>
      </c>
      <c r="G31" s="179">
        <f>IFERROR(INDEX(Algorithms_EE!$F:$F,MATCH($A31&amp;"_Incremental Cost",Algorithms_EE!$A:$A,0)),0)</f>
        <v>0</v>
      </c>
      <c r="H31" s="33">
        <f>IFERROR(INDEX(Algorithms_EE!$F:$F,MATCH($A31&amp;"_BTU Impact_New_"&amp;H$24,Algorithms_EE!$A:$A,0)),0)</f>
        <v>0</v>
      </c>
      <c r="I31" s="33">
        <f>IFERROR(INDEX(Algorithms_EE!$F:$F,MATCH($A31&amp;"_BTU Impact_New_"&amp;I$24,Algorithms_EE!$A:$A,0)),0)</f>
        <v>0</v>
      </c>
      <c r="J31" s="33">
        <f>IFERROR(INDEX(Algorithms_EE!$F:$F,MATCH($A31&amp;"_BTU Impact_New_"&amp;J$24,Algorithms_EE!$A:$A,0)),0)</f>
        <v>0</v>
      </c>
      <c r="K31" s="33">
        <f t="shared" si="9"/>
        <v>0</v>
      </c>
      <c r="L31" s="33">
        <f t="shared" si="10"/>
        <v>0</v>
      </c>
      <c r="M31" s="34">
        <f>(H31/INDEX(Backup_EE!$C$15:$C$18,MATCH($E31,Backup_EE!$A$15:$A$18,0)))*INDEX($G$8:$G$12,MATCH($E31,$F$8:$F$12,0))</f>
        <v>0</v>
      </c>
      <c r="N31" s="34">
        <f ca="1">(I31/INDEX(Backup_EE!$C$15:$C$18,MATCH("Electricity",Backup_EE!$A$15:$A$18,0)))*$G$6</f>
        <v>0</v>
      </c>
      <c r="O31" s="34">
        <f ca="1">(J31/INDEX(Backup_EE!$C$15:$C$18,MATCH("Electricity",Backup_EE!$A$15:$A$18,0)))*$G$7</f>
        <v>0</v>
      </c>
      <c r="P31" s="34">
        <f t="shared" ca="1" si="11"/>
        <v>0</v>
      </c>
      <c r="Q31" s="34">
        <f t="shared" ca="1" si="12"/>
        <v>0</v>
      </c>
      <c r="R31" s="33">
        <f t="shared" si="13"/>
        <v>0</v>
      </c>
      <c r="S31" s="33">
        <f t="shared" si="14"/>
        <v>0</v>
      </c>
      <c r="T31" s="33">
        <f t="shared" si="7"/>
        <v>0</v>
      </c>
      <c r="U31" s="33">
        <f>-H31*INDEX(Backup_EE!$D$15:$D$18,MATCH($E31,Backup_EE!$A$15:$A$18,0))</f>
        <v>0</v>
      </c>
      <c r="V31" s="33">
        <f>-K31*Backup_EE!$D$18</f>
        <v>0</v>
      </c>
      <c r="W31" s="33">
        <f t="shared" si="8"/>
        <v>0</v>
      </c>
    </row>
    <row r="32" spans="1:23" x14ac:dyDescent="0.25">
      <c r="A32" s="51" t="str">
        <f t="shared" ref="A32:A33" si="15">B32&amp;"_"&amp;C32&amp;"_"&amp;F32</f>
        <v>Residential_Building Shell_Ceiling/Attic Insulation #2 (Fossil Fuel Heat)</v>
      </c>
      <c r="B32" s="29" t="s">
        <v>162</v>
      </c>
      <c r="C32" s="29" t="s">
        <v>167</v>
      </c>
      <c r="D32" s="29" t="s">
        <v>168</v>
      </c>
      <c r="E32" s="30" t="s">
        <v>126</v>
      </c>
      <c r="F32" s="30" t="s">
        <v>181</v>
      </c>
      <c r="G32" s="179">
        <f>IFERROR(INDEX(Algorithms_EE!$F:$F,MATCH($A32&amp;"_Incremental Cost",Algorithms_EE!$A:$A,0)),0)</f>
        <v>0</v>
      </c>
      <c r="H32" s="33">
        <f>IFERROR(INDEX(Algorithms_EE!$F:$F,MATCH($A32&amp;"_BTU Impact_New_"&amp;H$24,Algorithms_EE!$A:$A,0)),0)</f>
        <v>0</v>
      </c>
      <c r="I32" s="33">
        <f>IFERROR(INDEX(Algorithms_EE!$F:$F,MATCH($A32&amp;"_BTU Impact_New_"&amp;I$24,Algorithms_EE!$A:$A,0)),0)</f>
        <v>0</v>
      </c>
      <c r="J32" s="33">
        <f>IFERROR(INDEX(Algorithms_EE!$F:$F,MATCH($A32&amp;"_BTU Impact_New_"&amp;J$24,Algorithms_EE!$A:$A,0)),0)</f>
        <v>0</v>
      </c>
      <c r="K32" s="33">
        <f t="shared" ref="K32:K33" si="16">I32+J32</f>
        <v>0</v>
      </c>
      <c r="L32" s="33">
        <f t="shared" ref="L32:L33" si="17">H32+I32+J32</f>
        <v>0</v>
      </c>
      <c r="M32" s="34">
        <f>(H32/INDEX(Backup_EE!$C$15:$C$18,MATCH($E32,Backup_EE!$A$15:$A$18,0)))*INDEX($G$8:$G$12,MATCH($E32,$F$8:$F$12,0))</f>
        <v>0</v>
      </c>
      <c r="N32" s="34">
        <f ca="1">(I32/INDEX(Backup_EE!$C$15:$C$18,MATCH("Electricity",Backup_EE!$A$15:$A$18,0)))*$G$6</f>
        <v>0</v>
      </c>
      <c r="O32" s="34">
        <f ca="1">(J32/INDEX(Backup_EE!$C$15:$C$18,MATCH("Electricity",Backup_EE!$A$15:$A$18,0)))*$G$7</f>
        <v>0</v>
      </c>
      <c r="P32" s="34">
        <f t="shared" ref="P32:P33" ca="1" si="18">N32+O32</f>
        <v>0</v>
      </c>
      <c r="Q32" s="34">
        <f t="shared" ref="Q32:Q33" ca="1" si="19">M32+N32+O32</f>
        <v>0</v>
      </c>
      <c r="R32" s="33">
        <f t="shared" ref="R32:R33" si="20">-H32/3412</f>
        <v>0</v>
      </c>
      <c r="S32" s="33">
        <f t="shared" ref="S32:S33" si="21">-K32/3412</f>
        <v>0</v>
      </c>
      <c r="T32" s="33">
        <f t="shared" ref="T32:T33" si="22">R32+S32</f>
        <v>0</v>
      </c>
      <c r="U32" s="33">
        <f>-H32*INDEX(Backup_EE!$D$15:$D$18,MATCH($E32,Backup_EE!$A$15:$A$18,0))</f>
        <v>0</v>
      </c>
      <c r="V32" s="33">
        <f>-K32*Backup_EE!$D$18</f>
        <v>0</v>
      </c>
      <c r="W32" s="33">
        <f t="shared" ref="W32:W33" si="23">U32+V32</f>
        <v>0</v>
      </c>
    </row>
    <row r="33" spans="1:23" x14ac:dyDescent="0.25">
      <c r="A33" s="51" t="str">
        <f t="shared" si="15"/>
        <v>Residential_Building Shell_Attic Kneewall Insulation #1 (Fossil Fuel Heat)</v>
      </c>
      <c r="B33" s="29" t="s">
        <v>162</v>
      </c>
      <c r="C33" s="29" t="s">
        <v>167</v>
      </c>
      <c r="D33" s="29" t="s">
        <v>168</v>
      </c>
      <c r="E33" s="30" t="s">
        <v>126</v>
      </c>
      <c r="F33" s="30" t="s">
        <v>182</v>
      </c>
      <c r="G33" s="179">
        <f>IFERROR(INDEX(Algorithms_EE!$F:$F,MATCH($A33&amp;"_Incremental Cost",Algorithms_EE!$A:$A,0)),0)</f>
        <v>0</v>
      </c>
      <c r="H33" s="33">
        <f>IFERROR(INDEX(Algorithms_EE!$F:$F,MATCH($A33&amp;"_BTU Impact_New_"&amp;H$24,Algorithms_EE!$A:$A,0)),0)</f>
        <v>0</v>
      </c>
      <c r="I33" s="33">
        <f>IFERROR(INDEX(Algorithms_EE!$F:$F,MATCH($A33&amp;"_BTU Impact_New_"&amp;I$24,Algorithms_EE!$A:$A,0)),0)</f>
        <v>0</v>
      </c>
      <c r="J33" s="33">
        <f>IFERROR(INDEX(Algorithms_EE!$F:$F,MATCH($A33&amp;"_BTU Impact_New_"&amp;J$24,Algorithms_EE!$A:$A,0)),0)</f>
        <v>0</v>
      </c>
      <c r="K33" s="33">
        <f t="shared" si="16"/>
        <v>0</v>
      </c>
      <c r="L33" s="33">
        <f t="shared" si="17"/>
        <v>0</v>
      </c>
      <c r="M33" s="34">
        <f>(H33/INDEX(Backup_EE!$C$15:$C$18,MATCH($E33,Backup_EE!$A$15:$A$18,0)))*INDEX($G$8:$G$12,MATCH($E33,$F$8:$F$12,0))</f>
        <v>0</v>
      </c>
      <c r="N33" s="34">
        <f ca="1">(I33/INDEX(Backup_EE!$C$15:$C$18,MATCH("Electricity",Backup_EE!$A$15:$A$18,0)))*$G$6</f>
        <v>0</v>
      </c>
      <c r="O33" s="34">
        <f ca="1">(J33/INDEX(Backup_EE!$C$15:$C$18,MATCH("Electricity",Backup_EE!$A$15:$A$18,0)))*$G$7</f>
        <v>0</v>
      </c>
      <c r="P33" s="34">
        <f t="shared" ca="1" si="18"/>
        <v>0</v>
      </c>
      <c r="Q33" s="34">
        <f t="shared" ca="1" si="19"/>
        <v>0</v>
      </c>
      <c r="R33" s="33">
        <f t="shared" si="20"/>
        <v>0</v>
      </c>
      <c r="S33" s="33">
        <f t="shared" si="21"/>
        <v>0</v>
      </c>
      <c r="T33" s="33">
        <f t="shared" si="22"/>
        <v>0</v>
      </c>
      <c r="U33" s="33">
        <f>-H33*INDEX(Backup_EE!$D$15:$D$18,MATCH($E33,Backup_EE!$A$15:$A$18,0))</f>
        <v>0</v>
      </c>
      <c r="V33" s="33">
        <f>-K33*Backup_EE!$D$18</f>
        <v>0</v>
      </c>
      <c r="W33" s="33">
        <f t="shared" si="23"/>
        <v>0</v>
      </c>
    </row>
    <row r="34" spans="1:23" x14ac:dyDescent="0.25">
      <c r="A34" s="51" t="str">
        <f t="shared" si="0"/>
        <v>Residential_Building Shell_Attic Kneewall Insulation #2 (Fossil Fuel Heat)</v>
      </c>
      <c r="B34" s="29" t="s">
        <v>162</v>
      </c>
      <c r="C34" s="29" t="s">
        <v>167</v>
      </c>
      <c r="D34" s="29" t="s">
        <v>168</v>
      </c>
      <c r="E34" s="30" t="s">
        <v>126</v>
      </c>
      <c r="F34" s="30" t="s">
        <v>183</v>
      </c>
      <c r="G34" s="179">
        <f>IFERROR(INDEX(Algorithms_EE!$F:$F,MATCH($A34&amp;"_Incremental Cost",Algorithms_EE!$A:$A,0)),0)</f>
        <v>0</v>
      </c>
      <c r="H34" s="33">
        <f>IFERROR(INDEX(Algorithms_EE!$F:$F,MATCH($A34&amp;"_BTU Impact_New_"&amp;H$24,Algorithms_EE!$A:$A,0)),0)</f>
        <v>0</v>
      </c>
      <c r="I34" s="33">
        <f>IFERROR(INDEX(Algorithms_EE!$F:$F,MATCH($A34&amp;"_BTU Impact_New_"&amp;I$24,Algorithms_EE!$A:$A,0)),0)</f>
        <v>0</v>
      </c>
      <c r="J34" s="33">
        <f>IFERROR(INDEX(Algorithms_EE!$F:$F,MATCH($A34&amp;"_BTU Impact_New_"&amp;J$24,Algorithms_EE!$A:$A,0)),0)</f>
        <v>0</v>
      </c>
      <c r="K34" s="33">
        <f t="shared" si="9"/>
        <v>0</v>
      </c>
      <c r="L34" s="33">
        <f t="shared" si="10"/>
        <v>0</v>
      </c>
      <c r="M34" s="34">
        <f>(H34/INDEX(Backup_EE!$C$15:$C$18,MATCH($E34,Backup_EE!$A$15:$A$18,0)))*INDEX($G$8:$G$12,MATCH($E34,$F$8:$F$12,0))</f>
        <v>0</v>
      </c>
      <c r="N34" s="34">
        <f ca="1">(I34/INDEX(Backup_EE!$C$15:$C$18,MATCH("Electricity",Backup_EE!$A$15:$A$18,0)))*$G$6</f>
        <v>0</v>
      </c>
      <c r="O34" s="34">
        <f ca="1">(J34/INDEX(Backup_EE!$C$15:$C$18,MATCH("Electricity",Backup_EE!$A$15:$A$18,0)))*$G$7</f>
        <v>0</v>
      </c>
      <c r="P34" s="34">
        <f t="shared" ca="1" si="11"/>
        <v>0</v>
      </c>
      <c r="Q34" s="34">
        <f t="shared" ca="1" si="12"/>
        <v>0</v>
      </c>
      <c r="R34" s="33">
        <f t="shared" si="13"/>
        <v>0</v>
      </c>
      <c r="S34" s="33">
        <f t="shared" si="14"/>
        <v>0</v>
      </c>
      <c r="T34" s="33">
        <f t="shared" si="7"/>
        <v>0</v>
      </c>
      <c r="U34" s="33">
        <f>-H34*INDEX(Backup_EE!$D$15:$D$18,MATCH($E34,Backup_EE!$A$15:$A$18,0))</f>
        <v>0</v>
      </c>
      <c r="V34" s="33">
        <f>-K34*Backup_EE!$D$18</f>
        <v>0</v>
      </c>
      <c r="W34" s="33">
        <f t="shared" si="8"/>
        <v>0</v>
      </c>
    </row>
    <row r="35" spans="1:23" x14ac:dyDescent="0.25">
      <c r="A35" s="51" t="str">
        <f t="shared" si="0"/>
        <v>Residential_Building Shell_Wall Insulation (Fossil Fuel Heat)</v>
      </c>
      <c r="B35" s="29" t="s">
        <v>162</v>
      </c>
      <c r="C35" s="29" t="s">
        <v>167</v>
      </c>
      <c r="D35" s="29" t="s">
        <v>168</v>
      </c>
      <c r="E35" s="30" t="s">
        <v>126</v>
      </c>
      <c r="F35" s="30" t="s">
        <v>184</v>
      </c>
      <c r="G35" s="179">
        <f>IFERROR(INDEX(Algorithms_EE!$F:$F,MATCH($A35&amp;"_Incremental Cost",Algorithms_EE!$A:$A,0)),0)</f>
        <v>0</v>
      </c>
      <c r="H35" s="33">
        <f>IFERROR(INDEX(Algorithms_EE!$F:$F,MATCH($A35&amp;"_BTU Impact_New_"&amp;H$24,Algorithms_EE!$A:$A,0)),0)</f>
        <v>0</v>
      </c>
      <c r="I35" s="33">
        <f>IFERROR(INDEX(Algorithms_EE!$F:$F,MATCH($A35&amp;"_BTU Impact_New_"&amp;I$24,Algorithms_EE!$A:$A,0)),0)</f>
        <v>0</v>
      </c>
      <c r="J35" s="33">
        <f>IFERROR(INDEX(Algorithms_EE!$F:$F,MATCH($A35&amp;"_BTU Impact_New_"&amp;J$24,Algorithms_EE!$A:$A,0)),0)</f>
        <v>0</v>
      </c>
      <c r="K35" s="33">
        <f t="shared" si="9"/>
        <v>0</v>
      </c>
      <c r="L35" s="33">
        <f t="shared" si="10"/>
        <v>0</v>
      </c>
      <c r="M35" s="34">
        <f>(H35/INDEX(Backup_EE!$C$15:$C$18,MATCH($E35,Backup_EE!$A$15:$A$18,0)))*INDEX($G$8:$G$12,MATCH($E35,$F$8:$F$12,0))</f>
        <v>0</v>
      </c>
      <c r="N35" s="34">
        <f ca="1">(I35/INDEX(Backup_EE!$C$15:$C$18,MATCH("Electricity",Backup_EE!$A$15:$A$18,0)))*$G$6</f>
        <v>0</v>
      </c>
      <c r="O35" s="34">
        <f ca="1">(J35/INDEX(Backup_EE!$C$15:$C$18,MATCH("Electricity",Backup_EE!$A$15:$A$18,0)))*$G$7</f>
        <v>0</v>
      </c>
      <c r="P35" s="34">
        <f t="shared" ca="1" si="11"/>
        <v>0</v>
      </c>
      <c r="Q35" s="34">
        <f t="shared" ca="1" si="12"/>
        <v>0</v>
      </c>
      <c r="R35" s="33">
        <f t="shared" si="13"/>
        <v>0</v>
      </c>
      <c r="S35" s="33">
        <f t="shared" si="14"/>
        <v>0</v>
      </c>
      <c r="T35" s="33">
        <f t="shared" si="7"/>
        <v>0</v>
      </c>
      <c r="U35" s="33">
        <f>-H35*INDEX(Backup_EE!$D$15:$D$18,MATCH($E35,Backup_EE!$A$15:$A$18,0))</f>
        <v>0</v>
      </c>
      <c r="V35" s="33">
        <f>-K35*Backup_EE!$D$18</f>
        <v>0</v>
      </c>
      <c r="W35" s="33">
        <f t="shared" si="8"/>
        <v>0</v>
      </c>
    </row>
    <row r="36" spans="1:23" x14ac:dyDescent="0.25">
      <c r="A36" s="51" t="str">
        <f t="shared" si="0"/>
        <v>Residential_Building Shell_Rim/Band Joist Insulation (Fossil Fuel Heat)</v>
      </c>
      <c r="B36" s="29" t="s">
        <v>162</v>
      </c>
      <c r="C36" s="29" t="s">
        <v>167</v>
      </c>
      <c r="D36" s="29" t="s">
        <v>168</v>
      </c>
      <c r="E36" s="30" t="s">
        <v>126</v>
      </c>
      <c r="F36" s="30" t="s">
        <v>185</v>
      </c>
      <c r="G36" s="179">
        <f>IFERROR(INDEX(Algorithms_EE!$F:$F,MATCH($A36&amp;"_Incremental Cost",Algorithms_EE!$A:$A,0)),0)</f>
        <v>0</v>
      </c>
      <c r="H36" s="33">
        <f>IFERROR(INDEX(Algorithms_EE!$F:$F,MATCH($A36&amp;"_BTU Impact_New_"&amp;H$24,Algorithms_EE!$A:$A,0)),0)</f>
        <v>0</v>
      </c>
      <c r="I36" s="33">
        <f>IFERROR(INDEX(Algorithms_EE!$F:$F,MATCH($A36&amp;"_BTU Impact_New_"&amp;I$24,Algorithms_EE!$A:$A,0)),0)</f>
        <v>0</v>
      </c>
      <c r="J36" s="33">
        <f>IFERROR(INDEX(Algorithms_EE!$F:$F,MATCH($A36&amp;"_BTU Impact_New_"&amp;J$24,Algorithms_EE!$A:$A,0)),0)</f>
        <v>0</v>
      </c>
      <c r="K36" s="33">
        <f t="shared" si="9"/>
        <v>0</v>
      </c>
      <c r="L36" s="33">
        <f t="shared" si="10"/>
        <v>0</v>
      </c>
      <c r="M36" s="34">
        <f>(H36/INDEX(Backup_EE!$C$15:$C$18,MATCH($E36,Backup_EE!$A$15:$A$18,0)))*INDEX($G$8:$G$12,MATCH($E36,$F$8:$F$12,0))</f>
        <v>0</v>
      </c>
      <c r="N36" s="34">
        <f ca="1">(I36/INDEX(Backup_EE!$C$15:$C$18,MATCH("Electricity",Backup_EE!$A$15:$A$18,0)))*$G$6</f>
        <v>0</v>
      </c>
      <c r="O36" s="34">
        <f ca="1">(J36/INDEX(Backup_EE!$C$15:$C$18,MATCH("Electricity",Backup_EE!$A$15:$A$18,0)))*$G$7</f>
        <v>0</v>
      </c>
      <c r="P36" s="34">
        <f t="shared" ca="1" si="11"/>
        <v>0</v>
      </c>
      <c r="Q36" s="34">
        <f t="shared" ca="1" si="12"/>
        <v>0</v>
      </c>
      <c r="R36" s="33">
        <f t="shared" si="13"/>
        <v>0</v>
      </c>
      <c r="S36" s="33">
        <f t="shared" si="14"/>
        <v>0</v>
      </c>
      <c r="T36" s="33">
        <f t="shared" si="7"/>
        <v>0</v>
      </c>
      <c r="U36" s="33">
        <f>-H36*INDEX(Backup_EE!$D$15:$D$18,MATCH($E36,Backup_EE!$A$15:$A$18,0))</f>
        <v>0</v>
      </c>
      <c r="V36" s="33">
        <f>-K36*Backup_EE!$D$18</f>
        <v>0</v>
      </c>
      <c r="W36" s="33">
        <f t="shared" si="8"/>
        <v>0</v>
      </c>
    </row>
    <row r="37" spans="1:23" x14ac:dyDescent="0.25">
      <c r="A37" s="51" t="str">
        <f t="shared" si="0"/>
        <v>Residential_Building Shell_Basement Sidewall Insulation (Fossil Fuel Heat)</v>
      </c>
      <c r="B37" s="35" t="s">
        <v>162</v>
      </c>
      <c r="C37" s="35" t="s">
        <v>167</v>
      </c>
      <c r="D37" s="29" t="s">
        <v>168</v>
      </c>
      <c r="E37" s="30" t="s">
        <v>126</v>
      </c>
      <c r="F37" s="30" t="s">
        <v>186</v>
      </c>
      <c r="G37" s="179">
        <f>IFERROR(INDEX(Algorithms_EE!$F:$F,MATCH($A37&amp;"_Incremental Cost",Algorithms_EE!$A:$A,0)),0)</f>
        <v>0</v>
      </c>
      <c r="H37" s="33">
        <f>IFERROR(INDEX(Algorithms_EE!$F:$F,MATCH($A37&amp;"_BTU Impact_New_"&amp;H$24,Algorithms_EE!$A:$A,0)),0)</f>
        <v>0</v>
      </c>
      <c r="I37" s="33">
        <f>IFERROR(INDEX(Algorithms_EE!$F:$F,MATCH($A37&amp;"_BTU Impact_New_"&amp;I$24,Algorithms_EE!$A:$A,0)),0)</f>
        <v>0</v>
      </c>
      <c r="J37" s="33">
        <f>IFERROR(INDEX(Algorithms_EE!$F:$F,MATCH($A37&amp;"_BTU Impact_New_"&amp;J$24,Algorithms_EE!$A:$A,0)),0)</f>
        <v>0</v>
      </c>
      <c r="K37" s="33">
        <f t="shared" si="9"/>
        <v>0</v>
      </c>
      <c r="L37" s="33">
        <f t="shared" si="10"/>
        <v>0</v>
      </c>
      <c r="M37" s="34">
        <f>(H37/INDEX(Backup_EE!$C$15:$C$18,MATCH($E37,Backup_EE!$A$15:$A$18,0)))*INDEX($G$8:$G$12,MATCH($E37,$F$8:$F$12,0))</f>
        <v>0</v>
      </c>
      <c r="N37" s="34">
        <f ca="1">(I37/INDEX(Backup_EE!$C$15:$C$18,MATCH("Electricity",Backup_EE!$A$15:$A$18,0)))*$G$6</f>
        <v>0</v>
      </c>
      <c r="O37" s="34">
        <f ca="1">(J37/INDEX(Backup_EE!$C$15:$C$18,MATCH("Electricity",Backup_EE!$A$15:$A$18,0)))*$G$7</f>
        <v>0</v>
      </c>
      <c r="P37" s="34">
        <f t="shared" ca="1" si="11"/>
        <v>0</v>
      </c>
      <c r="Q37" s="34">
        <f t="shared" ca="1" si="12"/>
        <v>0</v>
      </c>
      <c r="R37" s="33">
        <f t="shared" si="13"/>
        <v>0</v>
      </c>
      <c r="S37" s="33">
        <f t="shared" si="14"/>
        <v>0</v>
      </c>
      <c r="T37" s="33">
        <f t="shared" si="7"/>
        <v>0</v>
      </c>
      <c r="U37" s="33">
        <f>-H37*INDEX(Backup_EE!$D$15:$D$18,MATCH($E37,Backup_EE!$A$15:$A$18,0))</f>
        <v>0</v>
      </c>
      <c r="V37" s="33">
        <f>-K37*Backup_EE!$D$18</f>
        <v>0</v>
      </c>
      <c r="W37" s="33">
        <f t="shared" si="8"/>
        <v>0</v>
      </c>
    </row>
    <row r="38" spans="1:23" x14ac:dyDescent="0.25">
      <c r="B38" s="36"/>
      <c r="C38" s="37"/>
      <c r="D38" s="37"/>
      <c r="E38" s="37"/>
      <c r="F38" s="38"/>
      <c r="G38" s="50">
        <f>SUM(G25:G37)</f>
        <v>0</v>
      </c>
      <c r="H38" s="36"/>
      <c r="I38" s="37"/>
      <c r="J38" s="39"/>
      <c r="K38" s="39" t="s">
        <v>169</v>
      </c>
      <c r="L38" s="52">
        <f>SUM(L25:L37)</f>
        <v>0</v>
      </c>
      <c r="M38" s="36"/>
      <c r="N38" s="37"/>
      <c r="O38" s="39"/>
      <c r="P38" s="39" t="s">
        <v>170</v>
      </c>
      <c r="Q38" s="48">
        <f ca="1">SUM(Q25:Q37)</f>
        <v>0</v>
      </c>
      <c r="R38" s="36"/>
      <c r="S38" s="39" t="s">
        <v>187</v>
      </c>
      <c r="T38" s="47">
        <f>SUM(T25:T37)</f>
        <v>0</v>
      </c>
      <c r="U38" s="36"/>
      <c r="V38" s="39" t="s">
        <v>172</v>
      </c>
      <c r="W38" s="47">
        <f>SUM(W25:W37)</f>
        <v>0</v>
      </c>
    </row>
    <row r="40" spans="1:23" x14ac:dyDescent="0.25">
      <c r="S40" s="168"/>
    </row>
  </sheetData>
  <pageMargins left="0.7" right="0.7" top="0.75" bottom="0.75" header="0.3" footer="0.3"/>
  <pageSetup orientation="portrait" verticalDpi="1200"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9689EBC0-6198-4A23-B3B3-406E0B9D2675}">
          <x14:formula1>
            <xm:f>Backup_EE!$F$8:$F$9</xm:f>
          </x14:formula1>
          <xm:sqref>F28</xm:sqref>
        </x14:dataValidation>
        <x14:dataValidation type="list" allowBlank="1" showInputMessage="1" showErrorMessage="1" xr:uid="{E8FD1151-F61C-4D76-A150-D44083284E69}">
          <x14:formula1>
            <xm:f>Backup_EE!$E$8:$E$9</xm:f>
          </x14:formula1>
          <xm:sqref>F27</xm:sqref>
        </x14:dataValidation>
        <x14:dataValidation type="list" allowBlank="1" showInputMessage="1" showErrorMessage="1" xr:uid="{E46C7F67-0CF1-484B-B77B-83372863307E}">
          <x14:formula1>
            <xm:f>Backup_EE!$A$22:$A$22</xm:f>
          </x14:formula1>
          <xm:sqref>G4</xm:sqref>
        </x14:dataValidation>
        <x14:dataValidation type="list" allowBlank="1" showInputMessage="1" showErrorMessage="1" xr:uid="{9BE32274-16CA-41D3-B1A2-C41991CA23C9}">
          <x14:formula1>
            <xm:f>Backup_EE!$B$22:$B$22</xm:f>
          </x14:formula1>
          <xm:sqref>G5</xm:sqref>
        </x14:dataValidation>
        <x14:dataValidation type="list" allowBlank="1" showInputMessage="1" showErrorMessage="1" xr:uid="{BB152781-D17A-4F0E-8BBD-E181B042A1E2}">
          <x14:formula1>
            <xm:f>Backup_EE!$A$2:$A$3</xm:f>
          </x14:formula1>
          <xm:sqref>G10</xm:sqref>
        </x14:dataValidation>
        <x14:dataValidation type="list" allowBlank="1" showInputMessage="1" showErrorMessage="1" xr:uid="{70B87474-8A12-4939-B78B-0DAFD88457D2}">
          <x14:formula1>
            <xm:f>Backup_EE!$B$8:$D$8</xm:f>
          </x14:formula1>
          <xm:sqref>F26</xm:sqref>
        </x14:dataValidation>
        <x14:dataValidation type="list" allowBlank="1" showInputMessage="1" showErrorMessage="1" xr:uid="{EE731E3C-9D09-4D60-A48E-B5B8F299212F}">
          <x14:formula1>
            <xm:f>Backup_EE!$B$2:$B$3</xm:f>
          </x14:formula1>
          <xm:sqref>E25:E37</xm:sqref>
        </x14:dataValidation>
        <x14:dataValidation type="list" allowBlank="1" showInputMessage="1" showErrorMessage="1" xr:uid="{F33F3420-8980-43A3-8FFD-D531E6D4CE63}">
          <x14:formula1>
            <xm:f>Backup_EE!#REF!</xm:f>
          </x14:formula1>
          <xm:sqref>F29</xm:sqref>
        </x14:dataValidation>
        <x14:dataValidation type="list" allowBlank="1" showInputMessage="1" showErrorMessage="1" xr:uid="{0E7549CA-0B81-48EF-97E4-22E43A605855}">
          <x14:formula1>
            <xm:f>Backup_FS!$C$2:$C$3</xm:f>
          </x14:formula1>
          <xm:sqref>K14 K17</xm:sqref>
        </x14:dataValidation>
        <x14:dataValidation type="list" allowBlank="1" showInputMessage="1" showErrorMessage="1" xr:uid="{C21435AE-0C51-4D1F-85C6-173E25CCA9ED}">
          <x14:formula1>
            <xm:f>Backup_EE!$G$8:$G$16</xm:f>
          </x14:formula1>
          <xm:sqref>F30:F37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3C3E-0268-44E3-855C-479B37962CFE}">
  <dimension ref="A2:M32"/>
  <sheetViews>
    <sheetView workbookViewId="0">
      <selection activeCell="K4" sqref="K4"/>
    </sheetView>
  </sheetViews>
  <sheetFormatPr defaultRowHeight="15" x14ac:dyDescent="0.25"/>
  <sheetData>
    <row r="2" spans="1:13" x14ac:dyDescent="0.25">
      <c r="A2" t="s">
        <v>188</v>
      </c>
      <c r="D2" t="s">
        <v>189</v>
      </c>
      <c r="G2" t="s">
        <v>190</v>
      </c>
      <c r="J2" t="s">
        <v>126</v>
      </c>
      <c r="L2" t="s">
        <v>191</v>
      </c>
      <c r="M2" s="229">
        <v>1</v>
      </c>
    </row>
    <row r="3" spans="1:13" x14ac:dyDescent="0.25">
      <c r="A3" t="s">
        <v>192</v>
      </c>
      <c r="D3" t="s">
        <v>193</v>
      </c>
      <c r="G3" t="s">
        <v>194</v>
      </c>
      <c r="J3" t="s">
        <v>195</v>
      </c>
      <c r="L3" t="s">
        <v>196</v>
      </c>
      <c r="M3" s="195">
        <f>1-'Rate Sheet Input'!V658</f>
        <v>0.25</v>
      </c>
    </row>
    <row r="4" spans="1:13" x14ac:dyDescent="0.25">
      <c r="A4" t="s">
        <v>197</v>
      </c>
      <c r="G4" t="s">
        <v>188</v>
      </c>
      <c r="L4" t="s">
        <v>198</v>
      </c>
      <c r="M4" s="195">
        <f>1-'Rate Sheet Input'!V659</f>
        <v>0.44999999999999996</v>
      </c>
    </row>
    <row r="5" spans="1:13" x14ac:dyDescent="0.25">
      <c r="G5" t="s">
        <v>192</v>
      </c>
      <c r="L5" t="s">
        <v>199</v>
      </c>
      <c r="M5" s="195">
        <f>1-'Rate Sheet Input'!V660</f>
        <v>0.75</v>
      </c>
    </row>
    <row r="6" spans="1:13" x14ac:dyDescent="0.25">
      <c r="A6" t="s">
        <v>75</v>
      </c>
      <c r="G6" t="s">
        <v>200</v>
      </c>
      <c r="L6" t="s">
        <v>201</v>
      </c>
      <c r="M6" s="195">
        <f>1-'Rate Sheet Input'!V661</f>
        <v>0.9</v>
      </c>
    </row>
    <row r="7" spans="1:13" x14ac:dyDescent="0.25">
      <c r="A7" t="s">
        <v>164</v>
      </c>
      <c r="L7" t="s">
        <v>202</v>
      </c>
      <c r="M7" s="195">
        <f>1-'Rate Sheet Input'!V662</f>
        <v>0.95</v>
      </c>
    </row>
    <row r="9" spans="1:13" x14ac:dyDescent="0.25">
      <c r="A9" t="s">
        <v>76</v>
      </c>
    </row>
    <row r="10" spans="1:13" x14ac:dyDescent="0.25">
      <c r="A10" t="s">
        <v>164</v>
      </c>
    </row>
    <row r="12" spans="1:13" x14ac:dyDescent="0.25">
      <c r="A12" t="s">
        <v>77</v>
      </c>
    </row>
    <row r="13" spans="1:13" x14ac:dyDescent="0.25">
      <c r="A13" t="s">
        <v>164</v>
      </c>
    </row>
    <row r="15" spans="1:13" x14ac:dyDescent="0.25">
      <c r="A15" t="s">
        <v>203</v>
      </c>
    </row>
    <row r="16" spans="1:13" x14ac:dyDescent="0.25">
      <c r="A16" t="s">
        <v>204</v>
      </c>
    </row>
    <row r="18" spans="1:1" x14ac:dyDescent="0.25">
      <c r="A18" t="s">
        <v>205</v>
      </c>
    </row>
    <row r="19" spans="1:1" x14ac:dyDescent="0.25">
      <c r="A19" t="s">
        <v>206</v>
      </c>
    </row>
    <row r="20" spans="1:1" x14ac:dyDescent="0.25">
      <c r="A20"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row r="27" spans="1:1" x14ac:dyDescent="0.25">
      <c r="A27" t="s">
        <v>124</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862C-EC10-4BAE-B82F-3E7ED26CC2D0}">
  <dimension ref="A1:E962"/>
  <sheetViews>
    <sheetView workbookViewId="0">
      <selection activeCell="A2" sqref="A2"/>
    </sheetView>
  </sheetViews>
  <sheetFormatPr defaultColWidth="9.140625" defaultRowHeight="15" x14ac:dyDescent="0.25"/>
  <cols>
    <col min="1" max="1" width="25" style="192" customWidth="1"/>
    <col min="2" max="5" width="14" style="189" customWidth="1"/>
    <col min="6" max="16384" width="9.140625" style="189"/>
  </cols>
  <sheetData>
    <row r="1" spans="1:5" ht="15.75" x14ac:dyDescent="0.25">
      <c r="A1" s="187" t="s">
        <v>218</v>
      </c>
      <c r="B1" s="188" t="s">
        <v>219</v>
      </c>
      <c r="C1" s="188" t="s">
        <v>220</v>
      </c>
      <c r="D1" s="188" t="s">
        <v>221</v>
      </c>
      <c r="E1" s="188" t="s">
        <v>222</v>
      </c>
    </row>
    <row r="2" spans="1:5" ht="15.75" x14ac:dyDescent="0.25">
      <c r="A2" s="190">
        <v>60518</v>
      </c>
      <c r="B2" s="190" t="s">
        <v>223</v>
      </c>
      <c r="C2" s="190" t="s">
        <v>223</v>
      </c>
      <c r="D2" s="190" t="s">
        <v>223</v>
      </c>
      <c r="E2" s="190" t="s">
        <v>223</v>
      </c>
    </row>
    <row r="3" spans="1:5" ht="15.75" x14ac:dyDescent="0.25">
      <c r="A3" s="190">
        <v>60536</v>
      </c>
      <c r="B3" s="190" t="s">
        <v>223</v>
      </c>
      <c r="C3" s="190" t="s">
        <v>223</v>
      </c>
      <c r="D3" s="190" t="s">
        <v>223</v>
      </c>
      <c r="E3" s="190" t="s">
        <v>223</v>
      </c>
    </row>
    <row r="4" spans="1:5" ht="15.75" x14ac:dyDescent="0.25">
      <c r="A4" s="191">
        <v>60537</v>
      </c>
      <c r="B4" s="190" t="s">
        <v>223</v>
      </c>
      <c r="C4" s="190" t="s">
        <v>223</v>
      </c>
      <c r="D4" s="190" t="s">
        <v>223</v>
      </c>
      <c r="E4" s="190" t="s">
        <v>223</v>
      </c>
    </row>
    <row r="5" spans="1:5" ht="15.75" x14ac:dyDescent="0.25">
      <c r="A5" s="191">
        <v>60541</v>
      </c>
      <c r="B5" s="190" t="s">
        <v>223</v>
      </c>
      <c r="C5" s="190" t="s">
        <v>223</v>
      </c>
      <c r="D5" s="190" t="s">
        <v>223</v>
      </c>
      <c r="E5" s="190" t="s">
        <v>223</v>
      </c>
    </row>
    <row r="6" spans="1:5" ht="15.75" x14ac:dyDescent="0.25">
      <c r="A6" s="191">
        <v>60549</v>
      </c>
      <c r="B6" s="190" t="s">
        <v>223</v>
      </c>
      <c r="C6" s="190" t="s">
        <v>223</v>
      </c>
      <c r="D6" s="190" t="s">
        <v>223</v>
      </c>
      <c r="E6" s="190" t="s">
        <v>223</v>
      </c>
    </row>
    <row r="7" spans="1:5" ht="15.75" x14ac:dyDescent="0.25">
      <c r="A7" s="191">
        <v>60551</v>
      </c>
      <c r="B7" s="190" t="s">
        <v>223</v>
      </c>
      <c r="C7" s="190" t="s">
        <v>223</v>
      </c>
      <c r="D7" s="190" t="s">
        <v>223</v>
      </c>
      <c r="E7" s="190" t="s">
        <v>223</v>
      </c>
    </row>
    <row r="8" spans="1:5" ht="15.75" x14ac:dyDescent="0.25">
      <c r="A8" s="191">
        <v>60557</v>
      </c>
      <c r="B8" s="190" t="s">
        <v>223</v>
      </c>
      <c r="C8" s="190" t="s">
        <v>223</v>
      </c>
      <c r="D8" s="190" t="s">
        <v>223</v>
      </c>
      <c r="E8" s="190" t="s">
        <v>223</v>
      </c>
    </row>
    <row r="9" spans="1:5" ht="15.75" x14ac:dyDescent="0.25">
      <c r="A9" s="191">
        <v>60560</v>
      </c>
      <c r="B9" s="190" t="s">
        <v>223</v>
      </c>
      <c r="C9" s="190" t="s">
        <v>223</v>
      </c>
      <c r="D9" s="190" t="s">
        <v>223</v>
      </c>
      <c r="E9" s="190" t="s">
        <v>223</v>
      </c>
    </row>
    <row r="10" spans="1:5" ht="15.75" x14ac:dyDescent="0.25">
      <c r="A10" s="191">
        <v>60911</v>
      </c>
      <c r="B10" s="190" t="s">
        <v>223</v>
      </c>
      <c r="C10" s="190" t="s">
        <v>223</v>
      </c>
      <c r="D10" s="190" t="s">
        <v>223</v>
      </c>
      <c r="E10" s="190" t="s">
        <v>223</v>
      </c>
    </row>
    <row r="11" spans="1:5" ht="15.75" x14ac:dyDescent="0.25">
      <c r="A11" s="191">
        <v>60912</v>
      </c>
      <c r="B11" s="190" t="s">
        <v>223</v>
      </c>
      <c r="C11" s="190" t="s">
        <v>223</v>
      </c>
      <c r="D11" s="190" t="s">
        <v>223</v>
      </c>
      <c r="E11" s="190" t="s">
        <v>223</v>
      </c>
    </row>
    <row r="12" spans="1:5" ht="15.75" x14ac:dyDescent="0.25">
      <c r="A12" s="191">
        <v>60918</v>
      </c>
      <c r="B12" s="190" t="s">
        <v>223</v>
      </c>
      <c r="C12" s="190" t="s">
        <v>223</v>
      </c>
      <c r="D12" s="190" t="s">
        <v>223</v>
      </c>
      <c r="E12" s="190" t="s">
        <v>223</v>
      </c>
    </row>
    <row r="13" spans="1:5" ht="15.75" x14ac:dyDescent="0.25">
      <c r="A13" s="191">
        <v>60921</v>
      </c>
      <c r="B13" s="190" t="s">
        <v>223</v>
      </c>
      <c r="C13" s="190" t="s">
        <v>223</v>
      </c>
      <c r="D13" s="190" t="s">
        <v>223</v>
      </c>
      <c r="E13" s="190" t="s">
        <v>223</v>
      </c>
    </row>
    <row r="14" spans="1:5" ht="15.75" x14ac:dyDescent="0.25">
      <c r="A14" s="191">
        <v>60922</v>
      </c>
      <c r="B14" s="190" t="s">
        <v>223</v>
      </c>
      <c r="C14" s="190" t="s">
        <v>223</v>
      </c>
      <c r="D14" s="190" t="s">
        <v>223</v>
      </c>
      <c r="E14" s="190" t="s">
        <v>223</v>
      </c>
    </row>
    <row r="15" spans="1:5" ht="15.75" x14ac:dyDescent="0.25">
      <c r="A15" s="191">
        <v>60924</v>
      </c>
      <c r="B15" s="190" t="s">
        <v>223</v>
      </c>
      <c r="C15" s="190" t="s">
        <v>223</v>
      </c>
      <c r="D15" s="190" t="s">
        <v>223</v>
      </c>
      <c r="E15" s="190" t="s">
        <v>223</v>
      </c>
    </row>
    <row r="16" spans="1:5" ht="15.75" x14ac:dyDescent="0.25">
      <c r="A16" s="191">
        <v>60926</v>
      </c>
      <c r="B16" s="190" t="s">
        <v>223</v>
      </c>
      <c r="C16" s="190" t="s">
        <v>223</v>
      </c>
      <c r="D16" s="190" t="s">
        <v>223</v>
      </c>
      <c r="E16" s="190" t="s">
        <v>223</v>
      </c>
    </row>
    <row r="17" spans="1:5" ht="15.75" x14ac:dyDescent="0.25">
      <c r="A17" s="191">
        <v>60927</v>
      </c>
      <c r="B17" s="190" t="s">
        <v>223</v>
      </c>
      <c r="C17" s="190" t="s">
        <v>223</v>
      </c>
      <c r="D17" s="190" t="s">
        <v>223</v>
      </c>
      <c r="E17" s="190" t="s">
        <v>223</v>
      </c>
    </row>
    <row r="18" spans="1:5" ht="15.75" x14ac:dyDescent="0.25">
      <c r="A18" s="191">
        <v>60928</v>
      </c>
      <c r="B18" s="190" t="s">
        <v>223</v>
      </c>
      <c r="C18" s="190" t="s">
        <v>223</v>
      </c>
      <c r="D18" s="190" t="s">
        <v>223</v>
      </c>
      <c r="E18" s="190" t="s">
        <v>223</v>
      </c>
    </row>
    <row r="19" spans="1:5" ht="15.75" x14ac:dyDescent="0.25">
      <c r="A19" s="191">
        <v>60929</v>
      </c>
      <c r="B19" s="190" t="s">
        <v>223</v>
      </c>
      <c r="C19" s="190" t="s">
        <v>223</v>
      </c>
      <c r="D19" s="190" t="s">
        <v>223</v>
      </c>
      <c r="E19" s="190" t="s">
        <v>223</v>
      </c>
    </row>
    <row r="20" spans="1:5" ht="15.75" x14ac:dyDescent="0.25">
      <c r="A20" s="191">
        <v>60930</v>
      </c>
      <c r="B20" s="190" t="s">
        <v>223</v>
      </c>
      <c r="C20" s="190" t="s">
        <v>223</v>
      </c>
      <c r="D20" s="190" t="s">
        <v>223</v>
      </c>
      <c r="E20" s="190" t="s">
        <v>223</v>
      </c>
    </row>
    <row r="21" spans="1:5" ht="15.75" x14ac:dyDescent="0.25">
      <c r="A21" s="191">
        <v>60931</v>
      </c>
      <c r="B21" s="190" t="s">
        <v>223</v>
      </c>
      <c r="C21" s="190" t="s">
        <v>223</v>
      </c>
      <c r="D21" s="190" t="s">
        <v>223</v>
      </c>
      <c r="E21" s="190" t="s">
        <v>223</v>
      </c>
    </row>
    <row r="22" spans="1:5" ht="15.75" x14ac:dyDescent="0.25">
      <c r="A22" s="191">
        <v>60932</v>
      </c>
      <c r="B22" s="190" t="s">
        <v>224</v>
      </c>
      <c r="C22" s="190" t="s">
        <v>224</v>
      </c>
      <c r="D22" s="190" t="s">
        <v>224</v>
      </c>
      <c r="E22" s="190" t="s">
        <v>224</v>
      </c>
    </row>
    <row r="23" spans="1:5" ht="15.75" x14ac:dyDescent="0.25">
      <c r="A23" s="191">
        <v>60933</v>
      </c>
      <c r="B23" s="190" t="s">
        <v>224</v>
      </c>
      <c r="C23" s="190" t="s">
        <v>224</v>
      </c>
      <c r="D23" s="190" t="s">
        <v>224</v>
      </c>
      <c r="E23" s="190" t="s">
        <v>224</v>
      </c>
    </row>
    <row r="24" spans="1:5" ht="15.75" x14ac:dyDescent="0.25">
      <c r="A24" s="191">
        <v>60936</v>
      </c>
      <c r="B24" s="190" t="s">
        <v>224</v>
      </c>
      <c r="C24" s="190" t="s">
        <v>224</v>
      </c>
      <c r="D24" s="190" t="s">
        <v>224</v>
      </c>
      <c r="E24" s="190" t="s">
        <v>224</v>
      </c>
    </row>
    <row r="25" spans="1:5" ht="15.75" x14ac:dyDescent="0.25">
      <c r="A25" s="191">
        <v>60938</v>
      </c>
      <c r="B25" s="190" t="s">
        <v>223</v>
      </c>
      <c r="C25" s="190" t="s">
        <v>223</v>
      </c>
      <c r="D25" s="190" t="s">
        <v>223</v>
      </c>
      <c r="E25" s="190" t="s">
        <v>223</v>
      </c>
    </row>
    <row r="26" spans="1:5" ht="15.75" x14ac:dyDescent="0.25">
      <c r="A26" s="191">
        <v>60939</v>
      </c>
      <c r="B26" s="190" t="s">
        <v>223</v>
      </c>
      <c r="C26" s="190" t="s">
        <v>223</v>
      </c>
      <c r="D26" s="190" t="s">
        <v>223</v>
      </c>
      <c r="E26" s="190" t="s">
        <v>223</v>
      </c>
    </row>
    <row r="27" spans="1:5" ht="15.75" x14ac:dyDescent="0.25">
      <c r="A27" s="191">
        <v>60942</v>
      </c>
      <c r="B27" s="190" t="s">
        <v>224</v>
      </c>
      <c r="C27" s="190" t="s">
        <v>224</v>
      </c>
      <c r="D27" s="190" t="s">
        <v>224</v>
      </c>
      <c r="E27" s="190" t="s">
        <v>224</v>
      </c>
    </row>
    <row r="28" spans="1:5" ht="15.75" x14ac:dyDescent="0.25">
      <c r="A28" s="191">
        <v>60945</v>
      </c>
      <c r="B28" s="190" t="s">
        <v>223</v>
      </c>
      <c r="C28" s="190" t="s">
        <v>223</v>
      </c>
      <c r="D28" s="190" t="s">
        <v>223</v>
      </c>
      <c r="E28" s="190" t="s">
        <v>223</v>
      </c>
    </row>
    <row r="29" spans="1:5" ht="15.75" x14ac:dyDescent="0.25">
      <c r="A29" s="191">
        <v>60948</v>
      </c>
      <c r="B29" s="190" t="s">
        <v>223</v>
      </c>
      <c r="C29" s="190" t="s">
        <v>223</v>
      </c>
      <c r="D29" s="190" t="s">
        <v>223</v>
      </c>
      <c r="E29" s="190" t="s">
        <v>223</v>
      </c>
    </row>
    <row r="30" spans="1:5" ht="15.75" x14ac:dyDescent="0.25">
      <c r="A30" s="191">
        <v>60949</v>
      </c>
      <c r="B30" s="190" t="s">
        <v>224</v>
      </c>
      <c r="C30" s="190" t="s">
        <v>224</v>
      </c>
      <c r="D30" s="190" t="s">
        <v>224</v>
      </c>
      <c r="E30" s="190" t="s">
        <v>224</v>
      </c>
    </row>
    <row r="31" spans="1:5" ht="15.75" x14ac:dyDescent="0.25">
      <c r="A31" s="191">
        <v>60951</v>
      </c>
      <c r="B31" s="190" t="s">
        <v>223</v>
      </c>
      <c r="C31" s="190" t="s">
        <v>223</v>
      </c>
      <c r="D31" s="190" t="s">
        <v>223</v>
      </c>
      <c r="E31" s="190" t="s">
        <v>223</v>
      </c>
    </row>
    <row r="32" spans="1:5" ht="15.75" x14ac:dyDescent="0.25">
      <c r="A32" s="191">
        <v>60952</v>
      </c>
      <c r="B32" s="190" t="s">
        <v>224</v>
      </c>
      <c r="C32" s="190" t="s">
        <v>224</v>
      </c>
      <c r="D32" s="190" t="s">
        <v>224</v>
      </c>
      <c r="E32" s="190" t="s">
        <v>224</v>
      </c>
    </row>
    <row r="33" spans="1:5" ht="15.75" x14ac:dyDescent="0.25">
      <c r="A33" s="191">
        <v>60953</v>
      </c>
      <c r="B33" s="190" t="s">
        <v>223</v>
      </c>
      <c r="C33" s="190" t="s">
        <v>223</v>
      </c>
      <c r="D33" s="190" t="s">
        <v>223</v>
      </c>
      <c r="E33" s="190" t="s">
        <v>223</v>
      </c>
    </row>
    <row r="34" spans="1:5" ht="15.75" x14ac:dyDescent="0.25">
      <c r="A34" s="191">
        <v>60955</v>
      </c>
      <c r="B34" s="190" t="s">
        <v>223</v>
      </c>
      <c r="C34" s="190" t="s">
        <v>223</v>
      </c>
      <c r="D34" s="190" t="s">
        <v>223</v>
      </c>
      <c r="E34" s="190" t="s">
        <v>223</v>
      </c>
    </row>
    <row r="35" spans="1:5" ht="15.75" x14ac:dyDescent="0.25">
      <c r="A35" s="191">
        <v>60956</v>
      </c>
      <c r="B35" s="190" t="s">
        <v>223</v>
      </c>
      <c r="C35" s="190" t="s">
        <v>223</v>
      </c>
      <c r="D35" s="190" t="s">
        <v>223</v>
      </c>
      <c r="E35" s="190" t="s">
        <v>223</v>
      </c>
    </row>
    <row r="36" spans="1:5" ht="15.75" x14ac:dyDescent="0.25">
      <c r="A36" s="191">
        <v>60957</v>
      </c>
      <c r="B36" s="190" t="s">
        <v>224</v>
      </c>
      <c r="C36" s="190" t="s">
        <v>224</v>
      </c>
      <c r="D36" s="190" t="s">
        <v>224</v>
      </c>
      <c r="E36" s="190" t="s">
        <v>224</v>
      </c>
    </row>
    <row r="37" spans="1:5" ht="15.75" x14ac:dyDescent="0.25">
      <c r="A37" s="191">
        <v>60959</v>
      </c>
      <c r="B37" s="190" t="s">
        <v>224</v>
      </c>
      <c r="C37" s="190" t="s">
        <v>224</v>
      </c>
      <c r="D37" s="190" t="s">
        <v>224</v>
      </c>
      <c r="E37" s="190" t="s">
        <v>224</v>
      </c>
    </row>
    <row r="38" spans="1:5" ht="15.75" x14ac:dyDescent="0.25">
      <c r="A38" s="191">
        <v>60960</v>
      </c>
      <c r="B38" s="190" t="s">
        <v>224</v>
      </c>
      <c r="C38" s="190" t="s">
        <v>224</v>
      </c>
      <c r="D38" s="190" t="s">
        <v>224</v>
      </c>
      <c r="E38" s="190" t="s">
        <v>224</v>
      </c>
    </row>
    <row r="39" spans="1:5" ht="15.75" x14ac:dyDescent="0.25">
      <c r="A39" s="191">
        <v>60962</v>
      </c>
      <c r="B39" s="190" t="s">
        <v>224</v>
      </c>
      <c r="C39" s="190" t="s">
        <v>224</v>
      </c>
      <c r="D39" s="190" t="s">
        <v>224</v>
      </c>
      <c r="E39" s="190" t="s">
        <v>224</v>
      </c>
    </row>
    <row r="40" spans="1:5" ht="15.75" x14ac:dyDescent="0.25">
      <c r="A40" s="191">
        <v>60963</v>
      </c>
      <c r="B40" s="190" t="s">
        <v>224</v>
      </c>
      <c r="C40" s="190" t="s">
        <v>224</v>
      </c>
      <c r="D40" s="190" t="s">
        <v>224</v>
      </c>
      <c r="E40" s="190" t="s">
        <v>224</v>
      </c>
    </row>
    <row r="41" spans="1:5" ht="15.75" x14ac:dyDescent="0.25">
      <c r="A41" s="191">
        <v>60964</v>
      </c>
      <c r="B41" s="190" t="s">
        <v>223</v>
      </c>
      <c r="C41" s="190" t="s">
        <v>223</v>
      </c>
      <c r="D41" s="190" t="s">
        <v>223</v>
      </c>
      <c r="E41" s="190" t="s">
        <v>223</v>
      </c>
    </row>
    <row r="42" spans="1:5" ht="15.75" x14ac:dyDescent="0.25">
      <c r="A42" s="191">
        <v>60966</v>
      </c>
      <c r="B42" s="190" t="s">
        <v>223</v>
      </c>
      <c r="C42" s="190" t="s">
        <v>223</v>
      </c>
      <c r="D42" s="190" t="s">
        <v>223</v>
      </c>
      <c r="E42" s="190" t="s">
        <v>223</v>
      </c>
    </row>
    <row r="43" spans="1:5" ht="15.75" x14ac:dyDescent="0.25">
      <c r="A43" s="191">
        <v>60967</v>
      </c>
      <c r="B43" s="190" t="s">
        <v>223</v>
      </c>
      <c r="C43" s="190" t="s">
        <v>223</v>
      </c>
      <c r="D43" s="190" t="s">
        <v>223</v>
      </c>
      <c r="E43" s="190" t="s">
        <v>223</v>
      </c>
    </row>
    <row r="44" spans="1:5" ht="15.75" x14ac:dyDescent="0.25">
      <c r="A44" s="191">
        <v>60968</v>
      </c>
      <c r="B44" s="190" t="s">
        <v>223</v>
      </c>
      <c r="C44" s="190" t="s">
        <v>223</v>
      </c>
      <c r="D44" s="190" t="s">
        <v>223</v>
      </c>
      <c r="E44" s="190" t="s">
        <v>223</v>
      </c>
    </row>
    <row r="45" spans="1:5" ht="15.75" x14ac:dyDescent="0.25">
      <c r="A45" s="191">
        <v>60970</v>
      </c>
      <c r="B45" s="190" t="s">
        <v>223</v>
      </c>
      <c r="C45" s="190" t="s">
        <v>223</v>
      </c>
      <c r="D45" s="190" t="s">
        <v>223</v>
      </c>
      <c r="E45" s="190" t="s">
        <v>223</v>
      </c>
    </row>
    <row r="46" spans="1:5" ht="15.75" x14ac:dyDescent="0.25">
      <c r="A46" s="191">
        <v>60973</v>
      </c>
      <c r="B46" s="190" t="s">
        <v>223</v>
      </c>
      <c r="C46" s="190" t="s">
        <v>223</v>
      </c>
      <c r="D46" s="190" t="s">
        <v>223</v>
      </c>
      <c r="E46" s="190" t="s">
        <v>223</v>
      </c>
    </row>
    <row r="47" spans="1:5" ht="15.75" x14ac:dyDescent="0.25">
      <c r="A47" s="191">
        <v>60974</v>
      </c>
      <c r="B47" s="190" t="s">
        <v>223</v>
      </c>
      <c r="C47" s="190" t="s">
        <v>223</v>
      </c>
      <c r="D47" s="190" t="s">
        <v>223</v>
      </c>
      <c r="E47" s="190" t="s">
        <v>223</v>
      </c>
    </row>
    <row r="48" spans="1:5" ht="15.75" x14ac:dyDescent="0.25">
      <c r="A48" s="191">
        <v>61231</v>
      </c>
      <c r="B48" s="190" t="s">
        <v>223</v>
      </c>
      <c r="C48" s="190" t="s">
        <v>223</v>
      </c>
      <c r="D48" s="190" t="s">
        <v>223</v>
      </c>
      <c r="E48" s="190" t="s">
        <v>223</v>
      </c>
    </row>
    <row r="49" spans="1:5" ht="15.75" x14ac:dyDescent="0.25">
      <c r="A49" s="191">
        <v>61233</v>
      </c>
      <c r="B49" s="190" t="s">
        <v>223</v>
      </c>
      <c r="C49" s="190" t="s">
        <v>223</v>
      </c>
      <c r="D49" s="190" t="s">
        <v>223</v>
      </c>
      <c r="E49" s="190" t="s">
        <v>223</v>
      </c>
    </row>
    <row r="50" spans="1:5" ht="15.75" x14ac:dyDescent="0.25">
      <c r="A50" s="191">
        <v>61234</v>
      </c>
      <c r="B50" s="190" t="s">
        <v>223</v>
      </c>
      <c r="C50" s="190" t="s">
        <v>223</v>
      </c>
      <c r="D50" s="190" t="s">
        <v>223</v>
      </c>
      <c r="E50" s="190" t="s">
        <v>223</v>
      </c>
    </row>
    <row r="51" spans="1:5" ht="15.75" x14ac:dyDescent="0.25">
      <c r="A51" s="191">
        <v>61235</v>
      </c>
      <c r="B51" s="190" t="s">
        <v>223</v>
      </c>
      <c r="C51" s="190" t="s">
        <v>223</v>
      </c>
      <c r="D51" s="190" t="s">
        <v>223</v>
      </c>
      <c r="E51" s="190" t="s">
        <v>223</v>
      </c>
    </row>
    <row r="52" spans="1:5" ht="15.75" x14ac:dyDescent="0.25">
      <c r="A52" s="191">
        <v>61238</v>
      </c>
      <c r="B52" s="190" t="s">
        <v>223</v>
      </c>
      <c r="C52" s="190" t="s">
        <v>223</v>
      </c>
      <c r="D52" s="190" t="s">
        <v>223</v>
      </c>
      <c r="E52" s="190" t="s">
        <v>223</v>
      </c>
    </row>
    <row r="53" spans="1:5" ht="15.75" x14ac:dyDescent="0.25">
      <c r="A53" s="191">
        <v>61254</v>
      </c>
      <c r="B53" s="190" t="s">
        <v>223</v>
      </c>
      <c r="C53" s="190" t="s">
        <v>223</v>
      </c>
      <c r="D53" s="190" t="s">
        <v>223</v>
      </c>
      <c r="E53" s="190" t="s">
        <v>223</v>
      </c>
    </row>
    <row r="54" spans="1:5" ht="15.75" x14ac:dyDescent="0.25">
      <c r="A54" s="191">
        <v>61260</v>
      </c>
      <c r="B54" s="190" t="s">
        <v>223</v>
      </c>
      <c r="C54" s="190" t="s">
        <v>223</v>
      </c>
      <c r="D54" s="190" t="s">
        <v>223</v>
      </c>
      <c r="E54" s="190" t="s">
        <v>223</v>
      </c>
    </row>
    <row r="55" spans="1:5" ht="15.75" x14ac:dyDescent="0.25">
      <c r="A55" s="191">
        <v>61262</v>
      </c>
      <c r="B55" s="190" t="s">
        <v>223</v>
      </c>
      <c r="C55" s="190" t="s">
        <v>223</v>
      </c>
      <c r="D55" s="190" t="s">
        <v>223</v>
      </c>
      <c r="E55" s="190" t="s">
        <v>223</v>
      </c>
    </row>
    <row r="56" spans="1:5" ht="15.75" x14ac:dyDescent="0.25">
      <c r="A56" s="191">
        <v>61263</v>
      </c>
      <c r="B56" s="190" t="s">
        <v>223</v>
      </c>
      <c r="C56" s="190" t="s">
        <v>223</v>
      </c>
      <c r="D56" s="190" t="s">
        <v>223</v>
      </c>
      <c r="E56" s="190" t="s">
        <v>223</v>
      </c>
    </row>
    <row r="57" spans="1:5" ht="15.75" x14ac:dyDescent="0.25">
      <c r="A57" s="191">
        <v>61264</v>
      </c>
      <c r="B57" s="190" t="s">
        <v>223</v>
      </c>
      <c r="C57" s="190" t="s">
        <v>223</v>
      </c>
      <c r="D57" s="190" t="s">
        <v>223</v>
      </c>
      <c r="E57" s="190" t="s">
        <v>223</v>
      </c>
    </row>
    <row r="58" spans="1:5" ht="15.75" x14ac:dyDescent="0.25">
      <c r="A58" s="191">
        <v>61272</v>
      </c>
      <c r="B58" s="190" t="s">
        <v>223</v>
      </c>
      <c r="C58" s="190" t="s">
        <v>223</v>
      </c>
      <c r="D58" s="190" t="s">
        <v>223</v>
      </c>
      <c r="E58" s="190" t="s">
        <v>223</v>
      </c>
    </row>
    <row r="59" spans="1:5" ht="15.75" x14ac:dyDescent="0.25">
      <c r="A59" s="191">
        <v>61274</v>
      </c>
      <c r="B59" s="190" t="s">
        <v>223</v>
      </c>
      <c r="C59" s="190" t="s">
        <v>223</v>
      </c>
      <c r="D59" s="190" t="s">
        <v>223</v>
      </c>
      <c r="E59" s="190" t="s">
        <v>223</v>
      </c>
    </row>
    <row r="60" spans="1:5" ht="15.75" x14ac:dyDescent="0.25">
      <c r="A60" s="191">
        <v>61276</v>
      </c>
      <c r="B60" s="190" t="s">
        <v>223</v>
      </c>
      <c r="C60" s="190" t="s">
        <v>223</v>
      </c>
      <c r="D60" s="190" t="s">
        <v>223</v>
      </c>
      <c r="E60" s="190" t="s">
        <v>223</v>
      </c>
    </row>
    <row r="61" spans="1:5" ht="15.75" x14ac:dyDescent="0.25">
      <c r="A61" s="191">
        <v>61279</v>
      </c>
      <c r="B61" s="190" t="s">
        <v>223</v>
      </c>
      <c r="C61" s="190" t="s">
        <v>223</v>
      </c>
      <c r="D61" s="190" t="s">
        <v>223</v>
      </c>
      <c r="E61" s="190" t="s">
        <v>223</v>
      </c>
    </row>
    <row r="62" spans="1:5" ht="15.75" x14ac:dyDescent="0.25">
      <c r="A62" s="191">
        <v>61281</v>
      </c>
      <c r="B62" s="190" t="s">
        <v>223</v>
      </c>
      <c r="C62" s="190" t="s">
        <v>223</v>
      </c>
      <c r="D62" s="190" t="s">
        <v>223</v>
      </c>
      <c r="E62" s="190" t="s">
        <v>223</v>
      </c>
    </row>
    <row r="63" spans="1:5" ht="15.75" x14ac:dyDescent="0.25">
      <c r="A63" s="191">
        <v>61283</v>
      </c>
      <c r="B63" s="190" t="s">
        <v>223</v>
      </c>
      <c r="C63" s="190" t="s">
        <v>223</v>
      </c>
      <c r="D63" s="190" t="s">
        <v>223</v>
      </c>
      <c r="E63" s="190" t="s">
        <v>223</v>
      </c>
    </row>
    <row r="64" spans="1:5" ht="15.75" x14ac:dyDescent="0.25">
      <c r="A64" s="191">
        <v>61301</v>
      </c>
      <c r="B64" s="190" t="s">
        <v>223</v>
      </c>
      <c r="C64" s="190" t="s">
        <v>223</v>
      </c>
      <c r="D64" s="190" t="s">
        <v>223</v>
      </c>
      <c r="E64" s="190" t="s">
        <v>223</v>
      </c>
    </row>
    <row r="65" spans="1:5" ht="15.75" x14ac:dyDescent="0.25">
      <c r="A65" s="191">
        <v>61312</v>
      </c>
      <c r="B65" s="190" t="s">
        <v>223</v>
      </c>
      <c r="C65" s="190" t="s">
        <v>223</v>
      </c>
      <c r="D65" s="190" t="s">
        <v>223</v>
      </c>
      <c r="E65" s="190" t="s">
        <v>223</v>
      </c>
    </row>
    <row r="66" spans="1:5" ht="15.75" x14ac:dyDescent="0.25">
      <c r="A66" s="191">
        <v>61314</v>
      </c>
      <c r="B66" s="190" t="s">
        <v>223</v>
      </c>
      <c r="C66" s="190" t="s">
        <v>223</v>
      </c>
      <c r="D66" s="190" t="s">
        <v>223</v>
      </c>
      <c r="E66" s="190" t="s">
        <v>223</v>
      </c>
    </row>
    <row r="67" spans="1:5" ht="15.75" x14ac:dyDescent="0.25">
      <c r="A67" s="191">
        <v>61315</v>
      </c>
      <c r="B67" s="190" t="s">
        <v>223</v>
      </c>
      <c r="C67" s="190" t="s">
        <v>223</v>
      </c>
      <c r="D67" s="190" t="s">
        <v>223</v>
      </c>
      <c r="E67" s="190" t="s">
        <v>223</v>
      </c>
    </row>
    <row r="68" spans="1:5" ht="15.75" x14ac:dyDescent="0.25">
      <c r="A68" s="191">
        <v>61316</v>
      </c>
      <c r="B68" s="190" t="s">
        <v>223</v>
      </c>
      <c r="C68" s="190" t="s">
        <v>223</v>
      </c>
      <c r="D68" s="190" t="s">
        <v>223</v>
      </c>
      <c r="E68" s="190" t="s">
        <v>223</v>
      </c>
    </row>
    <row r="69" spans="1:5" ht="15.75" x14ac:dyDescent="0.25">
      <c r="A69" s="191">
        <v>61317</v>
      </c>
      <c r="B69" s="190" t="s">
        <v>223</v>
      </c>
      <c r="C69" s="190" t="s">
        <v>223</v>
      </c>
      <c r="D69" s="190" t="s">
        <v>223</v>
      </c>
      <c r="E69" s="190" t="s">
        <v>223</v>
      </c>
    </row>
    <row r="70" spans="1:5" ht="15.75" x14ac:dyDescent="0.25">
      <c r="A70" s="191">
        <v>61320</v>
      </c>
      <c r="B70" s="190" t="s">
        <v>223</v>
      </c>
      <c r="C70" s="190" t="s">
        <v>223</v>
      </c>
      <c r="D70" s="190" t="s">
        <v>223</v>
      </c>
      <c r="E70" s="190" t="s">
        <v>223</v>
      </c>
    </row>
    <row r="71" spans="1:5" ht="15.75" x14ac:dyDescent="0.25">
      <c r="A71" s="191">
        <v>61322</v>
      </c>
      <c r="B71" s="190" t="s">
        <v>223</v>
      </c>
      <c r="C71" s="190" t="s">
        <v>223</v>
      </c>
      <c r="D71" s="190" t="s">
        <v>223</v>
      </c>
      <c r="E71" s="190" t="s">
        <v>223</v>
      </c>
    </row>
    <row r="72" spans="1:5" ht="15.75" x14ac:dyDescent="0.25">
      <c r="A72" s="191">
        <v>61323</v>
      </c>
      <c r="B72" s="190" t="s">
        <v>223</v>
      </c>
      <c r="C72" s="190" t="s">
        <v>223</v>
      </c>
      <c r="D72" s="190" t="s">
        <v>223</v>
      </c>
      <c r="E72" s="190" t="s">
        <v>223</v>
      </c>
    </row>
    <row r="73" spans="1:5" ht="15.75" x14ac:dyDescent="0.25">
      <c r="A73" s="191">
        <v>61326</v>
      </c>
      <c r="B73" s="190" t="s">
        <v>223</v>
      </c>
      <c r="C73" s="190" t="s">
        <v>223</v>
      </c>
      <c r="D73" s="190" t="s">
        <v>223</v>
      </c>
      <c r="E73" s="190" t="s">
        <v>223</v>
      </c>
    </row>
    <row r="74" spans="1:5" ht="15.75" x14ac:dyDescent="0.25">
      <c r="A74" s="191">
        <v>61327</v>
      </c>
      <c r="B74" s="190" t="s">
        <v>223</v>
      </c>
      <c r="C74" s="190" t="s">
        <v>223</v>
      </c>
      <c r="D74" s="190" t="s">
        <v>223</v>
      </c>
      <c r="E74" s="190" t="s">
        <v>223</v>
      </c>
    </row>
    <row r="75" spans="1:5" ht="15.75" x14ac:dyDescent="0.25">
      <c r="A75" s="191">
        <v>61328</v>
      </c>
      <c r="B75" s="190" t="s">
        <v>223</v>
      </c>
      <c r="C75" s="190" t="s">
        <v>223</v>
      </c>
      <c r="D75" s="190" t="s">
        <v>223</v>
      </c>
      <c r="E75" s="190" t="s">
        <v>223</v>
      </c>
    </row>
    <row r="76" spans="1:5" ht="15.75" x14ac:dyDescent="0.25">
      <c r="A76" s="191">
        <v>61329</v>
      </c>
      <c r="B76" s="190" t="s">
        <v>223</v>
      </c>
      <c r="C76" s="190" t="s">
        <v>223</v>
      </c>
      <c r="D76" s="190" t="s">
        <v>223</v>
      </c>
      <c r="E76" s="190" t="s">
        <v>223</v>
      </c>
    </row>
    <row r="77" spans="1:5" ht="15.75" x14ac:dyDescent="0.25">
      <c r="A77" s="191">
        <v>61330</v>
      </c>
      <c r="B77" s="190" t="s">
        <v>223</v>
      </c>
      <c r="C77" s="190" t="s">
        <v>223</v>
      </c>
      <c r="D77" s="190" t="s">
        <v>223</v>
      </c>
      <c r="E77" s="190" t="s">
        <v>223</v>
      </c>
    </row>
    <row r="78" spans="1:5" ht="15.75" x14ac:dyDescent="0.25">
      <c r="A78" s="191">
        <v>61334</v>
      </c>
      <c r="B78" s="190" t="s">
        <v>223</v>
      </c>
      <c r="C78" s="190" t="s">
        <v>223</v>
      </c>
      <c r="D78" s="190" t="s">
        <v>223</v>
      </c>
      <c r="E78" s="190" t="s">
        <v>223</v>
      </c>
    </row>
    <row r="79" spans="1:5" ht="15.75" x14ac:dyDescent="0.25">
      <c r="A79" s="191">
        <v>61335</v>
      </c>
      <c r="B79" s="190" t="s">
        <v>223</v>
      </c>
      <c r="C79" s="190" t="s">
        <v>223</v>
      </c>
      <c r="D79" s="190" t="s">
        <v>223</v>
      </c>
      <c r="E79" s="190" t="s">
        <v>223</v>
      </c>
    </row>
    <row r="80" spans="1:5" ht="15.75" x14ac:dyDescent="0.25">
      <c r="A80" s="191">
        <v>61336</v>
      </c>
      <c r="B80" s="190" t="s">
        <v>223</v>
      </c>
      <c r="C80" s="190" t="s">
        <v>223</v>
      </c>
      <c r="D80" s="190" t="s">
        <v>223</v>
      </c>
      <c r="E80" s="190" t="s">
        <v>223</v>
      </c>
    </row>
    <row r="81" spans="1:5" ht="15.75" x14ac:dyDescent="0.25">
      <c r="A81" s="191">
        <v>61337</v>
      </c>
      <c r="B81" s="190" t="s">
        <v>223</v>
      </c>
      <c r="C81" s="190" t="s">
        <v>223</v>
      </c>
      <c r="D81" s="190" t="s">
        <v>223</v>
      </c>
      <c r="E81" s="190" t="s">
        <v>223</v>
      </c>
    </row>
    <row r="82" spans="1:5" ht="15.75" x14ac:dyDescent="0.25">
      <c r="A82" s="191">
        <v>61338</v>
      </c>
      <c r="B82" s="190" t="s">
        <v>223</v>
      </c>
      <c r="C82" s="190" t="s">
        <v>223</v>
      </c>
      <c r="D82" s="190" t="s">
        <v>223</v>
      </c>
      <c r="E82" s="190" t="s">
        <v>223</v>
      </c>
    </row>
    <row r="83" spans="1:5" ht="15.75" x14ac:dyDescent="0.25">
      <c r="A83" s="191">
        <v>61340</v>
      </c>
      <c r="B83" s="190" t="s">
        <v>223</v>
      </c>
      <c r="C83" s="190" t="s">
        <v>223</v>
      </c>
      <c r="D83" s="190" t="s">
        <v>223</v>
      </c>
      <c r="E83" s="190" t="s">
        <v>223</v>
      </c>
    </row>
    <row r="84" spans="1:5" ht="15.75" x14ac:dyDescent="0.25">
      <c r="A84" s="191">
        <v>61341</v>
      </c>
      <c r="B84" s="190" t="s">
        <v>223</v>
      </c>
      <c r="C84" s="190" t="s">
        <v>223</v>
      </c>
      <c r="D84" s="190" t="s">
        <v>223</v>
      </c>
      <c r="E84" s="190" t="s">
        <v>223</v>
      </c>
    </row>
    <row r="85" spans="1:5" ht="15.75" x14ac:dyDescent="0.25">
      <c r="A85" s="191">
        <v>61342</v>
      </c>
      <c r="B85" s="190" t="s">
        <v>223</v>
      </c>
      <c r="C85" s="190" t="s">
        <v>223</v>
      </c>
      <c r="D85" s="190" t="s">
        <v>223</v>
      </c>
      <c r="E85" s="190" t="s">
        <v>223</v>
      </c>
    </row>
    <row r="86" spans="1:5" ht="15.75" x14ac:dyDescent="0.25">
      <c r="A86" s="191">
        <v>61344</v>
      </c>
      <c r="B86" s="190" t="s">
        <v>223</v>
      </c>
      <c r="C86" s="190" t="s">
        <v>223</v>
      </c>
      <c r="D86" s="190" t="s">
        <v>223</v>
      </c>
      <c r="E86" s="190" t="s">
        <v>223</v>
      </c>
    </row>
    <row r="87" spans="1:5" ht="15.75" x14ac:dyDescent="0.25">
      <c r="A87" s="191">
        <v>61345</v>
      </c>
      <c r="B87" s="190" t="s">
        <v>223</v>
      </c>
      <c r="C87" s="190" t="s">
        <v>223</v>
      </c>
      <c r="D87" s="190" t="s">
        <v>223</v>
      </c>
      <c r="E87" s="190" t="s">
        <v>223</v>
      </c>
    </row>
    <row r="88" spans="1:5" ht="15.75" x14ac:dyDescent="0.25">
      <c r="A88" s="191">
        <v>61346</v>
      </c>
      <c r="B88" s="190" t="s">
        <v>223</v>
      </c>
      <c r="C88" s="190" t="s">
        <v>223</v>
      </c>
      <c r="D88" s="190" t="s">
        <v>223</v>
      </c>
      <c r="E88" s="190" t="s">
        <v>223</v>
      </c>
    </row>
    <row r="89" spans="1:5" ht="15.75" x14ac:dyDescent="0.25">
      <c r="A89" s="191">
        <v>61348</v>
      </c>
      <c r="B89" s="190" t="s">
        <v>223</v>
      </c>
      <c r="C89" s="190" t="s">
        <v>223</v>
      </c>
      <c r="D89" s="190" t="s">
        <v>223</v>
      </c>
      <c r="E89" s="190" t="s">
        <v>223</v>
      </c>
    </row>
    <row r="90" spans="1:5" ht="15.75" x14ac:dyDescent="0.25">
      <c r="A90" s="191">
        <v>61349</v>
      </c>
      <c r="B90" s="190" t="s">
        <v>223</v>
      </c>
      <c r="C90" s="190" t="s">
        <v>223</v>
      </c>
      <c r="D90" s="190" t="s">
        <v>223</v>
      </c>
      <c r="E90" s="190" t="s">
        <v>223</v>
      </c>
    </row>
    <row r="91" spans="1:5" ht="15.75" x14ac:dyDescent="0.25">
      <c r="A91" s="191">
        <v>61350</v>
      </c>
      <c r="B91" s="190" t="s">
        <v>223</v>
      </c>
      <c r="C91" s="190" t="s">
        <v>223</v>
      </c>
      <c r="D91" s="190" t="s">
        <v>223</v>
      </c>
      <c r="E91" s="190" t="s">
        <v>223</v>
      </c>
    </row>
    <row r="92" spans="1:5" ht="15.75" x14ac:dyDescent="0.25">
      <c r="A92" s="191">
        <v>61354</v>
      </c>
      <c r="B92" s="190" t="s">
        <v>223</v>
      </c>
      <c r="C92" s="190" t="s">
        <v>223</v>
      </c>
      <c r="D92" s="190" t="s">
        <v>223</v>
      </c>
      <c r="E92" s="190" t="s">
        <v>223</v>
      </c>
    </row>
    <row r="93" spans="1:5" ht="15.75" x14ac:dyDescent="0.25">
      <c r="A93" s="191">
        <v>61356</v>
      </c>
      <c r="B93" s="190" t="s">
        <v>223</v>
      </c>
      <c r="C93" s="190" t="s">
        <v>223</v>
      </c>
      <c r="D93" s="190" t="s">
        <v>223</v>
      </c>
      <c r="E93" s="190" t="s">
        <v>223</v>
      </c>
    </row>
    <row r="94" spans="1:5" ht="15.75" x14ac:dyDescent="0.25">
      <c r="A94" s="191">
        <v>61358</v>
      </c>
      <c r="B94" s="190" t="s">
        <v>223</v>
      </c>
      <c r="C94" s="190" t="s">
        <v>223</v>
      </c>
      <c r="D94" s="190" t="s">
        <v>223</v>
      </c>
      <c r="E94" s="190" t="s">
        <v>223</v>
      </c>
    </row>
    <row r="95" spans="1:5" ht="15.75" x14ac:dyDescent="0.25">
      <c r="A95" s="191">
        <v>61359</v>
      </c>
      <c r="B95" s="190" t="s">
        <v>223</v>
      </c>
      <c r="C95" s="190" t="s">
        <v>223</v>
      </c>
      <c r="D95" s="190" t="s">
        <v>223</v>
      </c>
      <c r="E95" s="190" t="s">
        <v>223</v>
      </c>
    </row>
    <row r="96" spans="1:5" ht="15.75" x14ac:dyDescent="0.25">
      <c r="A96" s="191">
        <v>61361</v>
      </c>
      <c r="B96" s="190" t="s">
        <v>223</v>
      </c>
      <c r="C96" s="190" t="s">
        <v>223</v>
      </c>
      <c r="D96" s="190" t="s">
        <v>223</v>
      </c>
      <c r="E96" s="190" t="s">
        <v>223</v>
      </c>
    </row>
    <row r="97" spans="1:5" ht="15.75" x14ac:dyDescent="0.25">
      <c r="A97" s="191">
        <v>61362</v>
      </c>
      <c r="B97" s="190" t="s">
        <v>223</v>
      </c>
      <c r="C97" s="190" t="s">
        <v>223</v>
      </c>
      <c r="D97" s="190" t="s">
        <v>223</v>
      </c>
      <c r="E97" s="190" t="s">
        <v>223</v>
      </c>
    </row>
    <row r="98" spans="1:5" ht="15.75" x14ac:dyDescent="0.25">
      <c r="A98" s="191">
        <v>61363</v>
      </c>
      <c r="B98" s="190" t="s">
        <v>223</v>
      </c>
      <c r="C98" s="190" t="s">
        <v>223</v>
      </c>
      <c r="D98" s="190" t="s">
        <v>223</v>
      </c>
      <c r="E98" s="190" t="s">
        <v>223</v>
      </c>
    </row>
    <row r="99" spans="1:5" ht="15.75" x14ac:dyDescent="0.25">
      <c r="A99" s="191">
        <v>61368</v>
      </c>
      <c r="B99" s="190" t="s">
        <v>223</v>
      </c>
      <c r="C99" s="190" t="s">
        <v>223</v>
      </c>
      <c r="D99" s="190" t="s">
        <v>223</v>
      </c>
      <c r="E99" s="190" t="s">
        <v>223</v>
      </c>
    </row>
    <row r="100" spans="1:5" ht="15.75" x14ac:dyDescent="0.25">
      <c r="A100" s="191">
        <v>61369</v>
      </c>
      <c r="B100" s="190" t="s">
        <v>223</v>
      </c>
      <c r="C100" s="190" t="s">
        <v>223</v>
      </c>
      <c r="D100" s="190" t="s">
        <v>223</v>
      </c>
      <c r="E100" s="190" t="s">
        <v>223</v>
      </c>
    </row>
    <row r="101" spans="1:5" ht="15.75" x14ac:dyDescent="0.25">
      <c r="A101" s="191">
        <v>61370</v>
      </c>
      <c r="B101" s="190" t="s">
        <v>223</v>
      </c>
      <c r="C101" s="190" t="s">
        <v>223</v>
      </c>
      <c r="D101" s="190" t="s">
        <v>223</v>
      </c>
      <c r="E101" s="190" t="s">
        <v>223</v>
      </c>
    </row>
    <row r="102" spans="1:5" ht="15.75" x14ac:dyDescent="0.25">
      <c r="A102" s="191">
        <v>61371</v>
      </c>
      <c r="B102" s="190" t="s">
        <v>223</v>
      </c>
      <c r="C102" s="190" t="s">
        <v>223</v>
      </c>
      <c r="D102" s="190" t="s">
        <v>223</v>
      </c>
      <c r="E102" s="190" t="s">
        <v>223</v>
      </c>
    </row>
    <row r="103" spans="1:5" ht="15.75" x14ac:dyDescent="0.25">
      <c r="A103" s="191">
        <v>61372</v>
      </c>
      <c r="B103" s="190" t="s">
        <v>223</v>
      </c>
      <c r="C103" s="190" t="s">
        <v>223</v>
      </c>
      <c r="D103" s="190" t="s">
        <v>223</v>
      </c>
      <c r="E103" s="190" t="s">
        <v>223</v>
      </c>
    </row>
    <row r="104" spans="1:5" ht="15.75" x14ac:dyDescent="0.25">
      <c r="A104" s="191">
        <v>61373</v>
      </c>
      <c r="B104" s="190" t="s">
        <v>223</v>
      </c>
      <c r="C104" s="190" t="s">
        <v>223</v>
      </c>
      <c r="D104" s="190" t="s">
        <v>223</v>
      </c>
      <c r="E104" s="190" t="s">
        <v>223</v>
      </c>
    </row>
    <row r="105" spans="1:5" ht="15.75" x14ac:dyDescent="0.25">
      <c r="A105" s="191">
        <v>61374</v>
      </c>
      <c r="B105" s="190" t="s">
        <v>223</v>
      </c>
      <c r="C105" s="190" t="s">
        <v>223</v>
      </c>
      <c r="D105" s="190" t="s">
        <v>223</v>
      </c>
      <c r="E105" s="190" t="s">
        <v>223</v>
      </c>
    </row>
    <row r="106" spans="1:5" ht="15.75" x14ac:dyDescent="0.25">
      <c r="A106" s="191">
        <v>61375</v>
      </c>
      <c r="B106" s="190" t="s">
        <v>223</v>
      </c>
      <c r="C106" s="190" t="s">
        <v>223</v>
      </c>
      <c r="D106" s="190" t="s">
        <v>223</v>
      </c>
      <c r="E106" s="190" t="s">
        <v>223</v>
      </c>
    </row>
    <row r="107" spans="1:5" ht="15.75" x14ac:dyDescent="0.25">
      <c r="A107" s="191">
        <v>61376</v>
      </c>
      <c r="B107" s="190" t="s">
        <v>223</v>
      </c>
      <c r="C107" s="190" t="s">
        <v>223</v>
      </c>
      <c r="D107" s="190" t="s">
        <v>223</v>
      </c>
      <c r="E107" s="190" t="s">
        <v>223</v>
      </c>
    </row>
    <row r="108" spans="1:5" ht="15.75" x14ac:dyDescent="0.25">
      <c r="A108" s="191">
        <v>61377</v>
      </c>
      <c r="B108" s="190" t="s">
        <v>223</v>
      </c>
      <c r="C108" s="190" t="s">
        <v>223</v>
      </c>
      <c r="D108" s="190" t="s">
        <v>223</v>
      </c>
      <c r="E108" s="190" t="s">
        <v>223</v>
      </c>
    </row>
    <row r="109" spans="1:5" ht="15.75" x14ac:dyDescent="0.25">
      <c r="A109" s="191">
        <v>61379</v>
      </c>
      <c r="B109" s="190" t="s">
        <v>223</v>
      </c>
      <c r="C109" s="190" t="s">
        <v>223</v>
      </c>
      <c r="D109" s="190" t="s">
        <v>223</v>
      </c>
      <c r="E109" s="190" t="s">
        <v>223</v>
      </c>
    </row>
    <row r="110" spans="1:5" ht="15.75" x14ac:dyDescent="0.25">
      <c r="A110" s="191">
        <v>61401</v>
      </c>
      <c r="B110" s="190" t="s">
        <v>223</v>
      </c>
      <c r="C110" s="190" t="s">
        <v>223</v>
      </c>
      <c r="D110" s="190" t="s">
        <v>223</v>
      </c>
      <c r="E110" s="190" t="s">
        <v>223</v>
      </c>
    </row>
    <row r="111" spans="1:5" ht="15.75" x14ac:dyDescent="0.25">
      <c r="A111" s="191">
        <v>61402</v>
      </c>
      <c r="B111" s="190" t="s">
        <v>223</v>
      </c>
      <c r="C111" s="190" t="s">
        <v>223</v>
      </c>
      <c r="D111" s="190" t="s">
        <v>223</v>
      </c>
      <c r="E111" s="190" t="s">
        <v>223</v>
      </c>
    </row>
    <row r="112" spans="1:5" ht="15.75" x14ac:dyDescent="0.25">
      <c r="A112" s="191">
        <v>61410</v>
      </c>
      <c r="B112" s="190" t="s">
        <v>223</v>
      </c>
      <c r="C112" s="190" t="s">
        <v>223</v>
      </c>
      <c r="D112" s="190" t="s">
        <v>223</v>
      </c>
      <c r="E112" s="190" t="s">
        <v>223</v>
      </c>
    </row>
    <row r="113" spans="1:5" ht="15.75" x14ac:dyDescent="0.25">
      <c r="A113" s="191">
        <v>61411</v>
      </c>
      <c r="B113" s="190" t="s">
        <v>224</v>
      </c>
      <c r="C113" s="190" t="s">
        <v>224</v>
      </c>
      <c r="D113" s="190" t="s">
        <v>224</v>
      </c>
      <c r="E113" s="190" t="s">
        <v>224</v>
      </c>
    </row>
    <row r="114" spans="1:5" ht="15.75" x14ac:dyDescent="0.25">
      <c r="A114" s="191">
        <v>61412</v>
      </c>
      <c r="B114" s="190" t="s">
        <v>223</v>
      </c>
      <c r="C114" s="190" t="s">
        <v>223</v>
      </c>
      <c r="D114" s="190" t="s">
        <v>223</v>
      </c>
      <c r="E114" s="190" t="s">
        <v>223</v>
      </c>
    </row>
    <row r="115" spans="1:5" ht="15.75" x14ac:dyDescent="0.25">
      <c r="A115" s="191">
        <v>61413</v>
      </c>
      <c r="B115" s="190" t="s">
        <v>223</v>
      </c>
      <c r="C115" s="190" t="s">
        <v>223</v>
      </c>
      <c r="D115" s="190" t="s">
        <v>223</v>
      </c>
      <c r="E115" s="190" t="s">
        <v>223</v>
      </c>
    </row>
    <row r="116" spans="1:5" ht="15.75" x14ac:dyDescent="0.25">
      <c r="A116" s="191">
        <v>61414</v>
      </c>
      <c r="B116" s="190" t="s">
        <v>223</v>
      </c>
      <c r="C116" s="190" t="s">
        <v>223</v>
      </c>
      <c r="D116" s="190" t="s">
        <v>223</v>
      </c>
      <c r="E116" s="190" t="s">
        <v>223</v>
      </c>
    </row>
    <row r="117" spans="1:5" ht="15.75" x14ac:dyDescent="0.25">
      <c r="A117" s="191">
        <v>61415</v>
      </c>
      <c r="B117" s="190" t="s">
        <v>224</v>
      </c>
      <c r="C117" s="190" t="s">
        <v>224</v>
      </c>
      <c r="D117" s="190" t="s">
        <v>224</v>
      </c>
      <c r="E117" s="190" t="s">
        <v>224</v>
      </c>
    </row>
    <row r="118" spans="1:5" ht="15.75" x14ac:dyDescent="0.25">
      <c r="A118" s="191">
        <v>61416</v>
      </c>
      <c r="B118" s="190" t="s">
        <v>224</v>
      </c>
      <c r="C118" s="190" t="s">
        <v>224</v>
      </c>
      <c r="D118" s="190" t="s">
        <v>224</v>
      </c>
      <c r="E118" s="190" t="s">
        <v>224</v>
      </c>
    </row>
    <row r="119" spans="1:5" ht="15.75" x14ac:dyDescent="0.25">
      <c r="A119" s="191">
        <v>61417</v>
      </c>
      <c r="B119" s="190" t="s">
        <v>223</v>
      </c>
      <c r="C119" s="190" t="s">
        <v>223</v>
      </c>
      <c r="D119" s="190" t="s">
        <v>223</v>
      </c>
      <c r="E119" s="190" t="s">
        <v>223</v>
      </c>
    </row>
    <row r="120" spans="1:5" ht="15.75" x14ac:dyDescent="0.25">
      <c r="A120" s="191">
        <v>61418</v>
      </c>
      <c r="B120" s="190" t="s">
        <v>223</v>
      </c>
      <c r="C120" s="190" t="s">
        <v>223</v>
      </c>
      <c r="D120" s="190" t="s">
        <v>223</v>
      </c>
      <c r="E120" s="190" t="s">
        <v>223</v>
      </c>
    </row>
    <row r="121" spans="1:5" ht="15.75" x14ac:dyDescent="0.25">
      <c r="A121" s="191">
        <v>61419</v>
      </c>
      <c r="B121" s="190" t="s">
        <v>223</v>
      </c>
      <c r="C121" s="190" t="s">
        <v>223</v>
      </c>
      <c r="D121" s="190" t="s">
        <v>223</v>
      </c>
      <c r="E121" s="190" t="s">
        <v>223</v>
      </c>
    </row>
    <row r="122" spans="1:5" ht="15.75" x14ac:dyDescent="0.25">
      <c r="A122" s="191">
        <v>61420</v>
      </c>
      <c r="B122" s="190" t="s">
        <v>224</v>
      </c>
      <c r="C122" s="190" t="s">
        <v>224</v>
      </c>
      <c r="D122" s="190" t="s">
        <v>224</v>
      </c>
      <c r="E122" s="190" t="s">
        <v>224</v>
      </c>
    </row>
    <row r="123" spans="1:5" ht="15.75" x14ac:dyDescent="0.25">
      <c r="A123" s="191">
        <v>61421</v>
      </c>
      <c r="B123" s="190" t="s">
        <v>223</v>
      </c>
      <c r="C123" s="190" t="s">
        <v>223</v>
      </c>
      <c r="D123" s="190" t="s">
        <v>223</v>
      </c>
      <c r="E123" s="190" t="s">
        <v>223</v>
      </c>
    </row>
    <row r="124" spans="1:5" ht="15.75" x14ac:dyDescent="0.25">
      <c r="A124" s="191">
        <v>61422</v>
      </c>
      <c r="B124" s="190" t="s">
        <v>224</v>
      </c>
      <c r="C124" s="190" t="s">
        <v>224</v>
      </c>
      <c r="D124" s="190" t="s">
        <v>224</v>
      </c>
      <c r="E124" s="190" t="s">
        <v>224</v>
      </c>
    </row>
    <row r="125" spans="1:5" ht="15.75" x14ac:dyDescent="0.25">
      <c r="A125" s="191">
        <v>61423</v>
      </c>
      <c r="B125" s="190" t="s">
        <v>223</v>
      </c>
      <c r="C125" s="190" t="s">
        <v>223</v>
      </c>
      <c r="D125" s="190" t="s">
        <v>223</v>
      </c>
      <c r="E125" s="190" t="s">
        <v>223</v>
      </c>
    </row>
    <row r="126" spans="1:5" ht="15.75" x14ac:dyDescent="0.25">
      <c r="A126" s="191">
        <v>61424</v>
      </c>
      <c r="B126" s="190" t="s">
        <v>223</v>
      </c>
      <c r="C126" s="190" t="s">
        <v>223</v>
      </c>
      <c r="D126" s="190" t="s">
        <v>223</v>
      </c>
      <c r="E126" s="190" t="s">
        <v>223</v>
      </c>
    </row>
    <row r="127" spans="1:5" ht="15.75" x14ac:dyDescent="0.25">
      <c r="A127" s="191">
        <v>61425</v>
      </c>
      <c r="B127" s="190" t="s">
        <v>223</v>
      </c>
      <c r="C127" s="190" t="s">
        <v>223</v>
      </c>
      <c r="D127" s="190" t="s">
        <v>223</v>
      </c>
      <c r="E127" s="190" t="s">
        <v>223</v>
      </c>
    </row>
    <row r="128" spans="1:5" ht="15.75" x14ac:dyDescent="0.25">
      <c r="A128" s="191">
        <v>61426</v>
      </c>
      <c r="B128" s="190" t="s">
        <v>223</v>
      </c>
      <c r="C128" s="190" t="s">
        <v>223</v>
      </c>
      <c r="D128" s="190" t="s">
        <v>223</v>
      </c>
      <c r="E128" s="190" t="s">
        <v>223</v>
      </c>
    </row>
    <row r="129" spans="1:5" ht="15.75" x14ac:dyDescent="0.25">
      <c r="A129" s="191">
        <v>61427</v>
      </c>
      <c r="B129" s="190" t="s">
        <v>224</v>
      </c>
      <c r="C129" s="190" t="s">
        <v>224</v>
      </c>
      <c r="D129" s="190" t="s">
        <v>224</v>
      </c>
      <c r="E129" s="190" t="s">
        <v>224</v>
      </c>
    </row>
    <row r="130" spans="1:5" ht="15.75" x14ac:dyDescent="0.25">
      <c r="A130" s="191">
        <v>61428</v>
      </c>
      <c r="B130" s="190" t="s">
        <v>223</v>
      </c>
      <c r="C130" s="190" t="s">
        <v>223</v>
      </c>
      <c r="D130" s="190" t="s">
        <v>223</v>
      </c>
      <c r="E130" s="190" t="s">
        <v>223</v>
      </c>
    </row>
    <row r="131" spans="1:5" ht="15.75" x14ac:dyDescent="0.25">
      <c r="A131" s="191">
        <v>61430</v>
      </c>
      <c r="B131" s="190" t="s">
        <v>223</v>
      </c>
      <c r="C131" s="190" t="s">
        <v>223</v>
      </c>
      <c r="D131" s="190" t="s">
        <v>223</v>
      </c>
      <c r="E131" s="190" t="s">
        <v>223</v>
      </c>
    </row>
    <row r="132" spans="1:5" ht="15.75" x14ac:dyDescent="0.25">
      <c r="A132" s="191">
        <v>61431</v>
      </c>
      <c r="B132" s="190" t="s">
        <v>224</v>
      </c>
      <c r="C132" s="190" t="s">
        <v>224</v>
      </c>
      <c r="D132" s="190" t="s">
        <v>224</v>
      </c>
      <c r="E132" s="190" t="s">
        <v>224</v>
      </c>
    </row>
    <row r="133" spans="1:5" ht="15.75" x14ac:dyDescent="0.25">
      <c r="A133" s="191">
        <v>61432</v>
      </c>
      <c r="B133" s="190" t="s">
        <v>224</v>
      </c>
      <c r="C133" s="190" t="s">
        <v>224</v>
      </c>
      <c r="D133" s="190" t="s">
        <v>224</v>
      </c>
      <c r="E133" s="190" t="s">
        <v>224</v>
      </c>
    </row>
    <row r="134" spans="1:5" ht="15.75" x14ac:dyDescent="0.25">
      <c r="A134" s="191">
        <v>61433</v>
      </c>
      <c r="B134" s="190" t="s">
        <v>224</v>
      </c>
      <c r="C134" s="190" t="s">
        <v>224</v>
      </c>
      <c r="D134" s="190" t="s">
        <v>224</v>
      </c>
      <c r="E134" s="190" t="s">
        <v>224</v>
      </c>
    </row>
    <row r="135" spans="1:5" ht="15.75" x14ac:dyDescent="0.25">
      <c r="A135" s="191">
        <v>61434</v>
      </c>
      <c r="B135" s="190" t="s">
        <v>223</v>
      </c>
      <c r="C135" s="190" t="s">
        <v>223</v>
      </c>
      <c r="D135" s="190" t="s">
        <v>223</v>
      </c>
      <c r="E135" s="190" t="s">
        <v>223</v>
      </c>
    </row>
    <row r="136" spans="1:5" ht="15.75" x14ac:dyDescent="0.25">
      <c r="A136" s="191">
        <v>61435</v>
      </c>
      <c r="B136" s="190" t="s">
        <v>223</v>
      </c>
      <c r="C136" s="190" t="s">
        <v>223</v>
      </c>
      <c r="D136" s="190" t="s">
        <v>223</v>
      </c>
      <c r="E136" s="190" t="s">
        <v>223</v>
      </c>
    </row>
    <row r="137" spans="1:5" ht="15.75" x14ac:dyDescent="0.25">
      <c r="A137" s="191">
        <v>61436</v>
      </c>
      <c r="B137" s="190" t="s">
        <v>223</v>
      </c>
      <c r="C137" s="190" t="s">
        <v>223</v>
      </c>
      <c r="D137" s="190" t="s">
        <v>223</v>
      </c>
      <c r="E137" s="190" t="s">
        <v>223</v>
      </c>
    </row>
    <row r="138" spans="1:5" ht="15.75" x14ac:dyDescent="0.25">
      <c r="A138" s="191">
        <v>61437</v>
      </c>
      <c r="B138" s="190" t="s">
        <v>223</v>
      </c>
      <c r="C138" s="190" t="s">
        <v>223</v>
      </c>
      <c r="D138" s="190" t="s">
        <v>223</v>
      </c>
      <c r="E138" s="190" t="s">
        <v>223</v>
      </c>
    </row>
    <row r="139" spans="1:5" ht="15.75" x14ac:dyDescent="0.25">
      <c r="A139" s="191">
        <v>61438</v>
      </c>
      <c r="B139" s="190" t="s">
        <v>224</v>
      </c>
      <c r="C139" s="190" t="s">
        <v>224</v>
      </c>
      <c r="D139" s="190" t="s">
        <v>224</v>
      </c>
      <c r="E139" s="190" t="s">
        <v>224</v>
      </c>
    </row>
    <row r="140" spans="1:5" ht="15.75" x14ac:dyDescent="0.25">
      <c r="A140" s="191">
        <v>61439</v>
      </c>
      <c r="B140" s="190" t="s">
        <v>223</v>
      </c>
      <c r="C140" s="190" t="s">
        <v>223</v>
      </c>
      <c r="D140" s="190" t="s">
        <v>223</v>
      </c>
      <c r="E140" s="190" t="s">
        <v>223</v>
      </c>
    </row>
    <row r="141" spans="1:5" ht="15.75" x14ac:dyDescent="0.25">
      <c r="A141" s="191">
        <v>61440</v>
      </c>
      <c r="B141" s="190" t="s">
        <v>224</v>
      </c>
      <c r="C141" s="190" t="s">
        <v>224</v>
      </c>
      <c r="D141" s="190" t="s">
        <v>224</v>
      </c>
      <c r="E141" s="190" t="s">
        <v>224</v>
      </c>
    </row>
    <row r="142" spans="1:5" ht="15.75" x14ac:dyDescent="0.25">
      <c r="A142" s="191">
        <v>61441</v>
      </c>
      <c r="B142" s="190" t="s">
        <v>224</v>
      </c>
      <c r="C142" s="190" t="s">
        <v>224</v>
      </c>
      <c r="D142" s="190" t="s">
        <v>224</v>
      </c>
      <c r="E142" s="190" t="s">
        <v>224</v>
      </c>
    </row>
    <row r="143" spans="1:5" ht="15.75" x14ac:dyDescent="0.25">
      <c r="A143" s="191">
        <v>61442</v>
      </c>
      <c r="B143" s="190" t="s">
        <v>223</v>
      </c>
      <c r="C143" s="190" t="s">
        <v>223</v>
      </c>
      <c r="D143" s="190" t="s">
        <v>223</v>
      </c>
      <c r="E143" s="190" t="s">
        <v>223</v>
      </c>
    </row>
    <row r="144" spans="1:5" ht="15.75" x14ac:dyDescent="0.25">
      <c r="A144" s="191">
        <v>61443</v>
      </c>
      <c r="B144" s="190" t="s">
        <v>223</v>
      </c>
      <c r="C144" s="190" t="s">
        <v>223</v>
      </c>
      <c r="D144" s="190" t="s">
        <v>223</v>
      </c>
      <c r="E144" s="190" t="s">
        <v>223</v>
      </c>
    </row>
    <row r="145" spans="1:5" ht="15.75" x14ac:dyDescent="0.25">
      <c r="A145" s="191">
        <v>61447</v>
      </c>
      <c r="B145" s="190" t="s">
        <v>223</v>
      </c>
      <c r="C145" s="190" t="s">
        <v>223</v>
      </c>
      <c r="D145" s="190" t="s">
        <v>223</v>
      </c>
      <c r="E145" s="190" t="s">
        <v>223</v>
      </c>
    </row>
    <row r="146" spans="1:5" ht="15.75" x14ac:dyDescent="0.25">
      <c r="A146" s="191">
        <v>61448</v>
      </c>
      <c r="B146" s="190" t="s">
        <v>223</v>
      </c>
      <c r="C146" s="190" t="s">
        <v>223</v>
      </c>
      <c r="D146" s="190" t="s">
        <v>223</v>
      </c>
      <c r="E146" s="190" t="s">
        <v>223</v>
      </c>
    </row>
    <row r="147" spans="1:5" ht="15.75" x14ac:dyDescent="0.25">
      <c r="A147" s="191">
        <v>61449</v>
      </c>
      <c r="B147" s="190" t="s">
        <v>223</v>
      </c>
      <c r="C147" s="190" t="s">
        <v>223</v>
      </c>
      <c r="D147" s="190" t="s">
        <v>223</v>
      </c>
      <c r="E147" s="190" t="s">
        <v>223</v>
      </c>
    </row>
    <row r="148" spans="1:5" ht="15.75" x14ac:dyDescent="0.25">
      <c r="A148" s="191">
        <v>61450</v>
      </c>
      <c r="B148" s="190" t="s">
        <v>224</v>
      </c>
      <c r="C148" s="190" t="s">
        <v>224</v>
      </c>
      <c r="D148" s="190" t="s">
        <v>224</v>
      </c>
      <c r="E148" s="190" t="s">
        <v>224</v>
      </c>
    </row>
    <row r="149" spans="1:5" ht="15.75" x14ac:dyDescent="0.25">
      <c r="A149" s="191">
        <v>61451</v>
      </c>
      <c r="B149" s="190" t="s">
        <v>223</v>
      </c>
      <c r="C149" s="190" t="s">
        <v>223</v>
      </c>
      <c r="D149" s="190" t="s">
        <v>223</v>
      </c>
      <c r="E149" s="190" t="s">
        <v>223</v>
      </c>
    </row>
    <row r="150" spans="1:5" ht="15.75" x14ac:dyDescent="0.25">
      <c r="A150" s="191">
        <v>61452</v>
      </c>
      <c r="B150" s="190" t="s">
        <v>224</v>
      </c>
      <c r="C150" s="190" t="s">
        <v>224</v>
      </c>
      <c r="D150" s="190" t="s">
        <v>224</v>
      </c>
      <c r="E150" s="190" t="s">
        <v>224</v>
      </c>
    </row>
    <row r="151" spans="1:5" ht="15.75" x14ac:dyDescent="0.25">
      <c r="A151" s="191">
        <v>61453</v>
      </c>
      <c r="B151" s="190" t="s">
        <v>223</v>
      </c>
      <c r="C151" s="190" t="s">
        <v>223</v>
      </c>
      <c r="D151" s="190" t="s">
        <v>223</v>
      </c>
      <c r="E151" s="190" t="s">
        <v>223</v>
      </c>
    </row>
    <row r="152" spans="1:5" ht="15.75" x14ac:dyDescent="0.25">
      <c r="A152" s="191">
        <v>61454</v>
      </c>
      <c r="B152" s="190" t="s">
        <v>223</v>
      </c>
      <c r="C152" s="190" t="s">
        <v>223</v>
      </c>
      <c r="D152" s="190" t="s">
        <v>223</v>
      </c>
      <c r="E152" s="190" t="s">
        <v>223</v>
      </c>
    </row>
    <row r="153" spans="1:5" ht="15.75" x14ac:dyDescent="0.25">
      <c r="A153" s="191">
        <v>61455</v>
      </c>
      <c r="B153" s="190" t="s">
        <v>224</v>
      </c>
      <c r="C153" s="190" t="s">
        <v>224</v>
      </c>
      <c r="D153" s="190" t="s">
        <v>224</v>
      </c>
      <c r="E153" s="190" t="s">
        <v>224</v>
      </c>
    </row>
    <row r="154" spans="1:5" ht="15.75" x14ac:dyDescent="0.25">
      <c r="A154" s="191">
        <v>61458</v>
      </c>
      <c r="B154" s="190" t="s">
        <v>223</v>
      </c>
      <c r="C154" s="190" t="s">
        <v>223</v>
      </c>
      <c r="D154" s="190" t="s">
        <v>223</v>
      </c>
      <c r="E154" s="190" t="s">
        <v>223</v>
      </c>
    </row>
    <row r="155" spans="1:5" ht="15.75" x14ac:dyDescent="0.25">
      <c r="A155" s="191">
        <v>61459</v>
      </c>
      <c r="B155" s="190" t="s">
        <v>224</v>
      </c>
      <c r="C155" s="190" t="s">
        <v>224</v>
      </c>
      <c r="D155" s="190" t="s">
        <v>224</v>
      </c>
      <c r="E155" s="190" t="s">
        <v>224</v>
      </c>
    </row>
    <row r="156" spans="1:5" ht="15.75" x14ac:dyDescent="0.25">
      <c r="A156" s="191">
        <v>61460</v>
      </c>
      <c r="B156" s="190" t="s">
        <v>223</v>
      </c>
      <c r="C156" s="190" t="s">
        <v>223</v>
      </c>
      <c r="D156" s="190" t="s">
        <v>223</v>
      </c>
      <c r="E156" s="190" t="s">
        <v>223</v>
      </c>
    </row>
    <row r="157" spans="1:5" ht="15.75" x14ac:dyDescent="0.25">
      <c r="A157" s="191">
        <v>61462</v>
      </c>
      <c r="B157" s="190" t="s">
        <v>223</v>
      </c>
      <c r="C157" s="190" t="s">
        <v>223</v>
      </c>
      <c r="D157" s="190" t="s">
        <v>223</v>
      </c>
      <c r="E157" s="190" t="s">
        <v>223</v>
      </c>
    </row>
    <row r="158" spans="1:5" ht="15.75" x14ac:dyDescent="0.25">
      <c r="A158" s="191">
        <v>61465</v>
      </c>
      <c r="B158" s="190" t="s">
        <v>223</v>
      </c>
      <c r="C158" s="190" t="s">
        <v>223</v>
      </c>
      <c r="D158" s="190" t="s">
        <v>223</v>
      </c>
      <c r="E158" s="190" t="s">
        <v>223</v>
      </c>
    </row>
    <row r="159" spans="1:5" ht="15.75" x14ac:dyDescent="0.25">
      <c r="A159" s="191">
        <v>61466</v>
      </c>
      <c r="B159" s="190" t="s">
        <v>223</v>
      </c>
      <c r="C159" s="190" t="s">
        <v>223</v>
      </c>
      <c r="D159" s="190" t="s">
        <v>223</v>
      </c>
      <c r="E159" s="190" t="s">
        <v>223</v>
      </c>
    </row>
    <row r="160" spans="1:5" ht="15.75" x14ac:dyDescent="0.25">
      <c r="A160" s="191">
        <v>61467</v>
      </c>
      <c r="B160" s="190" t="s">
        <v>223</v>
      </c>
      <c r="C160" s="190" t="s">
        <v>223</v>
      </c>
      <c r="D160" s="190" t="s">
        <v>223</v>
      </c>
      <c r="E160" s="190" t="s">
        <v>223</v>
      </c>
    </row>
    <row r="161" spans="1:5" ht="15.75" x14ac:dyDescent="0.25">
      <c r="A161" s="191">
        <v>61468</v>
      </c>
      <c r="B161" s="190" t="s">
        <v>223</v>
      </c>
      <c r="C161" s="190" t="s">
        <v>223</v>
      </c>
      <c r="D161" s="190" t="s">
        <v>223</v>
      </c>
      <c r="E161" s="190" t="s">
        <v>223</v>
      </c>
    </row>
    <row r="162" spans="1:5" ht="15.75" x14ac:dyDescent="0.25">
      <c r="A162" s="191">
        <v>61469</v>
      </c>
      <c r="B162" s="190" t="s">
        <v>223</v>
      </c>
      <c r="C162" s="190" t="s">
        <v>223</v>
      </c>
      <c r="D162" s="190" t="s">
        <v>223</v>
      </c>
      <c r="E162" s="190" t="s">
        <v>223</v>
      </c>
    </row>
    <row r="163" spans="1:5" ht="15.75" x14ac:dyDescent="0.25">
      <c r="A163" s="191">
        <v>61470</v>
      </c>
      <c r="B163" s="190" t="s">
        <v>224</v>
      </c>
      <c r="C163" s="190" t="s">
        <v>224</v>
      </c>
      <c r="D163" s="190" t="s">
        <v>224</v>
      </c>
      <c r="E163" s="190" t="s">
        <v>224</v>
      </c>
    </row>
    <row r="164" spans="1:5" ht="15.75" x14ac:dyDescent="0.25">
      <c r="A164" s="191">
        <v>61471</v>
      </c>
      <c r="B164" s="190" t="s">
        <v>223</v>
      </c>
      <c r="C164" s="190" t="s">
        <v>223</v>
      </c>
      <c r="D164" s="190" t="s">
        <v>223</v>
      </c>
      <c r="E164" s="190" t="s">
        <v>223</v>
      </c>
    </row>
    <row r="165" spans="1:5" ht="15.75" x14ac:dyDescent="0.25">
      <c r="A165" s="191">
        <v>61472</v>
      </c>
      <c r="B165" s="190" t="s">
        <v>223</v>
      </c>
      <c r="C165" s="190" t="s">
        <v>223</v>
      </c>
      <c r="D165" s="190" t="s">
        <v>223</v>
      </c>
      <c r="E165" s="190" t="s">
        <v>223</v>
      </c>
    </row>
    <row r="166" spans="1:5" ht="15.75" x14ac:dyDescent="0.25">
      <c r="A166" s="191">
        <v>61473</v>
      </c>
      <c r="B166" s="190" t="s">
        <v>223</v>
      </c>
      <c r="C166" s="190" t="s">
        <v>223</v>
      </c>
      <c r="D166" s="190" t="s">
        <v>223</v>
      </c>
      <c r="E166" s="190" t="s">
        <v>223</v>
      </c>
    </row>
    <row r="167" spans="1:5" ht="15.75" x14ac:dyDescent="0.25">
      <c r="A167" s="191">
        <v>61474</v>
      </c>
      <c r="B167" s="190" t="s">
        <v>223</v>
      </c>
      <c r="C167" s="190" t="s">
        <v>223</v>
      </c>
      <c r="D167" s="190" t="s">
        <v>223</v>
      </c>
      <c r="E167" s="190" t="s">
        <v>223</v>
      </c>
    </row>
    <row r="168" spans="1:5" ht="15.75" x14ac:dyDescent="0.25">
      <c r="A168" s="191">
        <v>61475</v>
      </c>
      <c r="B168" s="190" t="s">
        <v>224</v>
      </c>
      <c r="C168" s="190" t="s">
        <v>224</v>
      </c>
      <c r="D168" s="190" t="s">
        <v>224</v>
      </c>
      <c r="E168" s="190" t="s">
        <v>224</v>
      </c>
    </row>
    <row r="169" spans="1:5" ht="15.75" x14ac:dyDescent="0.25">
      <c r="A169" s="191">
        <v>61476</v>
      </c>
      <c r="B169" s="190" t="s">
        <v>223</v>
      </c>
      <c r="C169" s="190" t="s">
        <v>223</v>
      </c>
      <c r="D169" s="190" t="s">
        <v>223</v>
      </c>
      <c r="E169" s="190" t="s">
        <v>223</v>
      </c>
    </row>
    <row r="170" spans="1:5" ht="15.75" x14ac:dyDescent="0.25">
      <c r="A170" s="191">
        <v>61477</v>
      </c>
      <c r="B170" s="190" t="s">
        <v>224</v>
      </c>
      <c r="C170" s="190" t="s">
        <v>224</v>
      </c>
      <c r="D170" s="190" t="s">
        <v>224</v>
      </c>
      <c r="E170" s="190" t="s">
        <v>224</v>
      </c>
    </row>
    <row r="171" spans="1:5" ht="15.75" x14ac:dyDescent="0.25">
      <c r="A171" s="191">
        <v>61478</v>
      </c>
      <c r="B171" s="190" t="s">
        <v>223</v>
      </c>
      <c r="C171" s="190" t="s">
        <v>223</v>
      </c>
      <c r="D171" s="190" t="s">
        <v>223</v>
      </c>
      <c r="E171" s="190" t="s">
        <v>223</v>
      </c>
    </row>
    <row r="172" spans="1:5" ht="15.75" x14ac:dyDescent="0.25">
      <c r="A172" s="191">
        <v>61479</v>
      </c>
      <c r="B172" s="190" t="s">
        <v>223</v>
      </c>
      <c r="C172" s="190" t="s">
        <v>223</v>
      </c>
      <c r="D172" s="190" t="s">
        <v>223</v>
      </c>
      <c r="E172" s="190" t="s">
        <v>223</v>
      </c>
    </row>
    <row r="173" spans="1:5" ht="15.75" x14ac:dyDescent="0.25">
      <c r="A173" s="191">
        <v>61480</v>
      </c>
      <c r="B173" s="190" t="s">
        <v>223</v>
      </c>
      <c r="C173" s="190" t="s">
        <v>223</v>
      </c>
      <c r="D173" s="190" t="s">
        <v>223</v>
      </c>
      <c r="E173" s="190" t="s">
        <v>223</v>
      </c>
    </row>
    <row r="174" spans="1:5" ht="15.75" x14ac:dyDescent="0.25">
      <c r="A174" s="191">
        <v>61482</v>
      </c>
      <c r="B174" s="190" t="s">
        <v>224</v>
      </c>
      <c r="C174" s="190" t="s">
        <v>224</v>
      </c>
      <c r="D174" s="190" t="s">
        <v>224</v>
      </c>
      <c r="E174" s="190" t="s">
        <v>224</v>
      </c>
    </row>
    <row r="175" spans="1:5" ht="15.75" x14ac:dyDescent="0.25">
      <c r="A175" s="191">
        <v>61483</v>
      </c>
      <c r="B175" s="190" t="s">
        <v>223</v>
      </c>
      <c r="C175" s="190" t="s">
        <v>223</v>
      </c>
      <c r="D175" s="190" t="s">
        <v>223</v>
      </c>
      <c r="E175" s="190" t="s">
        <v>223</v>
      </c>
    </row>
    <row r="176" spans="1:5" ht="15.75" x14ac:dyDescent="0.25">
      <c r="A176" s="191">
        <v>61484</v>
      </c>
      <c r="B176" s="190" t="s">
        <v>224</v>
      </c>
      <c r="C176" s="190" t="s">
        <v>224</v>
      </c>
      <c r="D176" s="190" t="s">
        <v>224</v>
      </c>
      <c r="E176" s="190" t="s">
        <v>224</v>
      </c>
    </row>
    <row r="177" spans="1:5" ht="15.75" x14ac:dyDescent="0.25">
      <c r="A177" s="191">
        <v>61485</v>
      </c>
      <c r="B177" s="190" t="s">
        <v>223</v>
      </c>
      <c r="C177" s="190" t="s">
        <v>223</v>
      </c>
      <c r="D177" s="190" t="s">
        <v>223</v>
      </c>
      <c r="E177" s="190" t="s">
        <v>223</v>
      </c>
    </row>
    <row r="178" spans="1:5" ht="15.75" x14ac:dyDescent="0.25">
      <c r="A178" s="191">
        <v>61486</v>
      </c>
      <c r="B178" s="190" t="s">
        <v>223</v>
      </c>
      <c r="C178" s="190" t="s">
        <v>223</v>
      </c>
      <c r="D178" s="190" t="s">
        <v>223</v>
      </c>
      <c r="E178" s="190" t="s">
        <v>223</v>
      </c>
    </row>
    <row r="179" spans="1:5" ht="15.75" x14ac:dyDescent="0.25">
      <c r="A179" s="191">
        <v>61488</v>
      </c>
      <c r="B179" s="190" t="s">
        <v>223</v>
      </c>
      <c r="C179" s="190" t="s">
        <v>223</v>
      </c>
      <c r="D179" s="190" t="s">
        <v>223</v>
      </c>
      <c r="E179" s="190" t="s">
        <v>223</v>
      </c>
    </row>
    <row r="180" spans="1:5" ht="15.75" x14ac:dyDescent="0.25">
      <c r="A180" s="191">
        <v>61489</v>
      </c>
      <c r="B180" s="190" t="s">
        <v>223</v>
      </c>
      <c r="C180" s="190" t="s">
        <v>223</v>
      </c>
      <c r="D180" s="190" t="s">
        <v>223</v>
      </c>
      <c r="E180" s="190" t="s">
        <v>223</v>
      </c>
    </row>
    <row r="181" spans="1:5" ht="15.75" x14ac:dyDescent="0.25">
      <c r="A181" s="191">
        <v>61490</v>
      </c>
      <c r="B181" s="190" t="s">
        <v>223</v>
      </c>
      <c r="C181" s="190" t="s">
        <v>223</v>
      </c>
      <c r="D181" s="190" t="s">
        <v>223</v>
      </c>
      <c r="E181" s="190" t="s">
        <v>223</v>
      </c>
    </row>
    <row r="182" spans="1:5" ht="15.75" x14ac:dyDescent="0.25">
      <c r="A182" s="191">
        <v>61491</v>
      </c>
      <c r="B182" s="190" t="s">
        <v>223</v>
      </c>
      <c r="C182" s="190" t="s">
        <v>223</v>
      </c>
      <c r="D182" s="190" t="s">
        <v>223</v>
      </c>
      <c r="E182" s="190" t="s">
        <v>223</v>
      </c>
    </row>
    <row r="183" spans="1:5" ht="15.75" x14ac:dyDescent="0.25">
      <c r="A183" s="191">
        <v>61501</v>
      </c>
      <c r="B183" s="190" t="s">
        <v>224</v>
      </c>
      <c r="C183" s="190" t="s">
        <v>224</v>
      </c>
      <c r="D183" s="190" t="s">
        <v>224</v>
      </c>
      <c r="E183" s="190" t="s">
        <v>224</v>
      </c>
    </row>
    <row r="184" spans="1:5" ht="15.75" x14ac:dyDescent="0.25">
      <c r="A184" s="191">
        <v>61516</v>
      </c>
      <c r="B184" s="190" t="s">
        <v>223</v>
      </c>
      <c r="C184" s="190" t="s">
        <v>223</v>
      </c>
      <c r="D184" s="190" t="s">
        <v>223</v>
      </c>
      <c r="E184" s="190" t="s">
        <v>223</v>
      </c>
    </row>
    <row r="185" spans="1:5" ht="15.75" x14ac:dyDescent="0.25">
      <c r="A185" s="191">
        <v>61517</v>
      </c>
      <c r="B185" s="190" t="s">
        <v>223</v>
      </c>
      <c r="C185" s="190" t="s">
        <v>223</v>
      </c>
      <c r="D185" s="190" t="s">
        <v>223</v>
      </c>
      <c r="E185" s="190" t="s">
        <v>223</v>
      </c>
    </row>
    <row r="186" spans="1:5" ht="15.75" x14ac:dyDescent="0.25">
      <c r="A186" s="191">
        <v>61519</v>
      </c>
      <c r="B186" s="190" t="s">
        <v>224</v>
      </c>
      <c r="C186" s="190" t="s">
        <v>224</v>
      </c>
      <c r="D186" s="190" t="s">
        <v>224</v>
      </c>
      <c r="E186" s="190" t="s">
        <v>224</v>
      </c>
    </row>
    <row r="187" spans="1:5" ht="15.75" x14ac:dyDescent="0.25">
      <c r="A187" s="191">
        <v>61520</v>
      </c>
      <c r="B187" s="190" t="s">
        <v>224</v>
      </c>
      <c r="C187" s="190" t="s">
        <v>224</v>
      </c>
      <c r="D187" s="190" t="s">
        <v>224</v>
      </c>
      <c r="E187" s="190" t="s">
        <v>224</v>
      </c>
    </row>
    <row r="188" spans="1:5" ht="15.75" x14ac:dyDescent="0.25">
      <c r="A188" s="191">
        <v>61523</v>
      </c>
      <c r="B188" s="190" t="s">
        <v>223</v>
      </c>
      <c r="C188" s="190" t="s">
        <v>223</v>
      </c>
      <c r="D188" s="190" t="s">
        <v>223</v>
      </c>
      <c r="E188" s="190" t="s">
        <v>223</v>
      </c>
    </row>
    <row r="189" spans="1:5" ht="15.75" x14ac:dyDescent="0.25">
      <c r="A189" s="191">
        <v>61524</v>
      </c>
      <c r="B189" s="190" t="s">
        <v>224</v>
      </c>
      <c r="C189" s="190" t="s">
        <v>224</v>
      </c>
      <c r="D189" s="190" t="s">
        <v>224</v>
      </c>
      <c r="E189" s="190" t="s">
        <v>224</v>
      </c>
    </row>
    <row r="190" spans="1:5" ht="15.75" x14ac:dyDescent="0.25">
      <c r="A190" s="191">
        <v>61525</v>
      </c>
      <c r="B190" s="190" t="s">
        <v>223</v>
      </c>
      <c r="C190" s="190" t="s">
        <v>223</v>
      </c>
      <c r="D190" s="190" t="s">
        <v>223</v>
      </c>
      <c r="E190" s="190" t="s">
        <v>223</v>
      </c>
    </row>
    <row r="191" spans="1:5" ht="15.75" x14ac:dyDescent="0.25">
      <c r="A191" s="191">
        <v>61526</v>
      </c>
      <c r="B191" s="190" t="s">
        <v>223</v>
      </c>
      <c r="C191" s="190" t="s">
        <v>223</v>
      </c>
      <c r="D191" s="190" t="s">
        <v>223</v>
      </c>
      <c r="E191" s="190" t="s">
        <v>223</v>
      </c>
    </row>
    <row r="192" spans="1:5" ht="15.75" x14ac:dyDescent="0.25">
      <c r="A192" s="191">
        <v>61528</v>
      </c>
      <c r="B192" s="190" t="s">
        <v>223</v>
      </c>
      <c r="C192" s="190" t="s">
        <v>223</v>
      </c>
      <c r="D192" s="190" t="s">
        <v>223</v>
      </c>
      <c r="E192" s="190" t="s">
        <v>223</v>
      </c>
    </row>
    <row r="193" spans="1:5" ht="15.75" x14ac:dyDescent="0.25">
      <c r="A193" s="191">
        <v>61529</v>
      </c>
      <c r="B193" s="190" t="s">
        <v>223</v>
      </c>
      <c r="C193" s="190" t="s">
        <v>223</v>
      </c>
      <c r="D193" s="190" t="s">
        <v>223</v>
      </c>
      <c r="E193" s="190" t="s">
        <v>223</v>
      </c>
    </row>
    <row r="194" spans="1:5" ht="15.75" x14ac:dyDescent="0.25">
      <c r="A194" s="191">
        <v>61530</v>
      </c>
      <c r="B194" s="190" t="s">
        <v>223</v>
      </c>
      <c r="C194" s="190" t="s">
        <v>223</v>
      </c>
      <c r="D194" s="190" t="s">
        <v>223</v>
      </c>
      <c r="E194" s="190" t="s">
        <v>223</v>
      </c>
    </row>
    <row r="195" spans="1:5" ht="15.75" x14ac:dyDescent="0.25">
      <c r="A195" s="191">
        <v>61531</v>
      </c>
      <c r="B195" s="190" t="s">
        <v>224</v>
      </c>
      <c r="C195" s="190" t="s">
        <v>224</v>
      </c>
      <c r="D195" s="190" t="s">
        <v>224</v>
      </c>
      <c r="E195" s="190" t="s">
        <v>224</v>
      </c>
    </row>
    <row r="196" spans="1:5" ht="15.75" x14ac:dyDescent="0.25">
      <c r="A196" s="191">
        <v>61532</v>
      </c>
      <c r="B196" s="190" t="s">
        <v>224</v>
      </c>
      <c r="C196" s="190" t="s">
        <v>224</v>
      </c>
      <c r="D196" s="190" t="s">
        <v>224</v>
      </c>
      <c r="E196" s="190" t="s">
        <v>224</v>
      </c>
    </row>
    <row r="197" spans="1:5" ht="15.75" x14ac:dyDescent="0.25">
      <c r="A197" s="191">
        <v>61533</v>
      </c>
      <c r="B197" s="190" t="s">
        <v>223</v>
      </c>
      <c r="C197" s="190" t="s">
        <v>223</v>
      </c>
      <c r="D197" s="190" t="s">
        <v>223</v>
      </c>
      <c r="E197" s="190" t="s">
        <v>223</v>
      </c>
    </row>
    <row r="198" spans="1:5" ht="15.75" x14ac:dyDescent="0.25">
      <c r="A198" s="191">
        <v>61534</v>
      </c>
      <c r="B198" s="190" t="s">
        <v>224</v>
      </c>
      <c r="C198" s="190" t="s">
        <v>224</v>
      </c>
      <c r="D198" s="190" t="s">
        <v>224</v>
      </c>
      <c r="E198" s="190" t="s">
        <v>224</v>
      </c>
    </row>
    <row r="199" spans="1:5" ht="15.75" x14ac:dyDescent="0.25">
      <c r="A199" s="191">
        <v>61535</v>
      </c>
      <c r="B199" s="190" t="s">
        <v>224</v>
      </c>
      <c r="C199" s="190" t="s">
        <v>224</v>
      </c>
      <c r="D199" s="190" t="s">
        <v>224</v>
      </c>
      <c r="E199" s="190" t="s">
        <v>224</v>
      </c>
    </row>
    <row r="200" spans="1:5" ht="15.75" x14ac:dyDescent="0.25">
      <c r="A200" s="191">
        <v>61536</v>
      </c>
      <c r="B200" s="190" t="s">
        <v>223</v>
      </c>
      <c r="C200" s="190" t="s">
        <v>223</v>
      </c>
      <c r="D200" s="190" t="s">
        <v>223</v>
      </c>
      <c r="E200" s="190" t="s">
        <v>223</v>
      </c>
    </row>
    <row r="201" spans="1:5" ht="15.75" x14ac:dyDescent="0.25">
      <c r="A201" s="191">
        <v>61537</v>
      </c>
      <c r="B201" s="190" t="s">
        <v>223</v>
      </c>
      <c r="C201" s="190" t="s">
        <v>223</v>
      </c>
      <c r="D201" s="190" t="s">
        <v>223</v>
      </c>
      <c r="E201" s="190" t="s">
        <v>223</v>
      </c>
    </row>
    <row r="202" spans="1:5" ht="15.75" x14ac:dyDescent="0.25">
      <c r="A202" s="191">
        <v>61539</v>
      </c>
      <c r="B202" s="190" t="s">
        <v>223</v>
      </c>
      <c r="C202" s="190" t="s">
        <v>223</v>
      </c>
      <c r="D202" s="190" t="s">
        <v>223</v>
      </c>
      <c r="E202" s="190" t="s">
        <v>223</v>
      </c>
    </row>
    <row r="203" spans="1:5" ht="15.75" x14ac:dyDescent="0.25">
      <c r="A203" s="191">
        <v>61540</v>
      </c>
      <c r="B203" s="190" t="s">
        <v>223</v>
      </c>
      <c r="C203" s="190" t="s">
        <v>223</v>
      </c>
      <c r="D203" s="190" t="s">
        <v>223</v>
      </c>
      <c r="E203" s="190" t="s">
        <v>223</v>
      </c>
    </row>
    <row r="204" spans="1:5" ht="15.75" x14ac:dyDescent="0.25">
      <c r="A204" s="191">
        <v>61541</v>
      </c>
      <c r="B204" s="190" t="s">
        <v>223</v>
      </c>
      <c r="C204" s="190" t="s">
        <v>223</v>
      </c>
      <c r="D204" s="190" t="s">
        <v>223</v>
      </c>
      <c r="E204" s="190" t="s">
        <v>223</v>
      </c>
    </row>
    <row r="205" spans="1:5" ht="15.75" x14ac:dyDescent="0.25">
      <c r="A205" s="191">
        <v>61542</v>
      </c>
      <c r="B205" s="190" t="s">
        <v>224</v>
      </c>
      <c r="C205" s="190" t="s">
        <v>224</v>
      </c>
      <c r="D205" s="190" t="s">
        <v>224</v>
      </c>
      <c r="E205" s="190" t="s">
        <v>224</v>
      </c>
    </row>
    <row r="206" spans="1:5" ht="15.75" x14ac:dyDescent="0.25">
      <c r="A206" s="191">
        <v>61543</v>
      </c>
      <c r="B206" s="190" t="s">
        <v>224</v>
      </c>
      <c r="C206" s="190" t="s">
        <v>224</v>
      </c>
      <c r="D206" s="190" t="s">
        <v>224</v>
      </c>
      <c r="E206" s="190" t="s">
        <v>224</v>
      </c>
    </row>
    <row r="207" spans="1:5" ht="15.75" x14ac:dyDescent="0.25">
      <c r="A207" s="191">
        <v>61544</v>
      </c>
      <c r="B207" s="190" t="s">
        <v>224</v>
      </c>
      <c r="C207" s="190" t="s">
        <v>224</v>
      </c>
      <c r="D207" s="190" t="s">
        <v>224</v>
      </c>
      <c r="E207" s="190" t="s">
        <v>224</v>
      </c>
    </row>
    <row r="208" spans="1:5" ht="15.75" x14ac:dyDescent="0.25">
      <c r="A208" s="191">
        <v>61545</v>
      </c>
      <c r="B208" s="190" t="s">
        <v>223</v>
      </c>
      <c r="C208" s="190" t="s">
        <v>223</v>
      </c>
      <c r="D208" s="190" t="s">
        <v>223</v>
      </c>
      <c r="E208" s="190" t="s">
        <v>223</v>
      </c>
    </row>
    <row r="209" spans="1:5" ht="15.75" x14ac:dyDescent="0.25">
      <c r="A209" s="191">
        <v>61546</v>
      </c>
      <c r="B209" s="190" t="s">
        <v>224</v>
      </c>
      <c r="C209" s="190" t="s">
        <v>224</v>
      </c>
      <c r="D209" s="190" t="s">
        <v>224</v>
      </c>
      <c r="E209" s="190" t="s">
        <v>224</v>
      </c>
    </row>
    <row r="210" spans="1:5" ht="15.75" x14ac:dyDescent="0.25">
      <c r="A210" s="191">
        <v>61547</v>
      </c>
      <c r="B210" s="190" t="s">
        <v>223</v>
      </c>
      <c r="C210" s="190" t="s">
        <v>223</v>
      </c>
      <c r="D210" s="190" t="s">
        <v>223</v>
      </c>
      <c r="E210" s="190" t="s">
        <v>223</v>
      </c>
    </row>
    <row r="211" spans="1:5" ht="15.75" x14ac:dyDescent="0.25">
      <c r="A211" s="191">
        <v>61548</v>
      </c>
      <c r="B211" s="190" t="s">
        <v>223</v>
      </c>
      <c r="C211" s="190" t="s">
        <v>223</v>
      </c>
      <c r="D211" s="190" t="s">
        <v>223</v>
      </c>
      <c r="E211" s="190" t="s">
        <v>223</v>
      </c>
    </row>
    <row r="212" spans="1:5" ht="15.75" x14ac:dyDescent="0.25">
      <c r="A212" s="191">
        <v>61550</v>
      </c>
      <c r="B212" s="190" t="s">
        <v>224</v>
      </c>
      <c r="C212" s="190" t="s">
        <v>224</v>
      </c>
      <c r="D212" s="190" t="s">
        <v>224</v>
      </c>
      <c r="E212" s="190" t="s">
        <v>224</v>
      </c>
    </row>
    <row r="213" spans="1:5" ht="15.75" x14ac:dyDescent="0.25">
      <c r="A213" s="191">
        <v>61552</v>
      </c>
      <c r="B213" s="190" t="s">
        <v>223</v>
      </c>
      <c r="C213" s="190" t="s">
        <v>223</v>
      </c>
      <c r="D213" s="190" t="s">
        <v>223</v>
      </c>
      <c r="E213" s="190" t="s">
        <v>223</v>
      </c>
    </row>
    <row r="214" spans="1:5" ht="15.75" x14ac:dyDescent="0.25">
      <c r="A214" s="191">
        <v>61553</v>
      </c>
      <c r="B214" s="190" t="s">
        <v>224</v>
      </c>
      <c r="C214" s="190" t="s">
        <v>224</v>
      </c>
      <c r="D214" s="190" t="s">
        <v>224</v>
      </c>
      <c r="E214" s="190" t="s">
        <v>224</v>
      </c>
    </row>
    <row r="215" spans="1:5" ht="15.75" x14ac:dyDescent="0.25">
      <c r="A215" s="191">
        <v>61554</v>
      </c>
      <c r="B215" s="190" t="s">
        <v>224</v>
      </c>
      <c r="C215" s="190" t="s">
        <v>224</v>
      </c>
      <c r="D215" s="190" t="s">
        <v>224</v>
      </c>
      <c r="E215" s="190" t="s">
        <v>224</v>
      </c>
    </row>
    <row r="216" spans="1:5" ht="15.75" x14ac:dyDescent="0.25">
      <c r="A216" s="191">
        <v>61555</v>
      </c>
      <c r="B216" s="190" t="s">
        <v>224</v>
      </c>
      <c r="C216" s="190" t="s">
        <v>224</v>
      </c>
      <c r="D216" s="190" t="s">
        <v>224</v>
      </c>
      <c r="E216" s="190" t="s">
        <v>224</v>
      </c>
    </row>
    <row r="217" spans="1:5" ht="15.75" x14ac:dyDescent="0.25">
      <c r="A217" s="191">
        <v>61559</v>
      </c>
      <c r="B217" s="190" t="s">
        <v>223</v>
      </c>
      <c r="C217" s="190" t="s">
        <v>223</v>
      </c>
      <c r="D217" s="190" t="s">
        <v>223</v>
      </c>
      <c r="E217" s="190" t="s">
        <v>223</v>
      </c>
    </row>
    <row r="218" spans="1:5" ht="15.75" x14ac:dyDescent="0.25">
      <c r="A218" s="191">
        <v>61560</v>
      </c>
      <c r="B218" s="190" t="s">
        <v>223</v>
      </c>
      <c r="C218" s="190" t="s">
        <v>223</v>
      </c>
      <c r="D218" s="190" t="s">
        <v>223</v>
      </c>
      <c r="E218" s="190" t="s">
        <v>223</v>
      </c>
    </row>
    <row r="219" spans="1:5" ht="15.75" x14ac:dyDescent="0.25">
      <c r="A219" s="191">
        <v>61561</v>
      </c>
      <c r="B219" s="190" t="s">
        <v>223</v>
      </c>
      <c r="C219" s="190" t="s">
        <v>223</v>
      </c>
      <c r="D219" s="190" t="s">
        <v>223</v>
      </c>
      <c r="E219" s="190" t="s">
        <v>223</v>
      </c>
    </row>
    <row r="220" spans="1:5" ht="15.75" x14ac:dyDescent="0.25">
      <c r="A220" s="191">
        <v>61563</v>
      </c>
      <c r="B220" s="190" t="s">
        <v>224</v>
      </c>
      <c r="C220" s="190" t="s">
        <v>224</v>
      </c>
      <c r="D220" s="190" t="s">
        <v>224</v>
      </c>
      <c r="E220" s="190" t="s">
        <v>224</v>
      </c>
    </row>
    <row r="221" spans="1:5" ht="15.75" x14ac:dyDescent="0.25">
      <c r="A221" s="191">
        <v>61564</v>
      </c>
      <c r="B221" s="190" t="s">
        <v>224</v>
      </c>
      <c r="C221" s="190" t="s">
        <v>224</v>
      </c>
      <c r="D221" s="190" t="s">
        <v>224</v>
      </c>
      <c r="E221" s="190" t="s">
        <v>224</v>
      </c>
    </row>
    <row r="222" spans="1:5" ht="15.75" x14ac:dyDescent="0.25">
      <c r="A222" s="191">
        <v>61565</v>
      </c>
      <c r="B222" s="190" t="s">
        <v>223</v>
      </c>
      <c r="C222" s="190" t="s">
        <v>223</v>
      </c>
      <c r="D222" s="190" t="s">
        <v>223</v>
      </c>
      <c r="E222" s="190" t="s">
        <v>223</v>
      </c>
    </row>
    <row r="223" spans="1:5" ht="15.75" x14ac:dyDescent="0.25">
      <c r="A223" s="191">
        <v>61567</v>
      </c>
      <c r="B223" s="190" t="s">
        <v>224</v>
      </c>
      <c r="C223" s="190" t="s">
        <v>224</v>
      </c>
      <c r="D223" s="190" t="s">
        <v>224</v>
      </c>
      <c r="E223" s="190" t="s">
        <v>224</v>
      </c>
    </row>
    <row r="224" spans="1:5" ht="15.75" x14ac:dyDescent="0.25">
      <c r="A224" s="191">
        <v>61568</v>
      </c>
      <c r="B224" s="190" t="s">
        <v>224</v>
      </c>
      <c r="C224" s="190" t="s">
        <v>224</v>
      </c>
      <c r="D224" s="190" t="s">
        <v>224</v>
      </c>
      <c r="E224" s="190" t="s">
        <v>224</v>
      </c>
    </row>
    <row r="225" spans="1:5" ht="15.75" x14ac:dyDescent="0.25">
      <c r="A225" s="191">
        <v>61569</v>
      </c>
      <c r="B225" s="190" t="s">
        <v>223</v>
      </c>
      <c r="C225" s="190" t="s">
        <v>223</v>
      </c>
      <c r="D225" s="190" t="s">
        <v>223</v>
      </c>
      <c r="E225" s="190" t="s">
        <v>223</v>
      </c>
    </row>
    <row r="226" spans="1:5" ht="15.75" x14ac:dyDescent="0.25">
      <c r="A226" s="191">
        <v>61570</v>
      </c>
      <c r="B226" s="190" t="s">
        <v>223</v>
      </c>
      <c r="C226" s="190" t="s">
        <v>223</v>
      </c>
      <c r="D226" s="190" t="s">
        <v>223</v>
      </c>
      <c r="E226" s="190" t="s">
        <v>223</v>
      </c>
    </row>
    <row r="227" spans="1:5" ht="15.75" x14ac:dyDescent="0.25">
      <c r="A227" s="191">
        <v>61571</v>
      </c>
      <c r="B227" s="190" t="s">
        <v>224</v>
      </c>
      <c r="C227" s="190" t="s">
        <v>224</v>
      </c>
      <c r="D227" s="190" t="s">
        <v>224</v>
      </c>
      <c r="E227" s="190" t="s">
        <v>224</v>
      </c>
    </row>
    <row r="228" spans="1:5" ht="15.75" x14ac:dyDescent="0.25">
      <c r="A228" s="191">
        <v>61572</v>
      </c>
      <c r="B228" s="190" t="s">
        <v>223</v>
      </c>
      <c r="C228" s="190" t="s">
        <v>223</v>
      </c>
      <c r="D228" s="190" t="s">
        <v>223</v>
      </c>
      <c r="E228" s="190" t="s">
        <v>223</v>
      </c>
    </row>
    <row r="229" spans="1:5" ht="15.75" x14ac:dyDescent="0.25">
      <c r="A229" s="191">
        <v>61601</v>
      </c>
      <c r="B229" s="190" t="s">
        <v>223</v>
      </c>
      <c r="C229" s="190" t="s">
        <v>223</v>
      </c>
      <c r="D229" s="190" t="s">
        <v>223</v>
      </c>
      <c r="E229" s="190" t="s">
        <v>223</v>
      </c>
    </row>
    <row r="230" spans="1:5" ht="15.75" x14ac:dyDescent="0.25">
      <c r="A230" s="191">
        <v>61602</v>
      </c>
      <c r="B230" s="190" t="s">
        <v>223</v>
      </c>
      <c r="C230" s="190" t="s">
        <v>223</v>
      </c>
      <c r="D230" s="190" t="s">
        <v>223</v>
      </c>
      <c r="E230" s="190" t="s">
        <v>223</v>
      </c>
    </row>
    <row r="231" spans="1:5" ht="15.75" x14ac:dyDescent="0.25">
      <c r="A231" s="191">
        <v>61603</v>
      </c>
      <c r="B231" s="190" t="s">
        <v>223</v>
      </c>
      <c r="C231" s="190" t="s">
        <v>223</v>
      </c>
      <c r="D231" s="190" t="s">
        <v>223</v>
      </c>
      <c r="E231" s="190" t="s">
        <v>223</v>
      </c>
    </row>
    <row r="232" spans="1:5" ht="15.75" x14ac:dyDescent="0.25">
      <c r="A232" s="191">
        <v>61604</v>
      </c>
      <c r="B232" s="190" t="s">
        <v>223</v>
      </c>
      <c r="C232" s="190" t="s">
        <v>223</v>
      </c>
      <c r="D232" s="190" t="s">
        <v>223</v>
      </c>
      <c r="E232" s="190" t="s">
        <v>223</v>
      </c>
    </row>
    <row r="233" spans="1:5" ht="15.75" x14ac:dyDescent="0.25">
      <c r="A233" s="191">
        <v>61605</v>
      </c>
      <c r="B233" s="190" t="s">
        <v>223</v>
      </c>
      <c r="C233" s="190" t="s">
        <v>223</v>
      </c>
      <c r="D233" s="190" t="s">
        <v>223</v>
      </c>
      <c r="E233" s="190" t="s">
        <v>223</v>
      </c>
    </row>
    <row r="234" spans="1:5" ht="15.75" x14ac:dyDescent="0.25">
      <c r="A234" s="191">
        <v>61606</v>
      </c>
      <c r="B234" s="190" t="s">
        <v>223</v>
      </c>
      <c r="C234" s="190" t="s">
        <v>223</v>
      </c>
      <c r="D234" s="190" t="s">
        <v>223</v>
      </c>
      <c r="E234" s="190" t="s">
        <v>223</v>
      </c>
    </row>
    <row r="235" spans="1:5" ht="15.75" x14ac:dyDescent="0.25">
      <c r="A235" s="191">
        <v>61607</v>
      </c>
      <c r="B235" s="190" t="s">
        <v>223</v>
      </c>
      <c r="C235" s="190" t="s">
        <v>223</v>
      </c>
      <c r="D235" s="190" t="s">
        <v>223</v>
      </c>
      <c r="E235" s="190" t="s">
        <v>223</v>
      </c>
    </row>
    <row r="236" spans="1:5" ht="15.75" x14ac:dyDescent="0.25">
      <c r="A236" s="191">
        <v>61610</v>
      </c>
      <c r="B236" s="190" t="s">
        <v>224</v>
      </c>
      <c r="C236" s="190" t="s">
        <v>224</v>
      </c>
      <c r="D236" s="190" t="s">
        <v>224</v>
      </c>
      <c r="E236" s="190" t="s">
        <v>224</v>
      </c>
    </row>
    <row r="237" spans="1:5" ht="15.75" x14ac:dyDescent="0.25">
      <c r="A237" s="191">
        <v>61611</v>
      </c>
      <c r="B237" s="190" t="s">
        <v>224</v>
      </c>
      <c r="C237" s="190" t="s">
        <v>224</v>
      </c>
      <c r="D237" s="190" t="s">
        <v>224</v>
      </c>
      <c r="E237" s="190" t="s">
        <v>224</v>
      </c>
    </row>
    <row r="238" spans="1:5" ht="15.75" x14ac:dyDescent="0.25">
      <c r="A238" s="191">
        <v>61612</v>
      </c>
      <c r="B238" s="190" t="s">
        <v>223</v>
      </c>
      <c r="C238" s="190" t="s">
        <v>223</v>
      </c>
      <c r="D238" s="190" t="s">
        <v>223</v>
      </c>
      <c r="E238" s="190" t="s">
        <v>223</v>
      </c>
    </row>
    <row r="239" spans="1:5" ht="15.75" x14ac:dyDescent="0.25">
      <c r="A239" s="191">
        <v>61613</v>
      </c>
      <c r="B239" s="190" t="s">
        <v>223</v>
      </c>
      <c r="C239" s="190" t="s">
        <v>223</v>
      </c>
      <c r="D239" s="190" t="s">
        <v>223</v>
      </c>
      <c r="E239" s="190" t="s">
        <v>223</v>
      </c>
    </row>
    <row r="240" spans="1:5" ht="15.75" x14ac:dyDescent="0.25">
      <c r="A240" s="191">
        <v>61614</v>
      </c>
      <c r="B240" s="190" t="s">
        <v>223</v>
      </c>
      <c r="C240" s="190" t="s">
        <v>223</v>
      </c>
      <c r="D240" s="190" t="s">
        <v>223</v>
      </c>
      <c r="E240" s="190" t="s">
        <v>223</v>
      </c>
    </row>
    <row r="241" spans="1:5" ht="15.75" x14ac:dyDescent="0.25">
      <c r="A241" s="191">
        <v>61615</v>
      </c>
      <c r="B241" s="190" t="s">
        <v>223</v>
      </c>
      <c r="C241" s="190" t="s">
        <v>223</v>
      </c>
      <c r="D241" s="190" t="s">
        <v>223</v>
      </c>
      <c r="E241" s="190" t="s">
        <v>223</v>
      </c>
    </row>
    <row r="242" spans="1:5" ht="15.75" x14ac:dyDescent="0.25">
      <c r="A242" s="191">
        <v>61616</v>
      </c>
      <c r="B242" s="190" t="s">
        <v>223</v>
      </c>
      <c r="C242" s="190" t="s">
        <v>223</v>
      </c>
      <c r="D242" s="190" t="s">
        <v>223</v>
      </c>
      <c r="E242" s="190" t="s">
        <v>223</v>
      </c>
    </row>
    <row r="243" spans="1:5" ht="15.75" x14ac:dyDescent="0.25">
      <c r="A243" s="191">
        <v>61625</v>
      </c>
      <c r="B243" s="190" t="s">
        <v>223</v>
      </c>
      <c r="C243" s="190" t="s">
        <v>223</v>
      </c>
      <c r="D243" s="190" t="s">
        <v>223</v>
      </c>
      <c r="E243" s="190" t="s">
        <v>223</v>
      </c>
    </row>
    <row r="244" spans="1:5" ht="15.75" x14ac:dyDescent="0.25">
      <c r="A244" s="191">
        <v>61629</v>
      </c>
      <c r="B244" s="190" t="s">
        <v>223</v>
      </c>
      <c r="C244" s="190" t="s">
        <v>223</v>
      </c>
      <c r="D244" s="190" t="s">
        <v>223</v>
      </c>
      <c r="E244" s="190" t="s">
        <v>223</v>
      </c>
    </row>
    <row r="245" spans="1:5" ht="15.75" x14ac:dyDescent="0.25">
      <c r="A245" s="191">
        <v>61630</v>
      </c>
      <c r="B245" s="190" t="s">
        <v>223</v>
      </c>
      <c r="C245" s="190" t="s">
        <v>223</v>
      </c>
      <c r="D245" s="190" t="s">
        <v>223</v>
      </c>
      <c r="E245" s="190" t="s">
        <v>223</v>
      </c>
    </row>
    <row r="246" spans="1:5" ht="15.75" x14ac:dyDescent="0.25">
      <c r="A246" s="191">
        <v>61634</v>
      </c>
      <c r="B246" s="190" t="s">
        <v>223</v>
      </c>
      <c r="C246" s="190" t="s">
        <v>223</v>
      </c>
      <c r="D246" s="190" t="s">
        <v>223</v>
      </c>
      <c r="E246" s="190" t="s">
        <v>223</v>
      </c>
    </row>
    <row r="247" spans="1:5" ht="15.75" x14ac:dyDescent="0.25">
      <c r="A247" s="191">
        <v>61636</v>
      </c>
      <c r="B247" s="190" t="s">
        <v>223</v>
      </c>
      <c r="C247" s="190" t="s">
        <v>223</v>
      </c>
      <c r="D247" s="190" t="s">
        <v>223</v>
      </c>
      <c r="E247" s="190" t="s">
        <v>223</v>
      </c>
    </row>
    <row r="248" spans="1:5" ht="15.75" x14ac:dyDescent="0.25">
      <c r="A248" s="191">
        <v>61637</v>
      </c>
      <c r="B248" s="190" t="s">
        <v>223</v>
      </c>
      <c r="C248" s="190" t="s">
        <v>223</v>
      </c>
      <c r="D248" s="190" t="s">
        <v>223</v>
      </c>
      <c r="E248" s="190" t="s">
        <v>223</v>
      </c>
    </row>
    <row r="249" spans="1:5" ht="15.75" x14ac:dyDescent="0.25">
      <c r="A249" s="191">
        <v>61639</v>
      </c>
      <c r="B249" s="190" t="s">
        <v>223</v>
      </c>
      <c r="C249" s="190" t="s">
        <v>223</v>
      </c>
      <c r="D249" s="190" t="s">
        <v>223</v>
      </c>
      <c r="E249" s="190" t="s">
        <v>223</v>
      </c>
    </row>
    <row r="250" spans="1:5" ht="15.75" x14ac:dyDescent="0.25">
      <c r="A250" s="191">
        <v>61641</v>
      </c>
      <c r="B250" s="190" t="s">
        <v>223</v>
      </c>
      <c r="C250" s="190" t="s">
        <v>223</v>
      </c>
      <c r="D250" s="190" t="s">
        <v>223</v>
      </c>
      <c r="E250" s="190" t="s">
        <v>223</v>
      </c>
    </row>
    <row r="251" spans="1:5" ht="15.75" x14ac:dyDescent="0.25">
      <c r="A251" s="191">
        <v>61643</v>
      </c>
      <c r="B251" s="190" t="s">
        <v>223</v>
      </c>
      <c r="C251" s="190" t="s">
        <v>223</v>
      </c>
      <c r="D251" s="190" t="s">
        <v>223</v>
      </c>
      <c r="E251" s="190" t="s">
        <v>223</v>
      </c>
    </row>
    <row r="252" spans="1:5" ht="15.75" x14ac:dyDescent="0.25">
      <c r="A252" s="191">
        <v>61654</v>
      </c>
      <c r="B252" s="190" t="s">
        <v>223</v>
      </c>
      <c r="C252" s="190" t="s">
        <v>223</v>
      </c>
      <c r="D252" s="190" t="s">
        <v>223</v>
      </c>
      <c r="E252" s="190" t="s">
        <v>223</v>
      </c>
    </row>
    <row r="253" spans="1:5" ht="15.75" x14ac:dyDescent="0.25">
      <c r="A253" s="191">
        <v>61655</v>
      </c>
      <c r="B253" s="190" t="s">
        <v>223</v>
      </c>
      <c r="C253" s="190" t="s">
        <v>223</v>
      </c>
      <c r="D253" s="190" t="s">
        <v>223</v>
      </c>
      <c r="E253" s="190" t="s">
        <v>223</v>
      </c>
    </row>
    <row r="254" spans="1:5" ht="15.75" x14ac:dyDescent="0.25">
      <c r="A254" s="191">
        <v>61656</v>
      </c>
      <c r="B254" s="190" t="s">
        <v>223</v>
      </c>
      <c r="C254" s="190" t="s">
        <v>223</v>
      </c>
      <c r="D254" s="190" t="s">
        <v>223</v>
      </c>
      <c r="E254" s="190" t="s">
        <v>223</v>
      </c>
    </row>
    <row r="255" spans="1:5" ht="15.75" x14ac:dyDescent="0.25">
      <c r="A255" s="191">
        <v>61701</v>
      </c>
      <c r="B255" s="190" t="s">
        <v>224</v>
      </c>
      <c r="C255" s="190" t="s">
        <v>224</v>
      </c>
      <c r="D255" s="190" t="s">
        <v>224</v>
      </c>
      <c r="E255" s="190" t="s">
        <v>224</v>
      </c>
    </row>
    <row r="256" spans="1:5" ht="15.75" x14ac:dyDescent="0.25">
      <c r="A256" s="191">
        <v>61702</v>
      </c>
      <c r="B256" s="190" t="s">
        <v>224</v>
      </c>
      <c r="C256" s="190" t="s">
        <v>224</v>
      </c>
      <c r="D256" s="190" t="s">
        <v>224</v>
      </c>
      <c r="E256" s="190" t="s">
        <v>224</v>
      </c>
    </row>
    <row r="257" spans="1:5" ht="15.75" x14ac:dyDescent="0.25">
      <c r="A257" s="191">
        <v>61704</v>
      </c>
      <c r="B257" s="190" t="s">
        <v>224</v>
      </c>
      <c r="C257" s="190" t="s">
        <v>224</v>
      </c>
      <c r="D257" s="190" t="s">
        <v>224</v>
      </c>
      <c r="E257" s="190" t="s">
        <v>224</v>
      </c>
    </row>
    <row r="258" spans="1:5" ht="15.75" x14ac:dyDescent="0.25">
      <c r="A258" s="191">
        <v>61705</v>
      </c>
      <c r="B258" s="190" t="s">
        <v>224</v>
      </c>
      <c r="C258" s="190" t="s">
        <v>224</v>
      </c>
      <c r="D258" s="190" t="s">
        <v>224</v>
      </c>
      <c r="E258" s="190" t="s">
        <v>224</v>
      </c>
    </row>
    <row r="259" spans="1:5" ht="15.75" x14ac:dyDescent="0.25">
      <c r="A259" s="191">
        <v>61709</v>
      </c>
      <c r="B259" s="190" t="s">
        <v>224</v>
      </c>
      <c r="C259" s="190" t="s">
        <v>224</v>
      </c>
      <c r="D259" s="190" t="s">
        <v>224</v>
      </c>
      <c r="E259" s="190" t="s">
        <v>224</v>
      </c>
    </row>
    <row r="260" spans="1:5" ht="15.75" x14ac:dyDescent="0.25">
      <c r="A260" s="191">
        <v>61710</v>
      </c>
      <c r="B260" s="190" t="s">
        <v>224</v>
      </c>
      <c r="C260" s="190" t="s">
        <v>224</v>
      </c>
      <c r="D260" s="190" t="s">
        <v>224</v>
      </c>
      <c r="E260" s="190" t="s">
        <v>224</v>
      </c>
    </row>
    <row r="261" spans="1:5" ht="15.75" x14ac:dyDescent="0.25">
      <c r="A261" s="191">
        <v>61720</v>
      </c>
      <c r="B261" s="190" t="s">
        <v>224</v>
      </c>
      <c r="C261" s="190" t="s">
        <v>224</v>
      </c>
      <c r="D261" s="190" t="s">
        <v>224</v>
      </c>
      <c r="E261" s="190" t="s">
        <v>224</v>
      </c>
    </row>
    <row r="262" spans="1:5" ht="15.75" x14ac:dyDescent="0.25">
      <c r="A262" s="191">
        <v>61721</v>
      </c>
      <c r="B262" s="190" t="s">
        <v>224</v>
      </c>
      <c r="C262" s="190" t="s">
        <v>224</v>
      </c>
      <c r="D262" s="190" t="s">
        <v>224</v>
      </c>
      <c r="E262" s="190" t="s">
        <v>224</v>
      </c>
    </row>
    <row r="263" spans="1:5" ht="15.75" x14ac:dyDescent="0.25">
      <c r="A263" s="191">
        <v>61722</v>
      </c>
      <c r="B263" s="190" t="s">
        <v>224</v>
      </c>
      <c r="C263" s="190" t="s">
        <v>224</v>
      </c>
      <c r="D263" s="190" t="s">
        <v>224</v>
      </c>
      <c r="E263" s="190" t="s">
        <v>224</v>
      </c>
    </row>
    <row r="264" spans="1:5" ht="15.75" x14ac:dyDescent="0.25">
      <c r="A264" s="191">
        <v>61723</v>
      </c>
      <c r="B264" s="190" t="s">
        <v>224</v>
      </c>
      <c r="C264" s="190" t="s">
        <v>224</v>
      </c>
      <c r="D264" s="190" t="s">
        <v>224</v>
      </c>
      <c r="E264" s="190" t="s">
        <v>224</v>
      </c>
    </row>
    <row r="265" spans="1:5" ht="15.75" x14ac:dyDescent="0.25">
      <c r="A265" s="191">
        <v>61724</v>
      </c>
      <c r="B265" s="190" t="s">
        <v>224</v>
      </c>
      <c r="C265" s="190" t="s">
        <v>224</v>
      </c>
      <c r="D265" s="190" t="s">
        <v>224</v>
      </c>
      <c r="E265" s="190" t="s">
        <v>224</v>
      </c>
    </row>
    <row r="266" spans="1:5" ht="15.75" x14ac:dyDescent="0.25">
      <c r="A266" s="191">
        <v>61725</v>
      </c>
      <c r="B266" s="190" t="s">
        <v>224</v>
      </c>
      <c r="C266" s="190" t="s">
        <v>224</v>
      </c>
      <c r="D266" s="190" t="s">
        <v>224</v>
      </c>
      <c r="E266" s="190" t="s">
        <v>224</v>
      </c>
    </row>
    <row r="267" spans="1:5" ht="15.75" x14ac:dyDescent="0.25">
      <c r="A267" s="191">
        <v>61726</v>
      </c>
      <c r="B267" s="190" t="s">
        <v>224</v>
      </c>
      <c r="C267" s="190" t="s">
        <v>224</v>
      </c>
      <c r="D267" s="190" t="s">
        <v>224</v>
      </c>
      <c r="E267" s="190" t="s">
        <v>224</v>
      </c>
    </row>
    <row r="268" spans="1:5" ht="15.75" x14ac:dyDescent="0.25">
      <c r="A268" s="191">
        <v>61727</v>
      </c>
      <c r="B268" s="190" t="s">
        <v>224</v>
      </c>
      <c r="C268" s="190" t="s">
        <v>224</v>
      </c>
      <c r="D268" s="190" t="s">
        <v>224</v>
      </c>
      <c r="E268" s="190" t="s">
        <v>224</v>
      </c>
    </row>
    <row r="269" spans="1:5" ht="15.75" x14ac:dyDescent="0.25">
      <c r="A269" s="191">
        <v>61728</v>
      </c>
      <c r="B269" s="190" t="s">
        <v>224</v>
      </c>
      <c r="C269" s="190" t="s">
        <v>224</v>
      </c>
      <c r="D269" s="190" t="s">
        <v>224</v>
      </c>
      <c r="E269" s="190" t="s">
        <v>224</v>
      </c>
    </row>
    <row r="270" spans="1:5" ht="15.75" x14ac:dyDescent="0.25">
      <c r="A270" s="191">
        <v>61729</v>
      </c>
      <c r="B270" s="190" t="s">
        <v>223</v>
      </c>
      <c r="C270" s="190" t="s">
        <v>223</v>
      </c>
      <c r="D270" s="190" t="s">
        <v>223</v>
      </c>
      <c r="E270" s="190" t="s">
        <v>223</v>
      </c>
    </row>
    <row r="271" spans="1:5" ht="15.75" x14ac:dyDescent="0.25">
      <c r="A271" s="191">
        <v>61730</v>
      </c>
      <c r="B271" s="190" t="s">
        <v>224</v>
      </c>
      <c r="C271" s="190" t="s">
        <v>224</v>
      </c>
      <c r="D271" s="190" t="s">
        <v>224</v>
      </c>
      <c r="E271" s="190" t="s">
        <v>224</v>
      </c>
    </row>
    <row r="272" spans="1:5" ht="15.75" x14ac:dyDescent="0.25">
      <c r="A272" s="191">
        <v>61731</v>
      </c>
      <c r="B272" s="190" t="s">
        <v>224</v>
      </c>
      <c r="C272" s="190" t="s">
        <v>224</v>
      </c>
      <c r="D272" s="190" t="s">
        <v>224</v>
      </c>
      <c r="E272" s="190" t="s">
        <v>224</v>
      </c>
    </row>
    <row r="273" spans="1:5" ht="15.75" x14ac:dyDescent="0.25">
      <c r="A273" s="191">
        <v>61732</v>
      </c>
      <c r="B273" s="190" t="s">
        <v>224</v>
      </c>
      <c r="C273" s="190" t="s">
        <v>224</v>
      </c>
      <c r="D273" s="190" t="s">
        <v>224</v>
      </c>
      <c r="E273" s="190" t="s">
        <v>224</v>
      </c>
    </row>
    <row r="274" spans="1:5" ht="15.75" x14ac:dyDescent="0.25">
      <c r="A274" s="191">
        <v>61733</v>
      </c>
      <c r="B274" s="190" t="s">
        <v>224</v>
      </c>
      <c r="C274" s="190" t="s">
        <v>224</v>
      </c>
      <c r="D274" s="190" t="s">
        <v>224</v>
      </c>
      <c r="E274" s="190" t="s">
        <v>224</v>
      </c>
    </row>
    <row r="275" spans="1:5" ht="15.75" x14ac:dyDescent="0.25">
      <c r="A275" s="191">
        <v>61734</v>
      </c>
      <c r="B275" s="190" t="s">
        <v>224</v>
      </c>
      <c r="C275" s="190" t="s">
        <v>224</v>
      </c>
      <c r="D275" s="190" t="s">
        <v>224</v>
      </c>
      <c r="E275" s="190" t="s">
        <v>224</v>
      </c>
    </row>
    <row r="276" spans="1:5" ht="15.75" x14ac:dyDescent="0.25">
      <c r="A276" s="191">
        <v>61735</v>
      </c>
      <c r="B276" s="190" t="s">
        <v>224</v>
      </c>
      <c r="C276" s="190" t="s">
        <v>224</v>
      </c>
      <c r="D276" s="190" t="s">
        <v>224</v>
      </c>
      <c r="E276" s="190" t="s">
        <v>224</v>
      </c>
    </row>
    <row r="277" spans="1:5" ht="15.75" x14ac:dyDescent="0.25">
      <c r="A277" s="191">
        <v>61736</v>
      </c>
      <c r="B277" s="190" t="s">
        <v>224</v>
      </c>
      <c r="C277" s="190" t="s">
        <v>224</v>
      </c>
      <c r="D277" s="190" t="s">
        <v>224</v>
      </c>
      <c r="E277" s="190" t="s">
        <v>224</v>
      </c>
    </row>
    <row r="278" spans="1:5" ht="15.75" x14ac:dyDescent="0.25">
      <c r="A278" s="191">
        <v>61737</v>
      </c>
      <c r="B278" s="190" t="s">
        <v>224</v>
      </c>
      <c r="C278" s="190" t="s">
        <v>224</v>
      </c>
      <c r="D278" s="190" t="s">
        <v>224</v>
      </c>
      <c r="E278" s="190" t="s">
        <v>224</v>
      </c>
    </row>
    <row r="279" spans="1:5" ht="15.75" x14ac:dyDescent="0.25">
      <c r="A279" s="191">
        <v>61738</v>
      </c>
      <c r="B279" s="190" t="s">
        <v>223</v>
      </c>
      <c r="C279" s="190" t="s">
        <v>223</v>
      </c>
      <c r="D279" s="190" t="s">
        <v>223</v>
      </c>
      <c r="E279" s="190" t="s">
        <v>223</v>
      </c>
    </row>
    <row r="280" spans="1:5" ht="15.75" x14ac:dyDescent="0.25">
      <c r="A280" s="191">
        <v>61739</v>
      </c>
      <c r="B280" s="190" t="s">
        <v>223</v>
      </c>
      <c r="C280" s="190" t="s">
        <v>223</v>
      </c>
      <c r="D280" s="190" t="s">
        <v>223</v>
      </c>
      <c r="E280" s="190" t="s">
        <v>223</v>
      </c>
    </row>
    <row r="281" spans="1:5" ht="15.75" x14ac:dyDescent="0.25">
      <c r="A281" s="191">
        <v>61740</v>
      </c>
      <c r="B281" s="190" t="s">
        <v>223</v>
      </c>
      <c r="C281" s="190" t="s">
        <v>223</v>
      </c>
      <c r="D281" s="190" t="s">
        <v>223</v>
      </c>
      <c r="E281" s="190" t="s">
        <v>223</v>
      </c>
    </row>
    <row r="282" spans="1:5" ht="15.75" x14ac:dyDescent="0.25">
      <c r="A282" s="191">
        <v>61741</v>
      </c>
      <c r="B282" s="190" t="s">
        <v>223</v>
      </c>
      <c r="C282" s="190" t="s">
        <v>223</v>
      </c>
      <c r="D282" s="190" t="s">
        <v>223</v>
      </c>
      <c r="E282" s="190" t="s">
        <v>223</v>
      </c>
    </row>
    <row r="283" spans="1:5" ht="15.75" x14ac:dyDescent="0.25">
      <c r="A283" s="191">
        <v>61742</v>
      </c>
      <c r="B283" s="190" t="s">
        <v>223</v>
      </c>
      <c r="C283" s="190" t="s">
        <v>223</v>
      </c>
      <c r="D283" s="190" t="s">
        <v>223</v>
      </c>
      <c r="E283" s="190" t="s">
        <v>223</v>
      </c>
    </row>
    <row r="284" spans="1:5" ht="15.75" x14ac:dyDescent="0.25">
      <c r="A284" s="191">
        <v>61743</v>
      </c>
      <c r="B284" s="190" t="s">
        <v>223</v>
      </c>
      <c r="C284" s="190" t="s">
        <v>223</v>
      </c>
      <c r="D284" s="190" t="s">
        <v>223</v>
      </c>
      <c r="E284" s="190" t="s">
        <v>223</v>
      </c>
    </row>
    <row r="285" spans="1:5" ht="15.75" x14ac:dyDescent="0.25">
      <c r="A285" s="191">
        <v>61744</v>
      </c>
      <c r="B285" s="190" t="s">
        <v>224</v>
      </c>
      <c r="C285" s="190" t="s">
        <v>224</v>
      </c>
      <c r="D285" s="190" t="s">
        <v>224</v>
      </c>
      <c r="E285" s="190" t="s">
        <v>224</v>
      </c>
    </row>
    <row r="286" spans="1:5" ht="15.75" x14ac:dyDescent="0.25">
      <c r="A286" s="191">
        <v>61745</v>
      </c>
      <c r="B286" s="190" t="s">
        <v>224</v>
      </c>
      <c r="C286" s="190" t="s">
        <v>224</v>
      </c>
      <c r="D286" s="190" t="s">
        <v>224</v>
      </c>
      <c r="E286" s="190" t="s">
        <v>224</v>
      </c>
    </row>
    <row r="287" spans="1:5" ht="15.75" x14ac:dyDescent="0.25">
      <c r="A287" s="191">
        <v>61747</v>
      </c>
      <c r="B287" s="190" t="s">
        <v>224</v>
      </c>
      <c r="C287" s="190" t="s">
        <v>224</v>
      </c>
      <c r="D287" s="190" t="s">
        <v>224</v>
      </c>
      <c r="E287" s="190" t="s">
        <v>224</v>
      </c>
    </row>
    <row r="288" spans="1:5" ht="15.75" x14ac:dyDescent="0.25">
      <c r="A288" s="191">
        <v>61748</v>
      </c>
      <c r="B288" s="190" t="s">
        <v>224</v>
      </c>
      <c r="C288" s="190" t="s">
        <v>224</v>
      </c>
      <c r="D288" s="190" t="s">
        <v>224</v>
      </c>
      <c r="E288" s="190" t="s">
        <v>224</v>
      </c>
    </row>
    <row r="289" spans="1:5" ht="15.75" x14ac:dyDescent="0.25">
      <c r="A289" s="191">
        <v>61749</v>
      </c>
      <c r="B289" s="190" t="s">
        <v>224</v>
      </c>
      <c r="C289" s="190" t="s">
        <v>224</v>
      </c>
      <c r="D289" s="190" t="s">
        <v>224</v>
      </c>
      <c r="E289" s="190" t="s">
        <v>224</v>
      </c>
    </row>
    <row r="290" spans="1:5" ht="15.75" x14ac:dyDescent="0.25">
      <c r="A290" s="191">
        <v>61750</v>
      </c>
      <c r="B290" s="190" t="s">
        <v>224</v>
      </c>
      <c r="C290" s="190" t="s">
        <v>224</v>
      </c>
      <c r="D290" s="190" t="s">
        <v>224</v>
      </c>
      <c r="E290" s="190" t="s">
        <v>224</v>
      </c>
    </row>
    <row r="291" spans="1:5" ht="15.75" x14ac:dyDescent="0.25">
      <c r="A291" s="191">
        <v>61751</v>
      </c>
      <c r="B291" s="190" t="s">
        <v>224</v>
      </c>
      <c r="C291" s="190" t="s">
        <v>224</v>
      </c>
      <c r="D291" s="190" t="s">
        <v>224</v>
      </c>
      <c r="E291" s="190" t="s">
        <v>224</v>
      </c>
    </row>
    <row r="292" spans="1:5" ht="15.75" x14ac:dyDescent="0.25">
      <c r="A292" s="191">
        <v>61752</v>
      </c>
      <c r="B292" s="190" t="s">
        <v>224</v>
      </c>
      <c r="C292" s="190" t="s">
        <v>224</v>
      </c>
      <c r="D292" s="190" t="s">
        <v>224</v>
      </c>
      <c r="E292" s="190" t="s">
        <v>224</v>
      </c>
    </row>
    <row r="293" spans="1:5" ht="15.75" x14ac:dyDescent="0.25">
      <c r="A293" s="191">
        <v>61753</v>
      </c>
      <c r="B293" s="190" t="s">
        <v>224</v>
      </c>
      <c r="C293" s="190" t="s">
        <v>224</v>
      </c>
      <c r="D293" s="190" t="s">
        <v>224</v>
      </c>
      <c r="E293" s="190" t="s">
        <v>224</v>
      </c>
    </row>
    <row r="294" spans="1:5" ht="15.75" x14ac:dyDescent="0.25">
      <c r="A294" s="191">
        <v>61754</v>
      </c>
      <c r="B294" s="190" t="s">
        <v>224</v>
      </c>
      <c r="C294" s="190" t="s">
        <v>224</v>
      </c>
      <c r="D294" s="190" t="s">
        <v>224</v>
      </c>
      <c r="E294" s="190" t="s">
        <v>224</v>
      </c>
    </row>
    <row r="295" spans="1:5" ht="15.75" x14ac:dyDescent="0.25">
      <c r="A295" s="191">
        <v>61755</v>
      </c>
      <c r="B295" s="190" t="s">
        <v>224</v>
      </c>
      <c r="C295" s="190" t="s">
        <v>224</v>
      </c>
      <c r="D295" s="190" t="s">
        <v>224</v>
      </c>
      <c r="E295" s="190" t="s">
        <v>224</v>
      </c>
    </row>
    <row r="296" spans="1:5" ht="15.75" x14ac:dyDescent="0.25">
      <c r="A296" s="191">
        <v>61756</v>
      </c>
      <c r="B296" s="190" t="s">
        <v>224</v>
      </c>
      <c r="C296" s="190" t="s">
        <v>224</v>
      </c>
      <c r="D296" s="190" t="s">
        <v>224</v>
      </c>
      <c r="E296" s="190" t="s">
        <v>224</v>
      </c>
    </row>
    <row r="297" spans="1:5" ht="15.75" x14ac:dyDescent="0.25">
      <c r="A297" s="191">
        <v>61758</v>
      </c>
      <c r="B297" s="190" t="s">
        <v>224</v>
      </c>
      <c r="C297" s="190" t="s">
        <v>224</v>
      </c>
      <c r="D297" s="190" t="s">
        <v>224</v>
      </c>
      <c r="E297" s="190" t="s">
        <v>224</v>
      </c>
    </row>
    <row r="298" spans="1:5" ht="15.75" x14ac:dyDescent="0.25">
      <c r="A298" s="191">
        <v>61759</v>
      </c>
      <c r="B298" s="190" t="s">
        <v>224</v>
      </c>
      <c r="C298" s="190" t="s">
        <v>224</v>
      </c>
      <c r="D298" s="190" t="s">
        <v>224</v>
      </c>
      <c r="E298" s="190" t="s">
        <v>224</v>
      </c>
    </row>
    <row r="299" spans="1:5" ht="15.75" x14ac:dyDescent="0.25">
      <c r="A299" s="191">
        <v>61760</v>
      </c>
      <c r="B299" s="190" t="s">
        <v>223</v>
      </c>
      <c r="C299" s="190" t="s">
        <v>223</v>
      </c>
      <c r="D299" s="190" t="s">
        <v>223</v>
      </c>
      <c r="E299" s="190" t="s">
        <v>223</v>
      </c>
    </row>
    <row r="300" spans="1:5" ht="15.75" x14ac:dyDescent="0.25">
      <c r="A300" s="191">
        <v>61761</v>
      </c>
      <c r="B300" s="190" t="s">
        <v>224</v>
      </c>
      <c r="C300" s="190" t="s">
        <v>224</v>
      </c>
      <c r="D300" s="190" t="s">
        <v>224</v>
      </c>
      <c r="E300" s="190" t="s">
        <v>224</v>
      </c>
    </row>
    <row r="301" spans="1:5" ht="15.75" x14ac:dyDescent="0.25">
      <c r="A301" s="191">
        <v>61764</v>
      </c>
      <c r="B301" s="190" t="s">
        <v>223</v>
      </c>
      <c r="C301" s="190" t="s">
        <v>223</v>
      </c>
      <c r="D301" s="190" t="s">
        <v>223</v>
      </c>
      <c r="E301" s="190" t="s">
        <v>223</v>
      </c>
    </row>
    <row r="302" spans="1:5" ht="15.75" x14ac:dyDescent="0.25">
      <c r="A302" s="191">
        <v>61770</v>
      </c>
      <c r="B302" s="190" t="s">
        <v>224</v>
      </c>
      <c r="C302" s="190" t="s">
        <v>224</v>
      </c>
      <c r="D302" s="190" t="s">
        <v>224</v>
      </c>
      <c r="E302" s="190" t="s">
        <v>224</v>
      </c>
    </row>
    <row r="303" spans="1:5" ht="15.75" x14ac:dyDescent="0.25">
      <c r="A303" s="191">
        <v>61771</v>
      </c>
      <c r="B303" s="190" t="s">
        <v>223</v>
      </c>
      <c r="C303" s="190" t="s">
        <v>223</v>
      </c>
      <c r="D303" s="190" t="s">
        <v>223</v>
      </c>
      <c r="E303" s="190" t="s">
        <v>223</v>
      </c>
    </row>
    <row r="304" spans="1:5" ht="15.75" x14ac:dyDescent="0.25">
      <c r="A304" s="191">
        <v>61772</v>
      </c>
      <c r="B304" s="190" t="s">
        <v>224</v>
      </c>
      <c r="C304" s="190" t="s">
        <v>224</v>
      </c>
      <c r="D304" s="190" t="s">
        <v>224</v>
      </c>
      <c r="E304" s="190" t="s">
        <v>224</v>
      </c>
    </row>
    <row r="305" spans="1:5" ht="15.75" x14ac:dyDescent="0.25">
      <c r="A305" s="191">
        <v>61773</v>
      </c>
      <c r="B305" s="190" t="s">
        <v>224</v>
      </c>
      <c r="C305" s="190" t="s">
        <v>224</v>
      </c>
      <c r="D305" s="190" t="s">
        <v>224</v>
      </c>
      <c r="E305" s="190" t="s">
        <v>224</v>
      </c>
    </row>
    <row r="306" spans="1:5" ht="15.75" x14ac:dyDescent="0.25">
      <c r="A306" s="191">
        <v>61774</v>
      </c>
      <c r="B306" s="190" t="s">
        <v>224</v>
      </c>
      <c r="C306" s="190" t="s">
        <v>224</v>
      </c>
      <c r="D306" s="190" t="s">
        <v>224</v>
      </c>
      <c r="E306" s="190" t="s">
        <v>224</v>
      </c>
    </row>
    <row r="307" spans="1:5" ht="15.75" x14ac:dyDescent="0.25">
      <c r="A307" s="191">
        <v>61775</v>
      </c>
      <c r="B307" s="190" t="s">
        <v>223</v>
      </c>
      <c r="C307" s="190" t="s">
        <v>223</v>
      </c>
      <c r="D307" s="190" t="s">
        <v>223</v>
      </c>
      <c r="E307" s="190" t="s">
        <v>223</v>
      </c>
    </row>
    <row r="308" spans="1:5" ht="15.75" x14ac:dyDescent="0.25">
      <c r="A308" s="191">
        <v>61776</v>
      </c>
      <c r="B308" s="190" t="s">
        <v>224</v>
      </c>
      <c r="C308" s="190" t="s">
        <v>224</v>
      </c>
      <c r="D308" s="190" t="s">
        <v>224</v>
      </c>
      <c r="E308" s="190" t="s">
        <v>224</v>
      </c>
    </row>
    <row r="309" spans="1:5" ht="15.75" x14ac:dyDescent="0.25">
      <c r="A309" s="191">
        <v>61777</v>
      </c>
      <c r="B309" s="190" t="s">
        <v>224</v>
      </c>
      <c r="C309" s="190" t="s">
        <v>224</v>
      </c>
      <c r="D309" s="190" t="s">
        <v>224</v>
      </c>
      <c r="E309" s="190" t="s">
        <v>224</v>
      </c>
    </row>
    <row r="310" spans="1:5" ht="15.75" x14ac:dyDescent="0.25">
      <c r="A310" s="191">
        <v>61778</v>
      </c>
      <c r="B310" s="190" t="s">
        <v>224</v>
      </c>
      <c r="C310" s="190" t="s">
        <v>224</v>
      </c>
      <c r="D310" s="190" t="s">
        <v>224</v>
      </c>
      <c r="E310" s="190" t="s">
        <v>224</v>
      </c>
    </row>
    <row r="311" spans="1:5" ht="15.75" x14ac:dyDescent="0.25">
      <c r="A311" s="191">
        <v>61790</v>
      </c>
      <c r="B311" s="190" t="s">
        <v>224</v>
      </c>
      <c r="C311" s="190" t="s">
        <v>224</v>
      </c>
      <c r="D311" s="190" t="s">
        <v>224</v>
      </c>
      <c r="E311" s="190" t="s">
        <v>224</v>
      </c>
    </row>
    <row r="312" spans="1:5" ht="15.75" x14ac:dyDescent="0.25">
      <c r="A312" s="191">
        <v>61791</v>
      </c>
      <c r="B312" s="190" t="s">
        <v>224</v>
      </c>
      <c r="C312" s="190" t="s">
        <v>224</v>
      </c>
      <c r="D312" s="190" t="s">
        <v>224</v>
      </c>
      <c r="E312" s="190" t="s">
        <v>224</v>
      </c>
    </row>
    <row r="313" spans="1:5" ht="15.75" x14ac:dyDescent="0.25">
      <c r="A313" s="191">
        <v>61801</v>
      </c>
      <c r="B313" s="190" t="s">
        <v>224</v>
      </c>
      <c r="C313" s="190" t="s">
        <v>224</v>
      </c>
      <c r="D313" s="190" t="s">
        <v>224</v>
      </c>
      <c r="E313" s="190" t="s">
        <v>224</v>
      </c>
    </row>
    <row r="314" spans="1:5" ht="15.75" x14ac:dyDescent="0.25">
      <c r="A314" s="191">
        <v>61802</v>
      </c>
      <c r="B314" s="190" t="s">
        <v>224</v>
      </c>
      <c r="C314" s="190" t="s">
        <v>224</v>
      </c>
      <c r="D314" s="190" t="s">
        <v>224</v>
      </c>
      <c r="E314" s="190" t="s">
        <v>224</v>
      </c>
    </row>
    <row r="315" spans="1:5" ht="15.75" x14ac:dyDescent="0.25">
      <c r="A315" s="191">
        <v>61803</v>
      </c>
      <c r="B315" s="190" t="s">
        <v>224</v>
      </c>
      <c r="C315" s="190" t="s">
        <v>224</v>
      </c>
      <c r="D315" s="190" t="s">
        <v>224</v>
      </c>
      <c r="E315" s="190" t="s">
        <v>224</v>
      </c>
    </row>
    <row r="316" spans="1:5" ht="15.75" x14ac:dyDescent="0.25">
      <c r="A316" s="191">
        <v>61810</v>
      </c>
      <c r="B316" s="190" t="s">
        <v>224</v>
      </c>
      <c r="C316" s="190" t="s">
        <v>224</v>
      </c>
      <c r="D316" s="190" t="s">
        <v>224</v>
      </c>
      <c r="E316" s="190" t="s">
        <v>224</v>
      </c>
    </row>
    <row r="317" spans="1:5" ht="15.75" x14ac:dyDescent="0.25">
      <c r="A317" s="191">
        <v>61811</v>
      </c>
      <c r="B317" s="190" t="s">
        <v>224</v>
      </c>
      <c r="C317" s="190" t="s">
        <v>224</v>
      </c>
      <c r="D317" s="190" t="s">
        <v>224</v>
      </c>
      <c r="E317" s="190" t="s">
        <v>224</v>
      </c>
    </row>
    <row r="318" spans="1:5" ht="15.75" x14ac:dyDescent="0.25">
      <c r="A318" s="191">
        <v>61812</v>
      </c>
      <c r="B318" s="190" t="s">
        <v>224</v>
      </c>
      <c r="C318" s="190" t="s">
        <v>224</v>
      </c>
      <c r="D318" s="190" t="s">
        <v>224</v>
      </c>
      <c r="E318" s="190" t="s">
        <v>224</v>
      </c>
    </row>
    <row r="319" spans="1:5" ht="15.75" x14ac:dyDescent="0.25">
      <c r="A319" s="191">
        <v>61813</v>
      </c>
      <c r="B319" s="190" t="s">
        <v>224</v>
      </c>
      <c r="C319" s="190" t="s">
        <v>224</v>
      </c>
      <c r="D319" s="190" t="s">
        <v>224</v>
      </c>
      <c r="E319" s="190" t="s">
        <v>224</v>
      </c>
    </row>
    <row r="320" spans="1:5" ht="15.75" x14ac:dyDescent="0.25">
      <c r="A320" s="191">
        <v>61814</v>
      </c>
      <c r="B320" s="190" t="s">
        <v>224</v>
      </c>
      <c r="C320" s="190" t="s">
        <v>224</v>
      </c>
      <c r="D320" s="190" t="s">
        <v>224</v>
      </c>
      <c r="E320" s="190" t="s">
        <v>224</v>
      </c>
    </row>
    <row r="321" spans="1:5" ht="15.75" x14ac:dyDescent="0.25">
      <c r="A321" s="191">
        <v>61815</v>
      </c>
      <c r="B321" s="190" t="s">
        <v>224</v>
      </c>
      <c r="C321" s="190" t="s">
        <v>224</v>
      </c>
      <c r="D321" s="190" t="s">
        <v>224</v>
      </c>
      <c r="E321" s="190" t="s">
        <v>224</v>
      </c>
    </row>
    <row r="322" spans="1:5" ht="15.75" x14ac:dyDescent="0.25">
      <c r="A322" s="191">
        <v>61816</v>
      </c>
      <c r="B322" s="190" t="s">
        <v>224</v>
      </c>
      <c r="C322" s="190" t="s">
        <v>224</v>
      </c>
      <c r="D322" s="190" t="s">
        <v>224</v>
      </c>
      <c r="E322" s="190" t="s">
        <v>224</v>
      </c>
    </row>
    <row r="323" spans="1:5" ht="15.75" x14ac:dyDescent="0.25">
      <c r="A323" s="191">
        <v>61817</v>
      </c>
      <c r="B323" s="190" t="s">
        <v>224</v>
      </c>
      <c r="C323" s="190" t="s">
        <v>224</v>
      </c>
      <c r="D323" s="190" t="s">
        <v>224</v>
      </c>
      <c r="E323" s="190" t="s">
        <v>224</v>
      </c>
    </row>
    <row r="324" spans="1:5" ht="15.75" x14ac:dyDescent="0.25">
      <c r="A324" s="191">
        <v>61818</v>
      </c>
      <c r="B324" s="190" t="s">
        <v>224</v>
      </c>
      <c r="C324" s="190" t="s">
        <v>224</v>
      </c>
      <c r="D324" s="190" t="s">
        <v>224</v>
      </c>
      <c r="E324" s="190" t="s">
        <v>224</v>
      </c>
    </row>
    <row r="325" spans="1:5" ht="15.75" x14ac:dyDescent="0.25">
      <c r="A325" s="191">
        <v>61820</v>
      </c>
      <c r="B325" s="190" t="s">
        <v>224</v>
      </c>
      <c r="C325" s="190" t="s">
        <v>224</v>
      </c>
      <c r="D325" s="190" t="s">
        <v>224</v>
      </c>
      <c r="E325" s="190" t="s">
        <v>224</v>
      </c>
    </row>
    <row r="326" spans="1:5" ht="15.75" x14ac:dyDescent="0.25">
      <c r="A326" s="191">
        <v>61821</v>
      </c>
      <c r="B326" s="190" t="s">
        <v>224</v>
      </c>
      <c r="C326" s="190" t="s">
        <v>224</v>
      </c>
      <c r="D326" s="190" t="s">
        <v>224</v>
      </c>
      <c r="E326" s="190" t="s">
        <v>224</v>
      </c>
    </row>
    <row r="327" spans="1:5" ht="15.75" x14ac:dyDescent="0.25">
      <c r="A327" s="191">
        <v>61822</v>
      </c>
      <c r="B327" s="190" t="s">
        <v>224</v>
      </c>
      <c r="C327" s="190" t="s">
        <v>224</v>
      </c>
      <c r="D327" s="190" t="s">
        <v>224</v>
      </c>
      <c r="E327" s="190" t="s">
        <v>224</v>
      </c>
    </row>
    <row r="328" spans="1:5" ht="15.75" x14ac:dyDescent="0.25">
      <c r="A328" s="191">
        <v>61824</v>
      </c>
      <c r="B328" s="190" t="s">
        <v>224</v>
      </c>
      <c r="C328" s="190" t="s">
        <v>224</v>
      </c>
      <c r="D328" s="190" t="s">
        <v>224</v>
      </c>
      <c r="E328" s="190" t="s">
        <v>224</v>
      </c>
    </row>
    <row r="329" spans="1:5" ht="15.75" x14ac:dyDescent="0.25">
      <c r="A329" s="191">
        <v>61826</v>
      </c>
      <c r="B329" s="190" t="s">
        <v>224</v>
      </c>
      <c r="C329" s="190" t="s">
        <v>224</v>
      </c>
      <c r="D329" s="190" t="s">
        <v>224</v>
      </c>
      <c r="E329" s="190" t="s">
        <v>224</v>
      </c>
    </row>
    <row r="330" spans="1:5" ht="15.75" x14ac:dyDescent="0.25">
      <c r="A330" s="191">
        <v>61830</v>
      </c>
      <c r="B330" s="190" t="s">
        <v>224</v>
      </c>
      <c r="C330" s="190" t="s">
        <v>224</v>
      </c>
      <c r="D330" s="190" t="s">
        <v>224</v>
      </c>
      <c r="E330" s="190" t="s">
        <v>224</v>
      </c>
    </row>
    <row r="331" spans="1:5" ht="15.75" x14ac:dyDescent="0.25">
      <c r="A331" s="191">
        <v>61831</v>
      </c>
      <c r="B331" s="190" t="s">
        <v>224</v>
      </c>
      <c r="C331" s="190" t="s">
        <v>224</v>
      </c>
      <c r="D331" s="190" t="s">
        <v>224</v>
      </c>
      <c r="E331" s="190" t="s">
        <v>224</v>
      </c>
    </row>
    <row r="332" spans="1:5" ht="15.75" x14ac:dyDescent="0.25">
      <c r="A332" s="191">
        <v>61832</v>
      </c>
      <c r="B332" s="190" t="s">
        <v>224</v>
      </c>
      <c r="C332" s="190" t="s">
        <v>224</v>
      </c>
      <c r="D332" s="190" t="s">
        <v>224</v>
      </c>
      <c r="E332" s="190" t="s">
        <v>224</v>
      </c>
    </row>
    <row r="333" spans="1:5" ht="15.75" x14ac:dyDescent="0.25">
      <c r="A333" s="191">
        <v>61833</v>
      </c>
      <c r="B333" s="190" t="s">
        <v>224</v>
      </c>
      <c r="C333" s="190" t="s">
        <v>224</v>
      </c>
      <c r="D333" s="190" t="s">
        <v>224</v>
      </c>
      <c r="E333" s="190" t="s">
        <v>224</v>
      </c>
    </row>
    <row r="334" spans="1:5" ht="15.75" x14ac:dyDescent="0.25">
      <c r="A334" s="191">
        <v>61834</v>
      </c>
      <c r="B334" s="190" t="s">
        <v>224</v>
      </c>
      <c r="C334" s="190" t="s">
        <v>224</v>
      </c>
      <c r="D334" s="190" t="s">
        <v>224</v>
      </c>
      <c r="E334" s="190" t="s">
        <v>224</v>
      </c>
    </row>
    <row r="335" spans="1:5" ht="15.75" x14ac:dyDescent="0.25">
      <c r="A335" s="191">
        <v>61839</v>
      </c>
      <c r="B335" s="190" t="s">
        <v>224</v>
      </c>
      <c r="C335" s="190" t="s">
        <v>224</v>
      </c>
      <c r="D335" s="190" t="s">
        <v>224</v>
      </c>
      <c r="E335" s="190" t="s">
        <v>224</v>
      </c>
    </row>
    <row r="336" spans="1:5" ht="15.75" x14ac:dyDescent="0.25">
      <c r="A336" s="191">
        <v>61840</v>
      </c>
      <c r="B336" s="190" t="s">
        <v>224</v>
      </c>
      <c r="C336" s="190" t="s">
        <v>224</v>
      </c>
      <c r="D336" s="190" t="s">
        <v>224</v>
      </c>
      <c r="E336" s="190" t="s">
        <v>224</v>
      </c>
    </row>
    <row r="337" spans="1:5" ht="15.75" x14ac:dyDescent="0.25">
      <c r="A337" s="191">
        <v>61841</v>
      </c>
      <c r="B337" s="190" t="s">
        <v>224</v>
      </c>
      <c r="C337" s="190" t="s">
        <v>224</v>
      </c>
      <c r="D337" s="190" t="s">
        <v>224</v>
      </c>
      <c r="E337" s="190" t="s">
        <v>224</v>
      </c>
    </row>
    <row r="338" spans="1:5" ht="15.75" x14ac:dyDescent="0.25">
      <c r="A338" s="191">
        <v>61842</v>
      </c>
      <c r="B338" s="190" t="s">
        <v>224</v>
      </c>
      <c r="C338" s="190" t="s">
        <v>224</v>
      </c>
      <c r="D338" s="190" t="s">
        <v>224</v>
      </c>
      <c r="E338" s="190" t="s">
        <v>224</v>
      </c>
    </row>
    <row r="339" spans="1:5" ht="15.75" x14ac:dyDescent="0.25">
      <c r="A339" s="191">
        <v>61843</v>
      </c>
      <c r="B339" s="190" t="s">
        <v>224</v>
      </c>
      <c r="C339" s="190" t="s">
        <v>224</v>
      </c>
      <c r="D339" s="190" t="s">
        <v>224</v>
      </c>
      <c r="E339" s="190" t="s">
        <v>224</v>
      </c>
    </row>
    <row r="340" spans="1:5" ht="15.75" x14ac:dyDescent="0.25">
      <c r="A340" s="191">
        <v>61844</v>
      </c>
      <c r="B340" s="190" t="s">
        <v>224</v>
      </c>
      <c r="C340" s="190" t="s">
        <v>224</v>
      </c>
      <c r="D340" s="190" t="s">
        <v>224</v>
      </c>
      <c r="E340" s="190" t="s">
        <v>224</v>
      </c>
    </row>
    <row r="341" spans="1:5" ht="15.75" x14ac:dyDescent="0.25">
      <c r="A341" s="191">
        <v>61845</v>
      </c>
      <c r="B341" s="190" t="s">
        <v>224</v>
      </c>
      <c r="C341" s="190" t="s">
        <v>224</v>
      </c>
      <c r="D341" s="190" t="s">
        <v>224</v>
      </c>
      <c r="E341" s="190" t="s">
        <v>224</v>
      </c>
    </row>
    <row r="342" spans="1:5" ht="15.75" x14ac:dyDescent="0.25">
      <c r="A342" s="191">
        <v>61846</v>
      </c>
      <c r="B342" s="190" t="s">
        <v>224</v>
      </c>
      <c r="C342" s="190" t="s">
        <v>224</v>
      </c>
      <c r="D342" s="190" t="s">
        <v>224</v>
      </c>
      <c r="E342" s="190" t="s">
        <v>224</v>
      </c>
    </row>
    <row r="343" spans="1:5" ht="15.75" x14ac:dyDescent="0.25">
      <c r="A343" s="191">
        <v>61847</v>
      </c>
      <c r="B343" s="190" t="s">
        <v>224</v>
      </c>
      <c r="C343" s="190" t="s">
        <v>224</v>
      </c>
      <c r="D343" s="190" t="s">
        <v>224</v>
      </c>
      <c r="E343" s="190" t="s">
        <v>224</v>
      </c>
    </row>
    <row r="344" spans="1:5" ht="15.75" x14ac:dyDescent="0.25">
      <c r="A344" s="191">
        <v>61848</v>
      </c>
      <c r="B344" s="190" t="s">
        <v>224</v>
      </c>
      <c r="C344" s="190" t="s">
        <v>224</v>
      </c>
      <c r="D344" s="190" t="s">
        <v>224</v>
      </c>
      <c r="E344" s="190" t="s">
        <v>224</v>
      </c>
    </row>
    <row r="345" spans="1:5" ht="15.75" x14ac:dyDescent="0.25">
      <c r="A345" s="191">
        <v>61849</v>
      </c>
      <c r="B345" s="190" t="s">
        <v>224</v>
      </c>
      <c r="C345" s="190" t="s">
        <v>224</v>
      </c>
      <c r="D345" s="190" t="s">
        <v>224</v>
      </c>
      <c r="E345" s="190" t="s">
        <v>224</v>
      </c>
    </row>
    <row r="346" spans="1:5" ht="15.75" x14ac:dyDescent="0.25">
      <c r="A346" s="191">
        <v>61850</v>
      </c>
      <c r="B346" s="190" t="s">
        <v>224</v>
      </c>
      <c r="C346" s="190" t="s">
        <v>224</v>
      </c>
      <c r="D346" s="190" t="s">
        <v>224</v>
      </c>
      <c r="E346" s="190" t="s">
        <v>224</v>
      </c>
    </row>
    <row r="347" spans="1:5" ht="15.75" x14ac:dyDescent="0.25">
      <c r="A347" s="191">
        <v>61851</v>
      </c>
      <c r="B347" s="190" t="s">
        <v>224</v>
      </c>
      <c r="C347" s="190" t="s">
        <v>224</v>
      </c>
      <c r="D347" s="190" t="s">
        <v>224</v>
      </c>
      <c r="E347" s="190" t="s">
        <v>224</v>
      </c>
    </row>
    <row r="348" spans="1:5" ht="15.75" x14ac:dyDescent="0.25">
      <c r="A348" s="191">
        <v>61852</v>
      </c>
      <c r="B348" s="190" t="s">
        <v>224</v>
      </c>
      <c r="C348" s="190" t="s">
        <v>224</v>
      </c>
      <c r="D348" s="190" t="s">
        <v>224</v>
      </c>
      <c r="E348" s="190" t="s">
        <v>224</v>
      </c>
    </row>
    <row r="349" spans="1:5" ht="15.75" x14ac:dyDescent="0.25">
      <c r="A349" s="191">
        <v>61853</v>
      </c>
      <c r="B349" s="190" t="s">
        <v>224</v>
      </c>
      <c r="C349" s="190" t="s">
        <v>224</v>
      </c>
      <c r="D349" s="190" t="s">
        <v>224</v>
      </c>
      <c r="E349" s="190" t="s">
        <v>224</v>
      </c>
    </row>
    <row r="350" spans="1:5" ht="15.75" x14ac:dyDescent="0.25">
      <c r="A350" s="191">
        <v>61854</v>
      </c>
      <c r="B350" s="190" t="s">
        <v>224</v>
      </c>
      <c r="C350" s="190" t="s">
        <v>224</v>
      </c>
      <c r="D350" s="190" t="s">
        <v>224</v>
      </c>
      <c r="E350" s="190" t="s">
        <v>224</v>
      </c>
    </row>
    <row r="351" spans="1:5" ht="15.75" x14ac:dyDescent="0.25">
      <c r="A351" s="191">
        <v>61855</v>
      </c>
      <c r="B351" s="190" t="s">
        <v>224</v>
      </c>
      <c r="C351" s="190" t="s">
        <v>224</v>
      </c>
      <c r="D351" s="190" t="s">
        <v>224</v>
      </c>
      <c r="E351" s="190" t="s">
        <v>224</v>
      </c>
    </row>
    <row r="352" spans="1:5" ht="15.75" x14ac:dyDescent="0.25">
      <c r="A352" s="191">
        <v>61856</v>
      </c>
      <c r="B352" s="190" t="s">
        <v>224</v>
      </c>
      <c r="C352" s="190" t="s">
        <v>224</v>
      </c>
      <c r="D352" s="190" t="s">
        <v>224</v>
      </c>
      <c r="E352" s="190" t="s">
        <v>224</v>
      </c>
    </row>
    <row r="353" spans="1:5" ht="15.75" x14ac:dyDescent="0.25">
      <c r="A353" s="191">
        <v>61857</v>
      </c>
      <c r="B353" s="190" t="s">
        <v>224</v>
      </c>
      <c r="C353" s="190" t="s">
        <v>224</v>
      </c>
      <c r="D353" s="190" t="s">
        <v>224</v>
      </c>
      <c r="E353" s="190" t="s">
        <v>224</v>
      </c>
    </row>
    <row r="354" spans="1:5" ht="15.75" x14ac:dyDescent="0.25">
      <c r="A354" s="191">
        <v>61858</v>
      </c>
      <c r="B354" s="190" t="s">
        <v>224</v>
      </c>
      <c r="C354" s="190" t="s">
        <v>224</v>
      </c>
      <c r="D354" s="190" t="s">
        <v>224</v>
      </c>
      <c r="E354" s="190" t="s">
        <v>224</v>
      </c>
    </row>
    <row r="355" spans="1:5" ht="15.75" x14ac:dyDescent="0.25">
      <c r="A355" s="191">
        <v>61859</v>
      </c>
      <c r="B355" s="190" t="s">
        <v>224</v>
      </c>
      <c r="C355" s="190" t="s">
        <v>224</v>
      </c>
      <c r="D355" s="190" t="s">
        <v>224</v>
      </c>
      <c r="E355" s="190" t="s">
        <v>224</v>
      </c>
    </row>
    <row r="356" spans="1:5" ht="15.75" x14ac:dyDescent="0.25">
      <c r="A356" s="191">
        <v>61862</v>
      </c>
      <c r="B356" s="190" t="s">
        <v>224</v>
      </c>
      <c r="C356" s="190" t="s">
        <v>224</v>
      </c>
      <c r="D356" s="190" t="s">
        <v>224</v>
      </c>
      <c r="E356" s="190" t="s">
        <v>224</v>
      </c>
    </row>
    <row r="357" spans="1:5" ht="15.75" x14ac:dyDescent="0.25">
      <c r="A357" s="191">
        <v>61863</v>
      </c>
      <c r="B357" s="190" t="s">
        <v>224</v>
      </c>
      <c r="C357" s="190" t="s">
        <v>224</v>
      </c>
      <c r="D357" s="190" t="s">
        <v>224</v>
      </c>
      <c r="E357" s="190" t="s">
        <v>224</v>
      </c>
    </row>
    <row r="358" spans="1:5" ht="15.75" x14ac:dyDescent="0.25">
      <c r="A358" s="191">
        <v>61864</v>
      </c>
      <c r="B358" s="190" t="s">
        <v>224</v>
      </c>
      <c r="C358" s="190" t="s">
        <v>224</v>
      </c>
      <c r="D358" s="190" t="s">
        <v>224</v>
      </c>
      <c r="E358" s="190" t="s">
        <v>224</v>
      </c>
    </row>
    <row r="359" spans="1:5" ht="15.75" x14ac:dyDescent="0.25">
      <c r="A359" s="191">
        <v>61865</v>
      </c>
      <c r="B359" s="190" t="s">
        <v>224</v>
      </c>
      <c r="C359" s="190" t="s">
        <v>224</v>
      </c>
      <c r="D359" s="190" t="s">
        <v>224</v>
      </c>
      <c r="E359" s="190" t="s">
        <v>224</v>
      </c>
    </row>
    <row r="360" spans="1:5" ht="15.75" x14ac:dyDescent="0.25">
      <c r="A360" s="191">
        <v>61866</v>
      </c>
      <c r="B360" s="190" t="s">
        <v>224</v>
      </c>
      <c r="C360" s="190" t="s">
        <v>224</v>
      </c>
      <c r="D360" s="190" t="s">
        <v>224</v>
      </c>
      <c r="E360" s="190" t="s">
        <v>224</v>
      </c>
    </row>
    <row r="361" spans="1:5" ht="15.75" x14ac:dyDescent="0.25">
      <c r="A361" s="191">
        <v>61870</v>
      </c>
      <c r="B361" s="190" t="s">
        <v>224</v>
      </c>
      <c r="C361" s="190" t="s">
        <v>224</v>
      </c>
      <c r="D361" s="190" t="s">
        <v>224</v>
      </c>
      <c r="E361" s="190" t="s">
        <v>224</v>
      </c>
    </row>
    <row r="362" spans="1:5" ht="15.75" x14ac:dyDescent="0.25">
      <c r="A362" s="191">
        <v>61871</v>
      </c>
      <c r="B362" s="190" t="s">
        <v>224</v>
      </c>
      <c r="C362" s="190" t="s">
        <v>224</v>
      </c>
      <c r="D362" s="190" t="s">
        <v>224</v>
      </c>
      <c r="E362" s="190" t="s">
        <v>224</v>
      </c>
    </row>
    <row r="363" spans="1:5" ht="15.75" x14ac:dyDescent="0.25">
      <c r="A363" s="191">
        <v>61872</v>
      </c>
      <c r="B363" s="190" t="s">
        <v>224</v>
      </c>
      <c r="C363" s="190" t="s">
        <v>224</v>
      </c>
      <c r="D363" s="190" t="s">
        <v>224</v>
      </c>
      <c r="E363" s="190" t="s">
        <v>224</v>
      </c>
    </row>
    <row r="364" spans="1:5" ht="15.75" x14ac:dyDescent="0.25">
      <c r="A364" s="191">
        <v>61873</v>
      </c>
      <c r="B364" s="190" t="s">
        <v>224</v>
      </c>
      <c r="C364" s="190" t="s">
        <v>224</v>
      </c>
      <c r="D364" s="190" t="s">
        <v>224</v>
      </c>
      <c r="E364" s="190" t="s">
        <v>224</v>
      </c>
    </row>
    <row r="365" spans="1:5" ht="15.75" x14ac:dyDescent="0.25">
      <c r="A365" s="191">
        <v>61874</v>
      </c>
      <c r="B365" s="190" t="s">
        <v>224</v>
      </c>
      <c r="C365" s="190" t="s">
        <v>224</v>
      </c>
      <c r="D365" s="190" t="s">
        <v>224</v>
      </c>
      <c r="E365" s="190" t="s">
        <v>224</v>
      </c>
    </row>
    <row r="366" spans="1:5" ht="15.75" x14ac:dyDescent="0.25">
      <c r="A366" s="191">
        <v>61875</v>
      </c>
      <c r="B366" s="190" t="s">
        <v>224</v>
      </c>
      <c r="C366" s="190" t="s">
        <v>224</v>
      </c>
      <c r="D366" s="190" t="s">
        <v>224</v>
      </c>
      <c r="E366" s="190" t="s">
        <v>224</v>
      </c>
    </row>
    <row r="367" spans="1:5" ht="15.75" x14ac:dyDescent="0.25">
      <c r="A367" s="191">
        <v>61876</v>
      </c>
      <c r="B367" s="190" t="s">
        <v>224</v>
      </c>
      <c r="C367" s="190" t="s">
        <v>224</v>
      </c>
      <c r="D367" s="190" t="s">
        <v>224</v>
      </c>
      <c r="E367" s="190" t="s">
        <v>224</v>
      </c>
    </row>
    <row r="368" spans="1:5" ht="15.75" x14ac:dyDescent="0.25">
      <c r="A368" s="191">
        <v>61877</v>
      </c>
      <c r="B368" s="190" t="s">
        <v>224</v>
      </c>
      <c r="C368" s="190" t="s">
        <v>224</v>
      </c>
      <c r="D368" s="190" t="s">
        <v>224</v>
      </c>
      <c r="E368" s="190" t="s">
        <v>224</v>
      </c>
    </row>
    <row r="369" spans="1:5" ht="15.75" x14ac:dyDescent="0.25">
      <c r="A369" s="191">
        <v>61878</v>
      </c>
      <c r="B369" s="190" t="s">
        <v>224</v>
      </c>
      <c r="C369" s="190" t="s">
        <v>224</v>
      </c>
      <c r="D369" s="190" t="s">
        <v>224</v>
      </c>
      <c r="E369" s="190" t="s">
        <v>224</v>
      </c>
    </row>
    <row r="370" spans="1:5" ht="15.75" x14ac:dyDescent="0.25">
      <c r="A370" s="191">
        <v>61880</v>
      </c>
      <c r="B370" s="190" t="s">
        <v>224</v>
      </c>
      <c r="C370" s="190" t="s">
        <v>224</v>
      </c>
      <c r="D370" s="190" t="s">
        <v>224</v>
      </c>
      <c r="E370" s="190" t="s">
        <v>224</v>
      </c>
    </row>
    <row r="371" spans="1:5" ht="15.75" x14ac:dyDescent="0.25">
      <c r="A371" s="191">
        <v>61882</v>
      </c>
      <c r="B371" s="190" t="s">
        <v>224</v>
      </c>
      <c r="C371" s="190" t="s">
        <v>224</v>
      </c>
      <c r="D371" s="190" t="s">
        <v>224</v>
      </c>
      <c r="E371" s="190" t="s">
        <v>224</v>
      </c>
    </row>
    <row r="372" spans="1:5" ht="15.75" x14ac:dyDescent="0.25">
      <c r="A372" s="191">
        <v>61883</v>
      </c>
      <c r="B372" s="190" t="s">
        <v>224</v>
      </c>
      <c r="C372" s="190" t="s">
        <v>224</v>
      </c>
      <c r="D372" s="190" t="s">
        <v>224</v>
      </c>
      <c r="E372" s="190" t="s">
        <v>224</v>
      </c>
    </row>
    <row r="373" spans="1:5" ht="15.75" x14ac:dyDescent="0.25">
      <c r="A373" s="191">
        <v>61884</v>
      </c>
      <c r="B373" s="190" t="s">
        <v>224</v>
      </c>
      <c r="C373" s="190" t="s">
        <v>224</v>
      </c>
      <c r="D373" s="190" t="s">
        <v>224</v>
      </c>
      <c r="E373" s="190" t="s">
        <v>224</v>
      </c>
    </row>
    <row r="374" spans="1:5" ht="15.75" x14ac:dyDescent="0.25">
      <c r="A374" s="191">
        <v>61910</v>
      </c>
      <c r="B374" s="190" t="s">
        <v>224</v>
      </c>
      <c r="C374" s="190" t="s">
        <v>224</v>
      </c>
      <c r="D374" s="190" t="s">
        <v>224</v>
      </c>
      <c r="E374" s="190" t="s">
        <v>224</v>
      </c>
    </row>
    <row r="375" spans="1:5" ht="15.75" x14ac:dyDescent="0.25">
      <c r="A375" s="191">
        <v>61911</v>
      </c>
      <c r="B375" s="190" t="s">
        <v>224</v>
      </c>
      <c r="C375" s="190" t="s">
        <v>224</v>
      </c>
      <c r="D375" s="190" t="s">
        <v>224</v>
      </c>
      <c r="E375" s="190" t="s">
        <v>224</v>
      </c>
    </row>
    <row r="376" spans="1:5" ht="15.75" x14ac:dyDescent="0.25">
      <c r="A376" s="191">
        <v>61912</v>
      </c>
      <c r="B376" s="190" t="s">
        <v>224</v>
      </c>
      <c r="C376" s="190" t="s">
        <v>224</v>
      </c>
      <c r="D376" s="190" t="s">
        <v>224</v>
      </c>
      <c r="E376" s="190" t="s">
        <v>224</v>
      </c>
    </row>
    <row r="377" spans="1:5" ht="15.75" x14ac:dyDescent="0.25">
      <c r="A377" s="191">
        <v>61913</v>
      </c>
      <c r="B377" s="190" t="s">
        <v>224</v>
      </c>
      <c r="C377" s="190" t="s">
        <v>224</v>
      </c>
      <c r="D377" s="190" t="s">
        <v>224</v>
      </c>
      <c r="E377" s="190" t="s">
        <v>224</v>
      </c>
    </row>
    <row r="378" spans="1:5" ht="15.75" x14ac:dyDescent="0.25">
      <c r="A378" s="191">
        <v>61914</v>
      </c>
      <c r="B378" s="190" t="s">
        <v>224</v>
      </c>
      <c r="C378" s="190" t="s">
        <v>224</v>
      </c>
      <c r="D378" s="190" t="s">
        <v>224</v>
      </c>
      <c r="E378" s="190" t="s">
        <v>224</v>
      </c>
    </row>
    <row r="379" spans="1:5" ht="15.75" x14ac:dyDescent="0.25">
      <c r="A379" s="191">
        <v>61917</v>
      </c>
      <c r="B379" s="190" t="s">
        <v>224</v>
      </c>
      <c r="C379" s="190" t="s">
        <v>224</v>
      </c>
      <c r="D379" s="190" t="s">
        <v>224</v>
      </c>
      <c r="E379" s="190" t="s">
        <v>224</v>
      </c>
    </row>
    <row r="380" spans="1:5" ht="15.75" x14ac:dyDescent="0.25">
      <c r="A380" s="191">
        <v>61919</v>
      </c>
      <c r="B380" s="190" t="s">
        <v>224</v>
      </c>
      <c r="C380" s="190" t="s">
        <v>224</v>
      </c>
      <c r="D380" s="190" t="s">
        <v>224</v>
      </c>
      <c r="E380" s="190" t="s">
        <v>224</v>
      </c>
    </row>
    <row r="381" spans="1:5" ht="15.75" x14ac:dyDescent="0.25">
      <c r="A381" s="191">
        <v>61920</v>
      </c>
      <c r="B381" s="190" t="s">
        <v>224</v>
      </c>
      <c r="C381" s="190" t="s">
        <v>224</v>
      </c>
      <c r="D381" s="190" t="s">
        <v>224</v>
      </c>
      <c r="E381" s="190" t="s">
        <v>224</v>
      </c>
    </row>
    <row r="382" spans="1:5" ht="15.75" x14ac:dyDescent="0.25">
      <c r="A382" s="191">
        <v>61924</v>
      </c>
      <c r="B382" s="190" t="s">
        <v>224</v>
      </c>
      <c r="C382" s="190" t="s">
        <v>224</v>
      </c>
      <c r="D382" s="190" t="s">
        <v>224</v>
      </c>
      <c r="E382" s="190" t="s">
        <v>224</v>
      </c>
    </row>
    <row r="383" spans="1:5" ht="15.75" x14ac:dyDescent="0.25">
      <c r="A383" s="191">
        <v>61925</v>
      </c>
      <c r="B383" s="190" t="s">
        <v>224</v>
      </c>
      <c r="C383" s="190" t="s">
        <v>224</v>
      </c>
      <c r="D383" s="190" t="s">
        <v>224</v>
      </c>
      <c r="E383" s="190" t="s">
        <v>224</v>
      </c>
    </row>
    <row r="384" spans="1:5" ht="15.75" x14ac:dyDescent="0.25">
      <c r="A384" s="191">
        <v>61928</v>
      </c>
      <c r="B384" s="190" t="s">
        <v>224</v>
      </c>
      <c r="C384" s="190" t="s">
        <v>224</v>
      </c>
      <c r="D384" s="190" t="s">
        <v>224</v>
      </c>
      <c r="E384" s="190" t="s">
        <v>224</v>
      </c>
    </row>
    <row r="385" spans="1:5" ht="15.75" x14ac:dyDescent="0.25">
      <c r="A385" s="191">
        <v>61929</v>
      </c>
      <c r="B385" s="190" t="s">
        <v>224</v>
      </c>
      <c r="C385" s="190" t="s">
        <v>224</v>
      </c>
      <c r="D385" s="190" t="s">
        <v>224</v>
      </c>
      <c r="E385" s="190" t="s">
        <v>224</v>
      </c>
    </row>
    <row r="386" spans="1:5" ht="15.75" x14ac:dyDescent="0.25">
      <c r="A386" s="191">
        <v>61930</v>
      </c>
      <c r="B386" s="190" t="s">
        <v>224</v>
      </c>
      <c r="C386" s="190" t="s">
        <v>224</v>
      </c>
      <c r="D386" s="190" t="s">
        <v>224</v>
      </c>
      <c r="E386" s="190" t="s">
        <v>224</v>
      </c>
    </row>
    <row r="387" spans="1:5" ht="15.75" x14ac:dyDescent="0.25">
      <c r="A387" s="191">
        <v>61931</v>
      </c>
      <c r="B387" s="190" t="s">
        <v>224</v>
      </c>
      <c r="C387" s="190" t="s">
        <v>224</v>
      </c>
      <c r="D387" s="190" t="s">
        <v>224</v>
      </c>
      <c r="E387" s="190" t="s">
        <v>224</v>
      </c>
    </row>
    <row r="388" spans="1:5" ht="15.75" x14ac:dyDescent="0.25">
      <c r="A388" s="191">
        <v>61932</v>
      </c>
      <c r="B388" s="190" t="s">
        <v>224</v>
      </c>
      <c r="C388" s="190" t="s">
        <v>224</v>
      </c>
      <c r="D388" s="190" t="s">
        <v>224</v>
      </c>
      <c r="E388" s="190" t="s">
        <v>224</v>
      </c>
    </row>
    <row r="389" spans="1:5" ht="15.75" x14ac:dyDescent="0.25">
      <c r="A389" s="191">
        <v>61933</v>
      </c>
      <c r="B389" s="190" t="s">
        <v>224</v>
      </c>
      <c r="C389" s="190" t="s">
        <v>224</v>
      </c>
      <c r="D389" s="190" t="s">
        <v>224</v>
      </c>
      <c r="E389" s="190" t="s">
        <v>224</v>
      </c>
    </row>
    <row r="390" spans="1:5" ht="15.75" x14ac:dyDescent="0.25">
      <c r="A390" s="191">
        <v>61936</v>
      </c>
      <c r="B390" s="190" t="s">
        <v>224</v>
      </c>
      <c r="C390" s="190" t="s">
        <v>224</v>
      </c>
      <c r="D390" s="190" t="s">
        <v>224</v>
      </c>
      <c r="E390" s="190" t="s">
        <v>224</v>
      </c>
    </row>
    <row r="391" spans="1:5" ht="15.75" x14ac:dyDescent="0.25">
      <c r="A391" s="191">
        <v>61937</v>
      </c>
      <c r="B391" s="190" t="s">
        <v>224</v>
      </c>
      <c r="C391" s="190" t="s">
        <v>224</v>
      </c>
      <c r="D391" s="190" t="s">
        <v>224</v>
      </c>
      <c r="E391" s="190" t="s">
        <v>224</v>
      </c>
    </row>
    <row r="392" spans="1:5" ht="15.75" x14ac:dyDescent="0.25">
      <c r="A392" s="191">
        <v>61938</v>
      </c>
      <c r="B392" s="190" t="s">
        <v>224</v>
      </c>
      <c r="C392" s="190" t="s">
        <v>224</v>
      </c>
      <c r="D392" s="190" t="s">
        <v>224</v>
      </c>
      <c r="E392" s="190" t="s">
        <v>224</v>
      </c>
    </row>
    <row r="393" spans="1:5" ht="15.75" x14ac:dyDescent="0.25">
      <c r="A393" s="191">
        <v>61940</v>
      </c>
      <c r="B393" s="190" t="s">
        <v>224</v>
      </c>
      <c r="C393" s="190" t="s">
        <v>224</v>
      </c>
      <c r="D393" s="190" t="s">
        <v>224</v>
      </c>
      <c r="E393" s="190" t="s">
        <v>224</v>
      </c>
    </row>
    <row r="394" spans="1:5" ht="15.75" x14ac:dyDescent="0.25">
      <c r="A394" s="191">
        <v>61941</v>
      </c>
      <c r="B394" s="190" t="s">
        <v>224</v>
      </c>
      <c r="C394" s="190" t="s">
        <v>224</v>
      </c>
      <c r="D394" s="190" t="s">
        <v>224</v>
      </c>
      <c r="E394" s="190" t="s">
        <v>224</v>
      </c>
    </row>
    <row r="395" spans="1:5" ht="15.75" x14ac:dyDescent="0.25">
      <c r="A395" s="191">
        <v>61942</v>
      </c>
      <c r="B395" s="190" t="s">
        <v>224</v>
      </c>
      <c r="C395" s="190" t="s">
        <v>224</v>
      </c>
      <c r="D395" s="190" t="s">
        <v>224</v>
      </c>
      <c r="E395" s="190" t="s">
        <v>224</v>
      </c>
    </row>
    <row r="396" spans="1:5" ht="15.75" x14ac:dyDescent="0.25">
      <c r="A396" s="191">
        <v>61943</v>
      </c>
      <c r="B396" s="190" t="s">
        <v>224</v>
      </c>
      <c r="C396" s="190" t="s">
        <v>224</v>
      </c>
      <c r="D396" s="190" t="s">
        <v>224</v>
      </c>
      <c r="E396" s="190" t="s">
        <v>224</v>
      </c>
    </row>
    <row r="397" spans="1:5" ht="15.75" x14ac:dyDescent="0.25">
      <c r="A397" s="191">
        <v>61944</v>
      </c>
      <c r="B397" s="190" t="s">
        <v>224</v>
      </c>
      <c r="C397" s="190" t="s">
        <v>224</v>
      </c>
      <c r="D397" s="190" t="s">
        <v>224</v>
      </c>
      <c r="E397" s="190" t="s">
        <v>224</v>
      </c>
    </row>
    <row r="398" spans="1:5" ht="15.75" x14ac:dyDescent="0.25">
      <c r="A398" s="191">
        <v>61949</v>
      </c>
      <c r="B398" s="190" t="s">
        <v>224</v>
      </c>
      <c r="C398" s="190" t="s">
        <v>224</v>
      </c>
      <c r="D398" s="190" t="s">
        <v>224</v>
      </c>
      <c r="E398" s="190" t="s">
        <v>224</v>
      </c>
    </row>
    <row r="399" spans="1:5" ht="15.75" x14ac:dyDescent="0.25">
      <c r="A399" s="191">
        <v>61951</v>
      </c>
      <c r="B399" s="190" t="s">
        <v>224</v>
      </c>
      <c r="C399" s="190" t="s">
        <v>224</v>
      </c>
      <c r="D399" s="190" t="s">
        <v>224</v>
      </c>
      <c r="E399" s="190" t="s">
        <v>224</v>
      </c>
    </row>
    <row r="400" spans="1:5" ht="15.75" x14ac:dyDescent="0.25">
      <c r="A400" s="191">
        <v>61953</v>
      </c>
      <c r="B400" s="190" t="s">
        <v>224</v>
      </c>
      <c r="C400" s="190" t="s">
        <v>224</v>
      </c>
      <c r="D400" s="190" t="s">
        <v>224</v>
      </c>
      <c r="E400" s="190" t="s">
        <v>224</v>
      </c>
    </row>
    <row r="401" spans="1:5" ht="15.75" x14ac:dyDescent="0.25">
      <c r="A401" s="191">
        <v>61955</v>
      </c>
      <c r="B401" s="190" t="s">
        <v>224</v>
      </c>
      <c r="C401" s="190" t="s">
        <v>224</v>
      </c>
      <c r="D401" s="190" t="s">
        <v>224</v>
      </c>
      <c r="E401" s="190" t="s">
        <v>224</v>
      </c>
    </row>
    <row r="402" spans="1:5" ht="15.75" x14ac:dyDescent="0.25">
      <c r="A402" s="191">
        <v>61956</v>
      </c>
      <c r="B402" s="190" t="s">
        <v>224</v>
      </c>
      <c r="C402" s="190" t="s">
        <v>224</v>
      </c>
      <c r="D402" s="190" t="s">
        <v>224</v>
      </c>
      <c r="E402" s="190" t="s">
        <v>224</v>
      </c>
    </row>
    <row r="403" spans="1:5" ht="15.75" x14ac:dyDescent="0.25">
      <c r="A403" s="191">
        <v>61957</v>
      </c>
      <c r="B403" s="190" t="s">
        <v>224</v>
      </c>
      <c r="C403" s="190" t="s">
        <v>224</v>
      </c>
      <c r="D403" s="190" t="s">
        <v>224</v>
      </c>
      <c r="E403" s="190" t="s">
        <v>224</v>
      </c>
    </row>
    <row r="404" spans="1:5" ht="15.75" x14ac:dyDescent="0.25">
      <c r="A404" s="191">
        <v>62001</v>
      </c>
      <c r="B404" s="190" t="s">
        <v>225</v>
      </c>
      <c r="C404" s="190" t="s">
        <v>225</v>
      </c>
      <c r="D404" s="190" t="s">
        <v>225</v>
      </c>
      <c r="E404" s="190" t="s">
        <v>225</v>
      </c>
    </row>
    <row r="405" spans="1:5" ht="15.75" x14ac:dyDescent="0.25">
      <c r="A405" s="191">
        <v>62002</v>
      </c>
      <c r="B405" s="190" t="s">
        <v>225</v>
      </c>
      <c r="C405" s="190" t="s">
        <v>225</v>
      </c>
      <c r="D405" s="190" t="s">
        <v>225</v>
      </c>
      <c r="E405" s="190" t="s">
        <v>225</v>
      </c>
    </row>
    <row r="406" spans="1:5" ht="15.75" x14ac:dyDescent="0.25">
      <c r="A406" s="191">
        <v>62006</v>
      </c>
      <c r="B406" s="190" t="s">
        <v>224</v>
      </c>
      <c r="C406" s="190" t="s">
        <v>224</v>
      </c>
      <c r="D406" s="190" t="s">
        <v>224</v>
      </c>
      <c r="E406" s="190" t="s">
        <v>224</v>
      </c>
    </row>
    <row r="407" spans="1:5" ht="15.75" x14ac:dyDescent="0.25">
      <c r="A407" s="191">
        <v>62009</v>
      </c>
      <c r="B407" s="190" t="s">
        <v>224</v>
      </c>
      <c r="C407" s="190" t="s">
        <v>224</v>
      </c>
      <c r="D407" s="190" t="s">
        <v>225</v>
      </c>
      <c r="E407" s="190" t="s">
        <v>225</v>
      </c>
    </row>
    <row r="408" spans="1:5" ht="15.75" x14ac:dyDescent="0.25">
      <c r="A408" s="191">
        <v>62010</v>
      </c>
      <c r="B408" s="190" t="s">
        <v>225</v>
      </c>
      <c r="C408" s="190" t="s">
        <v>225</v>
      </c>
      <c r="D408" s="190" t="s">
        <v>225</v>
      </c>
      <c r="E408" s="190" t="s">
        <v>225</v>
      </c>
    </row>
    <row r="409" spans="1:5" ht="15.75" x14ac:dyDescent="0.25">
      <c r="A409" s="191">
        <v>62011</v>
      </c>
      <c r="B409" s="190" t="s">
        <v>224</v>
      </c>
      <c r="C409" s="190" t="s">
        <v>224</v>
      </c>
      <c r="D409" s="190" t="s">
        <v>225</v>
      </c>
      <c r="E409" s="190" t="s">
        <v>225</v>
      </c>
    </row>
    <row r="410" spans="1:5" ht="15.75" x14ac:dyDescent="0.25">
      <c r="A410" s="191">
        <v>62012</v>
      </c>
      <c r="B410" s="190" t="s">
        <v>224</v>
      </c>
      <c r="C410" s="190" t="s">
        <v>224</v>
      </c>
      <c r="D410" s="190" t="s">
        <v>225</v>
      </c>
      <c r="E410" s="190" t="s">
        <v>225</v>
      </c>
    </row>
    <row r="411" spans="1:5" ht="15.75" x14ac:dyDescent="0.25">
      <c r="A411" s="191">
        <v>62013</v>
      </c>
      <c r="B411" s="190" t="s">
        <v>224</v>
      </c>
      <c r="C411" s="190" t="s">
        <v>224</v>
      </c>
      <c r="D411" s="190" t="s">
        <v>224</v>
      </c>
      <c r="E411" s="190" t="s">
        <v>224</v>
      </c>
    </row>
    <row r="412" spans="1:5" ht="15.75" x14ac:dyDescent="0.25">
      <c r="A412" s="191">
        <v>62014</v>
      </c>
      <c r="B412" s="190" t="s">
        <v>224</v>
      </c>
      <c r="C412" s="190" t="s">
        <v>224</v>
      </c>
      <c r="D412" s="190" t="s">
        <v>225</v>
      </c>
      <c r="E412" s="190" t="s">
        <v>225</v>
      </c>
    </row>
    <row r="413" spans="1:5" ht="15.75" x14ac:dyDescent="0.25">
      <c r="A413" s="191">
        <v>62015</v>
      </c>
      <c r="B413" s="190" t="s">
        <v>224</v>
      </c>
      <c r="C413" s="190" t="s">
        <v>224</v>
      </c>
      <c r="D413" s="190" t="s">
        <v>225</v>
      </c>
      <c r="E413" s="190" t="s">
        <v>225</v>
      </c>
    </row>
    <row r="414" spans="1:5" ht="15.75" x14ac:dyDescent="0.25">
      <c r="A414" s="191">
        <v>62016</v>
      </c>
      <c r="B414" s="190" t="s">
        <v>224</v>
      </c>
      <c r="C414" s="190" t="s">
        <v>224</v>
      </c>
      <c r="D414" s="190" t="s">
        <v>224</v>
      </c>
      <c r="E414" s="190" t="s">
        <v>224</v>
      </c>
    </row>
    <row r="415" spans="1:5" ht="15.75" x14ac:dyDescent="0.25">
      <c r="A415" s="191">
        <v>62017</v>
      </c>
      <c r="B415" s="190" t="s">
        <v>224</v>
      </c>
      <c r="C415" s="190" t="s">
        <v>224</v>
      </c>
      <c r="D415" s="190" t="s">
        <v>225</v>
      </c>
      <c r="E415" s="190" t="s">
        <v>225</v>
      </c>
    </row>
    <row r="416" spans="1:5" ht="15.75" x14ac:dyDescent="0.25">
      <c r="A416" s="191">
        <v>62018</v>
      </c>
      <c r="B416" s="190" t="s">
        <v>225</v>
      </c>
      <c r="C416" s="190" t="s">
        <v>225</v>
      </c>
      <c r="D416" s="190" t="s">
        <v>225</v>
      </c>
      <c r="E416" s="190" t="s">
        <v>225</v>
      </c>
    </row>
    <row r="417" spans="1:5" ht="15.75" x14ac:dyDescent="0.25">
      <c r="A417" s="191">
        <v>62019</v>
      </c>
      <c r="B417" s="190" t="s">
        <v>224</v>
      </c>
      <c r="C417" s="190" t="s">
        <v>224</v>
      </c>
      <c r="D417" s="190" t="s">
        <v>225</v>
      </c>
      <c r="E417" s="190" t="s">
        <v>225</v>
      </c>
    </row>
    <row r="418" spans="1:5" ht="15.75" x14ac:dyDescent="0.25">
      <c r="A418" s="191">
        <v>62021</v>
      </c>
      <c r="B418" s="190" t="s">
        <v>225</v>
      </c>
      <c r="C418" s="190" t="s">
        <v>225</v>
      </c>
      <c r="D418" s="190" t="s">
        <v>225</v>
      </c>
      <c r="E418" s="190" t="s">
        <v>225</v>
      </c>
    </row>
    <row r="419" spans="1:5" ht="15.75" x14ac:dyDescent="0.25">
      <c r="A419" s="191">
        <v>62022</v>
      </c>
      <c r="B419" s="190" t="s">
        <v>224</v>
      </c>
      <c r="C419" s="190" t="s">
        <v>224</v>
      </c>
      <c r="D419" s="190" t="s">
        <v>225</v>
      </c>
      <c r="E419" s="190" t="s">
        <v>225</v>
      </c>
    </row>
    <row r="420" spans="1:5" ht="15.75" x14ac:dyDescent="0.25">
      <c r="A420" s="191">
        <v>62023</v>
      </c>
      <c r="B420" s="190" t="s">
        <v>224</v>
      </c>
      <c r="C420" s="190" t="s">
        <v>224</v>
      </c>
      <c r="D420" s="190" t="s">
        <v>225</v>
      </c>
      <c r="E420" s="190" t="s">
        <v>225</v>
      </c>
    </row>
    <row r="421" spans="1:5" ht="15.75" x14ac:dyDescent="0.25">
      <c r="A421" s="191">
        <v>62024</v>
      </c>
      <c r="B421" s="190" t="s">
        <v>225</v>
      </c>
      <c r="C421" s="190" t="s">
        <v>225</v>
      </c>
      <c r="D421" s="190" t="s">
        <v>225</v>
      </c>
      <c r="E421" s="190" t="s">
        <v>225</v>
      </c>
    </row>
    <row r="422" spans="1:5" ht="15.75" x14ac:dyDescent="0.25">
      <c r="A422" s="191">
        <v>62025</v>
      </c>
      <c r="B422" s="190" t="s">
        <v>225</v>
      </c>
      <c r="C422" s="190" t="s">
        <v>225</v>
      </c>
      <c r="D422" s="190" t="s">
        <v>225</v>
      </c>
      <c r="E422" s="190" t="s">
        <v>225</v>
      </c>
    </row>
    <row r="423" spans="1:5" ht="15.75" x14ac:dyDescent="0.25">
      <c r="A423" s="191">
        <v>62026</v>
      </c>
      <c r="B423" s="190" t="s">
        <v>225</v>
      </c>
      <c r="C423" s="190" t="s">
        <v>225</v>
      </c>
      <c r="D423" s="190" t="s">
        <v>225</v>
      </c>
      <c r="E423" s="190" t="s">
        <v>225</v>
      </c>
    </row>
    <row r="424" spans="1:5" ht="15.75" x14ac:dyDescent="0.25">
      <c r="A424" s="191">
        <v>62027</v>
      </c>
      <c r="B424" s="190" t="s">
        <v>224</v>
      </c>
      <c r="C424" s="190" t="s">
        <v>224</v>
      </c>
      <c r="D424" s="190" t="s">
        <v>224</v>
      </c>
      <c r="E424" s="190" t="s">
        <v>224</v>
      </c>
    </row>
    <row r="425" spans="1:5" ht="15.75" x14ac:dyDescent="0.25">
      <c r="A425" s="191">
        <v>62028</v>
      </c>
      <c r="B425" s="190" t="s">
        <v>224</v>
      </c>
      <c r="C425" s="190" t="s">
        <v>224</v>
      </c>
      <c r="D425" s="190" t="s">
        <v>225</v>
      </c>
      <c r="E425" s="190" t="s">
        <v>225</v>
      </c>
    </row>
    <row r="426" spans="1:5" ht="15.75" x14ac:dyDescent="0.25">
      <c r="A426" s="191">
        <v>62030</v>
      </c>
      <c r="B426" s="190" t="s">
        <v>224</v>
      </c>
      <c r="C426" s="190" t="s">
        <v>224</v>
      </c>
      <c r="D426" s="190" t="s">
        <v>225</v>
      </c>
      <c r="E426" s="190" t="s">
        <v>225</v>
      </c>
    </row>
    <row r="427" spans="1:5" ht="15.75" x14ac:dyDescent="0.25">
      <c r="A427" s="191">
        <v>62031</v>
      </c>
      <c r="B427" s="190" t="s">
        <v>224</v>
      </c>
      <c r="C427" s="190" t="s">
        <v>224</v>
      </c>
      <c r="D427" s="190" t="s">
        <v>225</v>
      </c>
      <c r="E427" s="190" t="s">
        <v>225</v>
      </c>
    </row>
    <row r="428" spans="1:5" ht="15.75" x14ac:dyDescent="0.25">
      <c r="A428" s="191">
        <v>62032</v>
      </c>
      <c r="B428" s="190" t="s">
        <v>224</v>
      </c>
      <c r="C428" s="190" t="s">
        <v>224</v>
      </c>
      <c r="D428" s="190" t="s">
        <v>225</v>
      </c>
      <c r="E428" s="190" t="s">
        <v>225</v>
      </c>
    </row>
    <row r="429" spans="1:5" ht="15.75" x14ac:dyDescent="0.25">
      <c r="A429" s="191">
        <v>62033</v>
      </c>
      <c r="B429" s="190" t="s">
        <v>224</v>
      </c>
      <c r="C429" s="190" t="s">
        <v>224</v>
      </c>
      <c r="D429" s="190" t="s">
        <v>225</v>
      </c>
      <c r="E429" s="190" t="s">
        <v>225</v>
      </c>
    </row>
    <row r="430" spans="1:5" ht="15.75" x14ac:dyDescent="0.25">
      <c r="A430" s="191">
        <v>62034</v>
      </c>
      <c r="B430" s="190" t="s">
        <v>225</v>
      </c>
      <c r="C430" s="190" t="s">
        <v>225</v>
      </c>
      <c r="D430" s="190" t="s">
        <v>225</v>
      </c>
      <c r="E430" s="190" t="s">
        <v>225</v>
      </c>
    </row>
    <row r="431" spans="1:5" ht="15.75" x14ac:dyDescent="0.25">
      <c r="A431" s="191">
        <v>62035</v>
      </c>
      <c r="B431" s="190" t="s">
        <v>225</v>
      </c>
      <c r="C431" s="190" t="s">
        <v>225</v>
      </c>
      <c r="D431" s="190" t="s">
        <v>225</v>
      </c>
      <c r="E431" s="190" t="s">
        <v>225</v>
      </c>
    </row>
    <row r="432" spans="1:5" ht="15.75" x14ac:dyDescent="0.25">
      <c r="A432" s="191">
        <v>62037</v>
      </c>
      <c r="B432" s="190" t="s">
        <v>224</v>
      </c>
      <c r="C432" s="190" t="s">
        <v>224</v>
      </c>
      <c r="D432" s="190" t="s">
        <v>225</v>
      </c>
      <c r="E432" s="190" t="s">
        <v>225</v>
      </c>
    </row>
    <row r="433" spans="1:5" ht="15.75" x14ac:dyDescent="0.25">
      <c r="A433" s="191">
        <v>62040</v>
      </c>
      <c r="B433" s="190" t="s">
        <v>225</v>
      </c>
      <c r="C433" s="190" t="s">
        <v>225</v>
      </c>
      <c r="D433" s="190" t="s">
        <v>225</v>
      </c>
      <c r="E433" s="190" t="s">
        <v>225</v>
      </c>
    </row>
    <row r="434" spans="1:5" ht="15.75" x14ac:dyDescent="0.25">
      <c r="A434" s="191">
        <v>62044</v>
      </c>
      <c r="B434" s="190" t="s">
        <v>224</v>
      </c>
      <c r="C434" s="190" t="s">
        <v>224</v>
      </c>
      <c r="D434" s="190" t="s">
        <v>224</v>
      </c>
      <c r="E434" s="190" t="s">
        <v>224</v>
      </c>
    </row>
    <row r="435" spans="1:5" ht="15.75" x14ac:dyDescent="0.25">
      <c r="A435" s="191">
        <v>62045</v>
      </c>
      <c r="B435" s="190" t="s">
        <v>224</v>
      </c>
      <c r="C435" s="190" t="s">
        <v>224</v>
      </c>
      <c r="D435" s="190" t="s">
        <v>224</v>
      </c>
      <c r="E435" s="190" t="s">
        <v>224</v>
      </c>
    </row>
    <row r="436" spans="1:5" ht="15.75" x14ac:dyDescent="0.25">
      <c r="A436" s="191">
        <v>62046</v>
      </c>
      <c r="B436" s="190" t="s">
        <v>225</v>
      </c>
      <c r="C436" s="190" t="s">
        <v>225</v>
      </c>
      <c r="D436" s="190" t="s">
        <v>225</v>
      </c>
      <c r="E436" s="190" t="s">
        <v>225</v>
      </c>
    </row>
    <row r="437" spans="1:5" ht="15.75" x14ac:dyDescent="0.25">
      <c r="A437" s="191">
        <v>62047</v>
      </c>
      <c r="B437" s="190" t="s">
        <v>224</v>
      </c>
      <c r="C437" s="190" t="s">
        <v>224</v>
      </c>
      <c r="D437" s="190" t="s">
        <v>224</v>
      </c>
      <c r="E437" s="190" t="s">
        <v>224</v>
      </c>
    </row>
    <row r="438" spans="1:5" ht="15.75" x14ac:dyDescent="0.25">
      <c r="A438" s="191">
        <v>62048</v>
      </c>
      <c r="B438" s="190" t="s">
        <v>225</v>
      </c>
      <c r="C438" s="190" t="s">
        <v>225</v>
      </c>
      <c r="D438" s="190" t="s">
        <v>225</v>
      </c>
      <c r="E438" s="190" t="s">
        <v>225</v>
      </c>
    </row>
    <row r="439" spans="1:5" ht="15.75" x14ac:dyDescent="0.25">
      <c r="A439" s="191">
        <v>62049</v>
      </c>
      <c r="B439" s="190" t="s">
        <v>224</v>
      </c>
      <c r="C439" s="190" t="s">
        <v>224</v>
      </c>
      <c r="D439" s="190" t="s">
        <v>225</v>
      </c>
      <c r="E439" s="190" t="s">
        <v>225</v>
      </c>
    </row>
    <row r="440" spans="1:5" ht="15.75" x14ac:dyDescent="0.25">
      <c r="A440" s="191">
        <v>62050</v>
      </c>
      <c r="B440" s="190" t="s">
        <v>224</v>
      </c>
      <c r="C440" s="190" t="s">
        <v>224</v>
      </c>
      <c r="D440" s="190" t="s">
        <v>224</v>
      </c>
      <c r="E440" s="190" t="s">
        <v>224</v>
      </c>
    </row>
    <row r="441" spans="1:5" ht="15.75" x14ac:dyDescent="0.25">
      <c r="A441" s="191">
        <v>62051</v>
      </c>
      <c r="B441" s="190" t="s">
        <v>224</v>
      </c>
      <c r="C441" s="190" t="s">
        <v>224</v>
      </c>
      <c r="D441" s="190" t="s">
        <v>225</v>
      </c>
      <c r="E441" s="190" t="s">
        <v>225</v>
      </c>
    </row>
    <row r="442" spans="1:5" ht="15.75" x14ac:dyDescent="0.25">
      <c r="A442" s="191">
        <v>62052</v>
      </c>
      <c r="B442" s="190" t="s">
        <v>224</v>
      </c>
      <c r="C442" s="190" t="s">
        <v>224</v>
      </c>
      <c r="D442" s="190" t="s">
        <v>225</v>
      </c>
      <c r="E442" s="190" t="s">
        <v>225</v>
      </c>
    </row>
    <row r="443" spans="1:5" ht="15.75" x14ac:dyDescent="0.25">
      <c r="A443" s="191">
        <v>62053</v>
      </c>
      <c r="B443" s="190" t="s">
        <v>224</v>
      </c>
      <c r="C443" s="190" t="s">
        <v>224</v>
      </c>
      <c r="D443" s="190" t="s">
        <v>224</v>
      </c>
      <c r="E443" s="190" t="s">
        <v>224</v>
      </c>
    </row>
    <row r="444" spans="1:5" ht="15.75" x14ac:dyDescent="0.25">
      <c r="A444" s="191">
        <v>62054</v>
      </c>
      <c r="B444" s="190" t="s">
        <v>224</v>
      </c>
      <c r="C444" s="190" t="s">
        <v>224</v>
      </c>
      <c r="D444" s="190" t="s">
        <v>224</v>
      </c>
      <c r="E444" s="190" t="s">
        <v>224</v>
      </c>
    </row>
    <row r="445" spans="1:5" ht="15.75" x14ac:dyDescent="0.25">
      <c r="A445" s="191">
        <v>62056</v>
      </c>
      <c r="B445" s="190" t="s">
        <v>224</v>
      </c>
      <c r="C445" s="190" t="s">
        <v>224</v>
      </c>
      <c r="D445" s="190" t="s">
        <v>225</v>
      </c>
      <c r="E445" s="190" t="s">
        <v>225</v>
      </c>
    </row>
    <row r="446" spans="1:5" ht="15.75" x14ac:dyDescent="0.25">
      <c r="A446" s="191">
        <v>62058</v>
      </c>
      <c r="B446" s="190" t="s">
        <v>225</v>
      </c>
      <c r="C446" s="190" t="s">
        <v>225</v>
      </c>
      <c r="D446" s="190" t="s">
        <v>225</v>
      </c>
      <c r="E446" s="190" t="s">
        <v>225</v>
      </c>
    </row>
    <row r="447" spans="1:5" ht="15.75" x14ac:dyDescent="0.25">
      <c r="A447" s="191">
        <v>62059</v>
      </c>
      <c r="B447" s="190" t="s">
        <v>225</v>
      </c>
      <c r="C447" s="190" t="s">
        <v>225</v>
      </c>
      <c r="D447" s="190" t="s">
        <v>225</v>
      </c>
      <c r="E447" s="190" t="s">
        <v>225</v>
      </c>
    </row>
    <row r="448" spans="1:5" ht="15.75" x14ac:dyDescent="0.25">
      <c r="A448" s="191">
        <v>62060</v>
      </c>
      <c r="B448" s="190" t="s">
        <v>225</v>
      </c>
      <c r="C448" s="190" t="s">
        <v>225</v>
      </c>
      <c r="D448" s="190" t="s">
        <v>225</v>
      </c>
      <c r="E448" s="190" t="s">
        <v>225</v>
      </c>
    </row>
    <row r="449" spans="1:5" ht="15.75" x14ac:dyDescent="0.25">
      <c r="A449" s="191">
        <v>62061</v>
      </c>
      <c r="B449" s="190" t="s">
        <v>225</v>
      </c>
      <c r="C449" s="190" t="s">
        <v>225</v>
      </c>
      <c r="D449" s="190" t="s">
        <v>225</v>
      </c>
      <c r="E449" s="190" t="s">
        <v>225</v>
      </c>
    </row>
    <row r="450" spans="1:5" ht="15.75" x14ac:dyDescent="0.25">
      <c r="A450" s="191">
        <v>62062</v>
      </c>
      <c r="B450" s="190" t="s">
        <v>225</v>
      </c>
      <c r="C450" s="190" t="s">
        <v>225</v>
      </c>
      <c r="D450" s="190" t="s">
        <v>225</v>
      </c>
      <c r="E450" s="190" t="s">
        <v>225</v>
      </c>
    </row>
    <row r="451" spans="1:5" ht="15.75" x14ac:dyDescent="0.25">
      <c r="A451" s="191">
        <v>62063</v>
      </c>
      <c r="B451" s="190" t="s">
        <v>224</v>
      </c>
      <c r="C451" s="190" t="s">
        <v>224</v>
      </c>
      <c r="D451" s="190" t="s">
        <v>225</v>
      </c>
      <c r="E451" s="190" t="s">
        <v>225</v>
      </c>
    </row>
    <row r="452" spans="1:5" ht="15.75" x14ac:dyDescent="0.25">
      <c r="A452" s="191">
        <v>62065</v>
      </c>
      <c r="B452" s="190" t="s">
        <v>224</v>
      </c>
      <c r="C452" s="190" t="s">
        <v>224</v>
      </c>
      <c r="D452" s="190" t="s">
        <v>224</v>
      </c>
      <c r="E452" s="190" t="s">
        <v>224</v>
      </c>
    </row>
    <row r="453" spans="1:5" ht="15.75" x14ac:dyDescent="0.25">
      <c r="A453" s="191">
        <v>62067</v>
      </c>
      <c r="B453" s="190" t="s">
        <v>225</v>
      </c>
      <c r="C453" s="190" t="s">
        <v>225</v>
      </c>
      <c r="D453" s="190" t="s">
        <v>225</v>
      </c>
      <c r="E453" s="190" t="s">
        <v>225</v>
      </c>
    </row>
    <row r="454" spans="1:5" ht="15.75" x14ac:dyDescent="0.25">
      <c r="A454" s="191">
        <v>62069</v>
      </c>
      <c r="B454" s="190" t="s">
        <v>224</v>
      </c>
      <c r="C454" s="190" t="s">
        <v>224</v>
      </c>
      <c r="D454" s="190" t="s">
        <v>225</v>
      </c>
      <c r="E454" s="190" t="s">
        <v>225</v>
      </c>
    </row>
    <row r="455" spans="1:5" ht="15.75" x14ac:dyDescent="0.25">
      <c r="A455" s="191">
        <v>62070</v>
      </c>
      <c r="B455" s="190" t="s">
        <v>224</v>
      </c>
      <c r="C455" s="190" t="s">
        <v>224</v>
      </c>
      <c r="D455" s="190" t="s">
        <v>224</v>
      </c>
      <c r="E455" s="190" t="s">
        <v>224</v>
      </c>
    </row>
    <row r="456" spans="1:5" ht="15.75" x14ac:dyDescent="0.25">
      <c r="A456" s="191">
        <v>62071</v>
      </c>
      <c r="B456" s="190" t="s">
        <v>225</v>
      </c>
      <c r="C456" s="190" t="s">
        <v>225</v>
      </c>
      <c r="D456" s="190" t="s">
        <v>225</v>
      </c>
      <c r="E456" s="190" t="s">
        <v>225</v>
      </c>
    </row>
    <row r="457" spans="1:5" ht="15.75" x14ac:dyDescent="0.25">
      <c r="A457" s="191">
        <v>62074</v>
      </c>
      <c r="B457" s="190" t="s">
        <v>225</v>
      </c>
      <c r="C457" s="190" t="s">
        <v>225</v>
      </c>
      <c r="D457" s="190" t="s">
        <v>225</v>
      </c>
      <c r="E457" s="190" t="s">
        <v>225</v>
      </c>
    </row>
    <row r="458" spans="1:5" ht="15.75" x14ac:dyDescent="0.25">
      <c r="A458" s="191">
        <v>62075</v>
      </c>
      <c r="B458" s="190" t="s">
        <v>224</v>
      </c>
      <c r="C458" s="190" t="s">
        <v>224</v>
      </c>
      <c r="D458" s="190" t="s">
        <v>225</v>
      </c>
      <c r="E458" s="190" t="s">
        <v>225</v>
      </c>
    </row>
    <row r="459" spans="1:5" ht="15.75" x14ac:dyDescent="0.25">
      <c r="A459" s="191">
        <v>62076</v>
      </c>
      <c r="B459" s="190" t="s">
        <v>224</v>
      </c>
      <c r="C459" s="190" t="s">
        <v>224</v>
      </c>
      <c r="D459" s="190" t="s">
        <v>225</v>
      </c>
      <c r="E459" s="190" t="s">
        <v>225</v>
      </c>
    </row>
    <row r="460" spans="1:5" ht="15.75" x14ac:dyDescent="0.25">
      <c r="A460" s="191">
        <v>62077</v>
      </c>
      <c r="B460" s="190" t="s">
        <v>224</v>
      </c>
      <c r="C460" s="190" t="s">
        <v>224</v>
      </c>
      <c r="D460" s="190" t="s">
        <v>225</v>
      </c>
      <c r="E460" s="190" t="s">
        <v>225</v>
      </c>
    </row>
    <row r="461" spans="1:5" ht="15.75" x14ac:dyDescent="0.25">
      <c r="A461" s="191">
        <v>62078</v>
      </c>
      <c r="B461" s="190" t="s">
        <v>224</v>
      </c>
      <c r="C461" s="190" t="s">
        <v>224</v>
      </c>
      <c r="D461" s="190" t="s">
        <v>224</v>
      </c>
      <c r="E461" s="190" t="s">
        <v>224</v>
      </c>
    </row>
    <row r="462" spans="1:5" ht="15.75" x14ac:dyDescent="0.25">
      <c r="A462" s="191">
        <v>62079</v>
      </c>
      <c r="B462" s="190" t="s">
        <v>224</v>
      </c>
      <c r="C462" s="190" t="s">
        <v>224</v>
      </c>
      <c r="D462" s="190" t="s">
        <v>225</v>
      </c>
      <c r="E462" s="190" t="s">
        <v>225</v>
      </c>
    </row>
    <row r="463" spans="1:5" ht="15.75" x14ac:dyDescent="0.25">
      <c r="A463" s="191">
        <v>62080</v>
      </c>
      <c r="B463" s="190" t="s">
        <v>224</v>
      </c>
      <c r="C463" s="190" t="s">
        <v>224</v>
      </c>
      <c r="D463" s="190" t="s">
        <v>225</v>
      </c>
      <c r="E463" s="190" t="s">
        <v>225</v>
      </c>
    </row>
    <row r="464" spans="1:5" ht="15.75" x14ac:dyDescent="0.25">
      <c r="A464" s="191">
        <v>62081</v>
      </c>
      <c r="B464" s="190" t="s">
        <v>224</v>
      </c>
      <c r="C464" s="190" t="s">
        <v>224</v>
      </c>
      <c r="D464" s="190" t="s">
        <v>224</v>
      </c>
      <c r="E464" s="190" t="s">
        <v>224</v>
      </c>
    </row>
    <row r="465" spans="1:5" ht="15.75" x14ac:dyDescent="0.25">
      <c r="A465" s="191">
        <v>62082</v>
      </c>
      <c r="B465" s="190" t="s">
        <v>224</v>
      </c>
      <c r="C465" s="190" t="s">
        <v>224</v>
      </c>
      <c r="D465" s="190" t="s">
        <v>224</v>
      </c>
      <c r="E465" s="190" t="s">
        <v>224</v>
      </c>
    </row>
    <row r="466" spans="1:5" ht="15.75" x14ac:dyDescent="0.25">
      <c r="A466" s="191">
        <v>62083</v>
      </c>
      <c r="B466" s="190" t="s">
        <v>224</v>
      </c>
      <c r="C466" s="190" t="s">
        <v>224</v>
      </c>
      <c r="D466" s="190" t="s">
        <v>224</v>
      </c>
      <c r="E466" s="190" t="s">
        <v>224</v>
      </c>
    </row>
    <row r="467" spans="1:5" ht="15.75" x14ac:dyDescent="0.25">
      <c r="A467" s="191">
        <v>62084</v>
      </c>
      <c r="B467" s="190" t="s">
        <v>225</v>
      </c>
      <c r="C467" s="190" t="s">
        <v>225</v>
      </c>
      <c r="D467" s="190" t="s">
        <v>225</v>
      </c>
      <c r="E467" s="190" t="s">
        <v>225</v>
      </c>
    </row>
    <row r="468" spans="1:5" ht="15.75" x14ac:dyDescent="0.25">
      <c r="A468" s="191">
        <v>62085</v>
      </c>
      <c r="B468" s="190" t="s">
        <v>224</v>
      </c>
      <c r="C468" s="190" t="s">
        <v>224</v>
      </c>
      <c r="D468" s="190" t="s">
        <v>225</v>
      </c>
      <c r="E468" s="190" t="s">
        <v>225</v>
      </c>
    </row>
    <row r="469" spans="1:5" ht="15.75" x14ac:dyDescent="0.25">
      <c r="A469" s="191">
        <v>62086</v>
      </c>
      <c r="B469" s="190" t="s">
        <v>224</v>
      </c>
      <c r="C469" s="190" t="s">
        <v>224</v>
      </c>
      <c r="D469" s="190" t="s">
        <v>225</v>
      </c>
      <c r="E469" s="190" t="s">
        <v>225</v>
      </c>
    </row>
    <row r="470" spans="1:5" ht="15.75" x14ac:dyDescent="0.25">
      <c r="A470" s="191">
        <v>62087</v>
      </c>
      <c r="B470" s="190" t="s">
        <v>225</v>
      </c>
      <c r="C470" s="190" t="s">
        <v>225</v>
      </c>
      <c r="D470" s="190" t="s">
        <v>225</v>
      </c>
      <c r="E470" s="190" t="s">
        <v>225</v>
      </c>
    </row>
    <row r="471" spans="1:5" ht="15.75" x14ac:dyDescent="0.25">
      <c r="A471" s="191">
        <v>62088</v>
      </c>
      <c r="B471" s="190" t="s">
        <v>224</v>
      </c>
      <c r="C471" s="190" t="s">
        <v>224</v>
      </c>
      <c r="D471" s="190" t="s">
        <v>225</v>
      </c>
      <c r="E471" s="190" t="s">
        <v>225</v>
      </c>
    </row>
    <row r="472" spans="1:5" ht="15.75" x14ac:dyDescent="0.25">
      <c r="A472" s="191">
        <v>62089</v>
      </c>
      <c r="B472" s="190" t="s">
        <v>224</v>
      </c>
      <c r="C472" s="190" t="s">
        <v>224</v>
      </c>
      <c r="D472" s="190" t="s">
        <v>225</v>
      </c>
      <c r="E472" s="190" t="s">
        <v>225</v>
      </c>
    </row>
    <row r="473" spans="1:5" ht="15.75" x14ac:dyDescent="0.25">
      <c r="A473" s="191">
        <v>62090</v>
      </c>
      <c r="B473" s="190" t="s">
        <v>225</v>
      </c>
      <c r="C473" s="190" t="s">
        <v>225</v>
      </c>
      <c r="D473" s="190" t="s">
        <v>225</v>
      </c>
      <c r="E473" s="190" t="s">
        <v>225</v>
      </c>
    </row>
    <row r="474" spans="1:5" ht="15.75" x14ac:dyDescent="0.25">
      <c r="A474" s="191">
        <v>62091</v>
      </c>
      <c r="B474" s="190" t="s">
        <v>224</v>
      </c>
      <c r="C474" s="190" t="s">
        <v>224</v>
      </c>
      <c r="D474" s="190" t="s">
        <v>225</v>
      </c>
      <c r="E474" s="190" t="s">
        <v>225</v>
      </c>
    </row>
    <row r="475" spans="1:5" ht="15.75" x14ac:dyDescent="0.25">
      <c r="A475" s="191">
        <v>62092</v>
      </c>
      <c r="B475" s="190" t="s">
        <v>224</v>
      </c>
      <c r="C475" s="190" t="s">
        <v>224</v>
      </c>
      <c r="D475" s="190" t="s">
        <v>224</v>
      </c>
      <c r="E475" s="190" t="s">
        <v>224</v>
      </c>
    </row>
    <row r="476" spans="1:5" ht="15.75" x14ac:dyDescent="0.25">
      <c r="A476" s="191">
        <v>62093</v>
      </c>
      <c r="B476" s="190" t="s">
        <v>224</v>
      </c>
      <c r="C476" s="190" t="s">
        <v>224</v>
      </c>
      <c r="D476" s="190" t="s">
        <v>225</v>
      </c>
      <c r="E476" s="190" t="s">
        <v>225</v>
      </c>
    </row>
    <row r="477" spans="1:5" ht="15.75" x14ac:dyDescent="0.25">
      <c r="A477" s="191">
        <v>62094</v>
      </c>
      <c r="B477" s="190" t="s">
        <v>224</v>
      </c>
      <c r="C477" s="190" t="s">
        <v>224</v>
      </c>
      <c r="D477" s="190" t="s">
        <v>225</v>
      </c>
      <c r="E477" s="190" t="s">
        <v>225</v>
      </c>
    </row>
    <row r="478" spans="1:5" ht="15.75" x14ac:dyDescent="0.25">
      <c r="A478" s="191">
        <v>62095</v>
      </c>
      <c r="B478" s="190" t="s">
        <v>225</v>
      </c>
      <c r="C478" s="190" t="s">
        <v>225</v>
      </c>
      <c r="D478" s="190" t="s">
        <v>225</v>
      </c>
      <c r="E478" s="190" t="s">
        <v>225</v>
      </c>
    </row>
    <row r="479" spans="1:5" ht="15.75" x14ac:dyDescent="0.25">
      <c r="A479" s="191">
        <v>62097</v>
      </c>
      <c r="B479" s="190" t="s">
        <v>225</v>
      </c>
      <c r="C479" s="190" t="s">
        <v>225</v>
      </c>
      <c r="D479" s="190" t="s">
        <v>225</v>
      </c>
      <c r="E479" s="190" t="s">
        <v>225</v>
      </c>
    </row>
    <row r="480" spans="1:5" ht="15.75" x14ac:dyDescent="0.25">
      <c r="A480" s="191">
        <v>62098</v>
      </c>
      <c r="B480" s="190" t="s">
        <v>224</v>
      </c>
      <c r="C480" s="190" t="s">
        <v>224</v>
      </c>
      <c r="D480" s="190" t="s">
        <v>224</v>
      </c>
      <c r="E480" s="190" t="s">
        <v>224</v>
      </c>
    </row>
    <row r="481" spans="1:5" ht="15.75" x14ac:dyDescent="0.25">
      <c r="A481" s="191">
        <v>62201</v>
      </c>
      <c r="B481" s="190" t="s">
        <v>225</v>
      </c>
      <c r="C481" s="190" t="s">
        <v>225</v>
      </c>
      <c r="D481" s="190" t="s">
        <v>225</v>
      </c>
      <c r="E481" s="190" t="s">
        <v>225</v>
      </c>
    </row>
    <row r="482" spans="1:5" ht="15.75" x14ac:dyDescent="0.25">
      <c r="A482" s="191">
        <v>62202</v>
      </c>
      <c r="B482" s="190" t="s">
        <v>225</v>
      </c>
      <c r="C482" s="190" t="s">
        <v>225</v>
      </c>
      <c r="D482" s="190" t="s">
        <v>225</v>
      </c>
      <c r="E482" s="190" t="s">
        <v>225</v>
      </c>
    </row>
    <row r="483" spans="1:5" ht="15.75" x14ac:dyDescent="0.25">
      <c r="A483" s="191">
        <v>62203</v>
      </c>
      <c r="B483" s="190" t="s">
        <v>225</v>
      </c>
      <c r="C483" s="190" t="s">
        <v>225</v>
      </c>
      <c r="D483" s="190" t="s">
        <v>225</v>
      </c>
      <c r="E483" s="190" t="s">
        <v>225</v>
      </c>
    </row>
    <row r="484" spans="1:5" ht="15.75" x14ac:dyDescent="0.25">
      <c r="A484" s="191">
        <v>62204</v>
      </c>
      <c r="B484" s="190" t="s">
        <v>225</v>
      </c>
      <c r="C484" s="190" t="s">
        <v>225</v>
      </c>
      <c r="D484" s="190" t="s">
        <v>225</v>
      </c>
      <c r="E484" s="190" t="s">
        <v>225</v>
      </c>
    </row>
    <row r="485" spans="1:5" ht="15.75" x14ac:dyDescent="0.25">
      <c r="A485" s="191">
        <v>62205</v>
      </c>
      <c r="B485" s="190" t="s">
        <v>225</v>
      </c>
      <c r="C485" s="190" t="s">
        <v>225</v>
      </c>
      <c r="D485" s="190" t="s">
        <v>225</v>
      </c>
      <c r="E485" s="190" t="s">
        <v>225</v>
      </c>
    </row>
    <row r="486" spans="1:5" ht="15.75" x14ac:dyDescent="0.25">
      <c r="A486" s="191">
        <v>62206</v>
      </c>
      <c r="B486" s="190" t="s">
        <v>225</v>
      </c>
      <c r="C486" s="190" t="s">
        <v>225</v>
      </c>
      <c r="D486" s="190" t="s">
        <v>225</v>
      </c>
      <c r="E486" s="190" t="s">
        <v>225</v>
      </c>
    </row>
    <row r="487" spans="1:5" ht="15.75" x14ac:dyDescent="0.25">
      <c r="A487" s="191">
        <v>62207</v>
      </c>
      <c r="B487" s="190" t="s">
        <v>225</v>
      </c>
      <c r="C487" s="190" t="s">
        <v>225</v>
      </c>
      <c r="D487" s="190" t="s">
        <v>225</v>
      </c>
      <c r="E487" s="190" t="s">
        <v>225</v>
      </c>
    </row>
    <row r="488" spans="1:5" ht="15.75" x14ac:dyDescent="0.25">
      <c r="A488" s="191">
        <v>62208</v>
      </c>
      <c r="B488" s="190" t="s">
        <v>225</v>
      </c>
      <c r="C488" s="190" t="s">
        <v>225</v>
      </c>
      <c r="D488" s="190" t="s">
        <v>225</v>
      </c>
      <c r="E488" s="190" t="s">
        <v>225</v>
      </c>
    </row>
    <row r="489" spans="1:5" ht="15.75" x14ac:dyDescent="0.25">
      <c r="A489" s="191">
        <v>62214</v>
      </c>
      <c r="B489" s="190" t="s">
        <v>225</v>
      </c>
      <c r="C489" s="190" t="s">
        <v>225</v>
      </c>
      <c r="D489" s="190" t="s">
        <v>225</v>
      </c>
      <c r="E489" s="190" t="s">
        <v>225</v>
      </c>
    </row>
    <row r="490" spans="1:5" ht="15.75" x14ac:dyDescent="0.25">
      <c r="A490" s="191">
        <v>62215</v>
      </c>
      <c r="B490" s="190" t="s">
        <v>225</v>
      </c>
      <c r="C490" s="190" t="s">
        <v>225</v>
      </c>
      <c r="D490" s="190" t="s">
        <v>225</v>
      </c>
      <c r="E490" s="190" t="s">
        <v>225</v>
      </c>
    </row>
    <row r="491" spans="1:5" ht="15.75" x14ac:dyDescent="0.25">
      <c r="A491" s="191">
        <v>62216</v>
      </c>
      <c r="B491" s="190" t="s">
        <v>225</v>
      </c>
      <c r="C491" s="190" t="s">
        <v>225</v>
      </c>
      <c r="D491" s="190" t="s">
        <v>225</v>
      </c>
      <c r="E491" s="190" t="s">
        <v>225</v>
      </c>
    </row>
    <row r="492" spans="1:5" ht="15.75" x14ac:dyDescent="0.25">
      <c r="A492" s="191">
        <v>62217</v>
      </c>
      <c r="B492" s="190" t="s">
        <v>225</v>
      </c>
      <c r="C492" s="190" t="s">
        <v>225</v>
      </c>
      <c r="D492" s="190" t="s">
        <v>226</v>
      </c>
      <c r="E492" s="190" t="s">
        <v>226</v>
      </c>
    </row>
    <row r="493" spans="1:5" ht="15.75" x14ac:dyDescent="0.25">
      <c r="A493" s="191">
        <v>62218</v>
      </c>
      <c r="B493" s="190" t="s">
        <v>225</v>
      </c>
      <c r="C493" s="190" t="s">
        <v>225</v>
      </c>
      <c r="D493" s="190" t="s">
        <v>225</v>
      </c>
      <c r="E493" s="190" t="s">
        <v>225</v>
      </c>
    </row>
    <row r="494" spans="1:5" ht="15.75" x14ac:dyDescent="0.25">
      <c r="A494" s="191">
        <v>62219</v>
      </c>
      <c r="B494" s="190" t="s">
        <v>225</v>
      </c>
      <c r="C494" s="190" t="s">
        <v>225</v>
      </c>
      <c r="D494" s="190" t="s">
        <v>225</v>
      </c>
      <c r="E494" s="190" t="s">
        <v>225</v>
      </c>
    </row>
    <row r="495" spans="1:5" ht="15.75" x14ac:dyDescent="0.25">
      <c r="A495" s="191">
        <v>62220</v>
      </c>
      <c r="B495" s="190" t="s">
        <v>225</v>
      </c>
      <c r="C495" s="190" t="s">
        <v>225</v>
      </c>
      <c r="D495" s="190" t="s">
        <v>225</v>
      </c>
      <c r="E495" s="190" t="s">
        <v>225</v>
      </c>
    </row>
    <row r="496" spans="1:5" ht="15.75" x14ac:dyDescent="0.25">
      <c r="A496" s="191">
        <v>62221</v>
      </c>
      <c r="B496" s="190" t="s">
        <v>225</v>
      </c>
      <c r="C496" s="190" t="s">
        <v>225</v>
      </c>
      <c r="D496" s="190" t="s">
        <v>225</v>
      </c>
      <c r="E496" s="190" t="s">
        <v>225</v>
      </c>
    </row>
    <row r="497" spans="1:5" ht="15.75" x14ac:dyDescent="0.25">
      <c r="A497" s="191">
        <v>62222</v>
      </c>
      <c r="B497" s="190" t="s">
        <v>225</v>
      </c>
      <c r="C497" s="190" t="s">
        <v>225</v>
      </c>
      <c r="D497" s="190" t="s">
        <v>225</v>
      </c>
      <c r="E497" s="190" t="s">
        <v>225</v>
      </c>
    </row>
    <row r="498" spans="1:5" ht="15.75" x14ac:dyDescent="0.25">
      <c r="A498" s="191">
        <v>62223</v>
      </c>
      <c r="B498" s="190" t="s">
        <v>225</v>
      </c>
      <c r="C498" s="190" t="s">
        <v>225</v>
      </c>
      <c r="D498" s="190" t="s">
        <v>225</v>
      </c>
      <c r="E498" s="190" t="s">
        <v>225</v>
      </c>
    </row>
    <row r="499" spans="1:5" ht="15.75" x14ac:dyDescent="0.25">
      <c r="A499" s="191">
        <v>62225</v>
      </c>
      <c r="B499" s="190" t="s">
        <v>225</v>
      </c>
      <c r="C499" s="190" t="s">
        <v>225</v>
      </c>
      <c r="D499" s="190" t="s">
        <v>225</v>
      </c>
      <c r="E499" s="190" t="s">
        <v>225</v>
      </c>
    </row>
    <row r="500" spans="1:5" ht="15.75" x14ac:dyDescent="0.25">
      <c r="A500" s="191">
        <v>62226</v>
      </c>
      <c r="B500" s="190" t="s">
        <v>225</v>
      </c>
      <c r="C500" s="190" t="s">
        <v>225</v>
      </c>
      <c r="D500" s="190" t="s">
        <v>225</v>
      </c>
      <c r="E500" s="190" t="s">
        <v>225</v>
      </c>
    </row>
    <row r="501" spans="1:5" ht="15.75" x14ac:dyDescent="0.25">
      <c r="A501" s="191">
        <v>62230</v>
      </c>
      <c r="B501" s="190" t="s">
        <v>225</v>
      </c>
      <c r="C501" s="190" t="s">
        <v>225</v>
      </c>
      <c r="D501" s="190" t="s">
        <v>225</v>
      </c>
      <c r="E501" s="190" t="s">
        <v>225</v>
      </c>
    </row>
    <row r="502" spans="1:5" ht="15.75" x14ac:dyDescent="0.25">
      <c r="A502" s="191">
        <v>62231</v>
      </c>
      <c r="B502" s="190" t="s">
        <v>225</v>
      </c>
      <c r="C502" s="190" t="s">
        <v>225</v>
      </c>
      <c r="D502" s="190" t="s">
        <v>225</v>
      </c>
      <c r="E502" s="190" t="s">
        <v>225</v>
      </c>
    </row>
    <row r="503" spans="1:5" ht="15.75" x14ac:dyDescent="0.25">
      <c r="A503" s="191">
        <v>62232</v>
      </c>
      <c r="B503" s="190" t="s">
        <v>225</v>
      </c>
      <c r="C503" s="190" t="s">
        <v>225</v>
      </c>
      <c r="D503" s="190" t="s">
        <v>225</v>
      </c>
      <c r="E503" s="190" t="s">
        <v>225</v>
      </c>
    </row>
    <row r="504" spans="1:5" ht="15.75" x14ac:dyDescent="0.25">
      <c r="A504" s="191">
        <v>62233</v>
      </c>
      <c r="B504" s="190" t="s">
        <v>225</v>
      </c>
      <c r="C504" s="190" t="s">
        <v>225</v>
      </c>
      <c r="D504" s="190" t="s">
        <v>226</v>
      </c>
      <c r="E504" s="190" t="s">
        <v>226</v>
      </c>
    </row>
    <row r="505" spans="1:5" ht="15.75" x14ac:dyDescent="0.25">
      <c r="A505" s="191">
        <v>62234</v>
      </c>
      <c r="B505" s="190" t="s">
        <v>225</v>
      </c>
      <c r="C505" s="190" t="s">
        <v>225</v>
      </c>
      <c r="D505" s="190" t="s">
        <v>225</v>
      </c>
      <c r="E505" s="190" t="s">
        <v>225</v>
      </c>
    </row>
    <row r="506" spans="1:5" ht="15.75" x14ac:dyDescent="0.25">
      <c r="A506" s="191">
        <v>62236</v>
      </c>
      <c r="B506" s="190" t="s">
        <v>225</v>
      </c>
      <c r="C506" s="190" t="s">
        <v>225</v>
      </c>
      <c r="D506" s="190" t="s">
        <v>225</v>
      </c>
      <c r="E506" s="190" t="s">
        <v>225</v>
      </c>
    </row>
    <row r="507" spans="1:5" ht="15.75" x14ac:dyDescent="0.25">
      <c r="A507" s="191">
        <v>62237</v>
      </c>
      <c r="B507" s="190" t="s">
        <v>225</v>
      </c>
      <c r="C507" s="190" t="s">
        <v>225</v>
      </c>
      <c r="D507" s="190" t="s">
        <v>226</v>
      </c>
      <c r="E507" s="190" t="s">
        <v>226</v>
      </c>
    </row>
    <row r="508" spans="1:5" ht="15.75" x14ac:dyDescent="0.25">
      <c r="A508" s="191">
        <v>62238</v>
      </c>
      <c r="B508" s="190" t="s">
        <v>225</v>
      </c>
      <c r="C508" s="190" t="s">
        <v>225</v>
      </c>
      <c r="D508" s="190" t="s">
        <v>225</v>
      </c>
      <c r="E508" s="190" t="s">
        <v>225</v>
      </c>
    </row>
    <row r="509" spans="1:5" ht="15.75" x14ac:dyDescent="0.25">
      <c r="A509" s="191">
        <v>62239</v>
      </c>
      <c r="B509" s="190" t="s">
        <v>225</v>
      </c>
      <c r="C509" s="190" t="s">
        <v>225</v>
      </c>
      <c r="D509" s="190" t="s">
        <v>225</v>
      </c>
      <c r="E509" s="190" t="s">
        <v>225</v>
      </c>
    </row>
    <row r="510" spans="1:5" ht="15.75" x14ac:dyDescent="0.25">
      <c r="A510" s="191">
        <v>62240</v>
      </c>
      <c r="B510" s="190" t="s">
        <v>225</v>
      </c>
      <c r="C510" s="190" t="s">
        <v>225</v>
      </c>
      <c r="D510" s="190" t="s">
        <v>225</v>
      </c>
      <c r="E510" s="190" t="s">
        <v>225</v>
      </c>
    </row>
    <row r="511" spans="1:5" ht="15.75" x14ac:dyDescent="0.25">
      <c r="A511" s="191">
        <v>62241</v>
      </c>
      <c r="B511" s="190" t="s">
        <v>225</v>
      </c>
      <c r="C511" s="190" t="s">
        <v>225</v>
      </c>
      <c r="D511" s="190" t="s">
        <v>226</v>
      </c>
      <c r="E511" s="190" t="s">
        <v>226</v>
      </c>
    </row>
    <row r="512" spans="1:5" ht="15.75" x14ac:dyDescent="0.25">
      <c r="A512" s="191">
        <v>62242</v>
      </c>
      <c r="B512" s="190" t="s">
        <v>225</v>
      </c>
      <c r="C512" s="190" t="s">
        <v>225</v>
      </c>
      <c r="D512" s="190" t="s">
        <v>226</v>
      </c>
      <c r="E512" s="190" t="s">
        <v>226</v>
      </c>
    </row>
    <row r="513" spans="1:5" ht="15.75" x14ac:dyDescent="0.25">
      <c r="A513" s="191">
        <v>62243</v>
      </c>
      <c r="B513" s="190" t="s">
        <v>225</v>
      </c>
      <c r="C513" s="190" t="s">
        <v>225</v>
      </c>
      <c r="D513" s="190" t="s">
        <v>225</v>
      </c>
      <c r="E513" s="190" t="s">
        <v>225</v>
      </c>
    </row>
    <row r="514" spans="1:5" ht="15.75" x14ac:dyDescent="0.25">
      <c r="A514" s="191">
        <v>62244</v>
      </c>
      <c r="B514" s="190" t="s">
        <v>225</v>
      </c>
      <c r="C514" s="190" t="s">
        <v>225</v>
      </c>
      <c r="D514" s="190" t="s">
        <v>225</v>
      </c>
      <c r="E514" s="190" t="s">
        <v>225</v>
      </c>
    </row>
    <row r="515" spans="1:5" ht="15.75" x14ac:dyDescent="0.25">
      <c r="A515" s="191">
        <v>62245</v>
      </c>
      <c r="B515" s="190" t="s">
        <v>225</v>
      </c>
      <c r="C515" s="190" t="s">
        <v>225</v>
      </c>
      <c r="D515" s="190" t="s">
        <v>225</v>
      </c>
      <c r="E515" s="190" t="s">
        <v>225</v>
      </c>
    </row>
    <row r="516" spans="1:5" ht="15.75" x14ac:dyDescent="0.25">
      <c r="A516" s="191">
        <v>62246</v>
      </c>
      <c r="B516" s="190" t="s">
        <v>224</v>
      </c>
      <c r="C516" s="190" t="s">
        <v>224</v>
      </c>
      <c r="D516" s="190" t="s">
        <v>225</v>
      </c>
      <c r="E516" s="190" t="s">
        <v>225</v>
      </c>
    </row>
    <row r="517" spans="1:5" ht="15.75" x14ac:dyDescent="0.25">
      <c r="A517" s="191">
        <v>62247</v>
      </c>
      <c r="B517" s="190" t="s">
        <v>224</v>
      </c>
      <c r="C517" s="190" t="s">
        <v>224</v>
      </c>
      <c r="D517" s="190" t="s">
        <v>225</v>
      </c>
      <c r="E517" s="190" t="s">
        <v>225</v>
      </c>
    </row>
    <row r="518" spans="1:5" ht="15.75" x14ac:dyDescent="0.25">
      <c r="A518" s="191">
        <v>62248</v>
      </c>
      <c r="B518" s="190" t="s">
        <v>225</v>
      </c>
      <c r="C518" s="190" t="s">
        <v>225</v>
      </c>
      <c r="D518" s="190" t="s">
        <v>225</v>
      </c>
      <c r="E518" s="190" t="s">
        <v>225</v>
      </c>
    </row>
    <row r="519" spans="1:5" ht="15.75" x14ac:dyDescent="0.25">
      <c r="A519" s="191">
        <v>62249</v>
      </c>
      <c r="B519" s="190" t="s">
        <v>225</v>
      </c>
      <c r="C519" s="190" t="s">
        <v>225</v>
      </c>
      <c r="D519" s="190" t="s">
        <v>225</v>
      </c>
      <c r="E519" s="190" t="s">
        <v>225</v>
      </c>
    </row>
    <row r="520" spans="1:5" ht="15.75" x14ac:dyDescent="0.25">
      <c r="A520" s="191">
        <v>62250</v>
      </c>
      <c r="B520" s="190" t="s">
        <v>225</v>
      </c>
      <c r="C520" s="190" t="s">
        <v>225</v>
      </c>
      <c r="D520" s="190" t="s">
        <v>225</v>
      </c>
      <c r="E520" s="190" t="s">
        <v>225</v>
      </c>
    </row>
    <row r="521" spans="1:5" ht="15.75" x14ac:dyDescent="0.25">
      <c r="A521" s="191">
        <v>62252</v>
      </c>
      <c r="B521" s="190" t="s">
        <v>225</v>
      </c>
      <c r="C521" s="190" t="s">
        <v>225</v>
      </c>
      <c r="D521" s="190" t="s">
        <v>225</v>
      </c>
      <c r="E521" s="190" t="s">
        <v>225</v>
      </c>
    </row>
    <row r="522" spans="1:5" ht="15.75" x14ac:dyDescent="0.25">
      <c r="A522" s="191">
        <v>62253</v>
      </c>
      <c r="B522" s="190" t="s">
        <v>225</v>
      </c>
      <c r="C522" s="190" t="s">
        <v>225</v>
      </c>
      <c r="D522" s="190" t="s">
        <v>225</v>
      </c>
      <c r="E522" s="190" t="s">
        <v>225</v>
      </c>
    </row>
    <row r="523" spans="1:5" ht="15.75" x14ac:dyDescent="0.25">
      <c r="A523" s="191">
        <v>62254</v>
      </c>
      <c r="B523" s="190" t="s">
        <v>225</v>
      </c>
      <c r="C523" s="190" t="s">
        <v>225</v>
      </c>
      <c r="D523" s="190" t="s">
        <v>225</v>
      </c>
      <c r="E523" s="190" t="s">
        <v>225</v>
      </c>
    </row>
    <row r="524" spans="1:5" ht="15.75" x14ac:dyDescent="0.25">
      <c r="A524" s="191">
        <v>62255</v>
      </c>
      <c r="B524" s="190" t="s">
        <v>225</v>
      </c>
      <c r="C524" s="190" t="s">
        <v>225</v>
      </c>
      <c r="D524" s="190" t="s">
        <v>225</v>
      </c>
      <c r="E524" s="190" t="s">
        <v>225</v>
      </c>
    </row>
    <row r="525" spans="1:5" ht="15.75" x14ac:dyDescent="0.25">
      <c r="A525" s="191">
        <v>62256</v>
      </c>
      <c r="B525" s="190" t="s">
        <v>225</v>
      </c>
      <c r="C525" s="190" t="s">
        <v>225</v>
      </c>
      <c r="D525" s="190" t="s">
        <v>225</v>
      </c>
      <c r="E525" s="190" t="s">
        <v>225</v>
      </c>
    </row>
    <row r="526" spans="1:5" ht="15.75" x14ac:dyDescent="0.25">
      <c r="A526" s="191">
        <v>62257</v>
      </c>
      <c r="B526" s="190" t="s">
        <v>225</v>
      </c>
      <c r="C526" s="190" t="s">
        <v>225</v>
      </c>
      <c r="D526" s="190" t="s">
        <v>225</v>
      </c>
      <c r="E526" s="190" t="s">
        <v>225</v>
      </c>
    </row>
    <row r="527" spans="1:5" ht="15.75" x14ac:dyDescent="0.25">
      <c r="A527" s="191">
        <v>62258</v>
      </c>
      <c r="B527" s="190" t="s">
        <v>225</v>
      </c>
      <c r="C527" s="190" t="s">
        <v>225</v>
      </c>
      <c r="D527" s="190" t="s">
        <v>225</v>
      </c>
      <c r="E527" s="190" t="s">
        <v>225</v>
      </c>
    </row>
    <row r="528" spans="1:5" ht="15.75" x14ac:dyDescent="0.25">
      <c r="A528" s="191">
        <v>62259</v>
      </c>
      <c r="B528" s="190" t="s">
        <v>225</v>
      </c>
      <c r="C528" s="190" t="s">
        <v>225</v>
      </c>
      <c r="D528" s="190" t="s">
        <v>226</v>
      </c>
      <c r="E528" s="190" t="s">
        <v>226</v>
      </c>
    </row>
    <row r="529" spans="1:5" ht="15.75" x14ac:dyDescent="0.25">
      <c r="A529" s="191">
        <v>62260</v>
      </c>
      <c r="B529" s="190" t="s">
        <v>225</v>
      </c>
      <c r="C529" s="190" t="s">
        <v>225</v>
      </c>
      <c r="D529" s="190" t="s">
        <v>225</v>
      </c>
      <c r="E529" s="190" t="s">
        <v>225</v>
      </c>
    </row>
    <row r="530" spans="1:5" ht="15.75" x14ac:dyDescent="0.25">
      <c r="A530" s="191">
        <v>62261</v>
      </c>
      <c r="B530" s="190" t="s">
        <v>225</v>
      </c>
      <c r="C530" s="190" t="s">
        <v>225</v>
      </c>
      <c r="D530" s="190" t="s">
        <v>226</v>
      </c>
      <c r="E530" s="190" t="s">
        <v>226</v>
      </c>
    </row>
    <row r="531" spans="1:5" ht="15.75" x14ac:dyDescent="0.25">
      <c r="A531" s="191">
        <v>62262</v>
      </c>
      <c r="B531" s="190" t="s">
        <v>224</v>
      </c>
      <c r="C531" s="190" t="s">
        <v>224</v>
      </c>
      <c r="D531" s="190" t="s">
        <v>225</v>
      </c>
      <c r="E531" s="190" t="s">
        <v>225</v>
      </c>
    </row>
    <row r="532" spans="1:5" ht="15.75" x14ac:dyDescent="0.25">
      <c r="A532" s="191">
        <v>62263</v>
      </c>
      <c r="B532" s="190" t="s">
        <v>225</v>
      </c>
      <c r="C532" s="190" t="s">
        <v>225</v>
      </c>
      <c r="D532" s="190" t="s">
        <v>225</v>
      </c>
      <c r="E532" s="190" t="s">
        <v>225</v>
      </c>
    </row>
    <row r="533" spans="1:5" ht="15.75" x14ac:dyDescent="0.25">
      <c r="A533" s="191">
        <v>62264</v>
      </c>
      <c r="B533" s="190" t="s">
        <v>225</v>
      </c>
      <c r="C533" s="190" t="s">
        <v>225</v>
      </c>
      <c r="D533" s="190" t="s">
        <v>225</v>
      </c>
      <c r="E533" s="190" t="s">
        <v>225</v>
      </c>
    </row>
    <row r="534" spans="1:5" ht="15.75" x14ac:dyDescent="0.25">
      <c r="A534" s="191">
        <v>62265</v>
      </c>
      <c r="B534" s="190" t="s">
        <v>225</v>
      </c>
      <c r="C534" s="190" t="s">
        <v>225</v>
      </c>
      <c r="D534" s="190" t="s">
        <v>225</v>
      </c>
      <c r="E534" s="190" t="s">
        <v>225</v>
      </c>
    </row>
    <row r="535" spans="1:5" ht="15.75" x14ac:dyDescent="0.25">
      <c r="A535" s="191">
        <v>62266</v>
      </c>
      <c r="B535" s="190" t="s">
        <v>225</v>
      </c>
      <c r="C535" s="190" t="s">
        <v>225</v>
      </c>
      <c r="D535" s="190" t="s">
        <v>225</v>
      </c>
      <c r="E535" s="190" t="s">
        <v>225</v>
      </c>
    </row>
    <row r="536" spans="1:5" ht="15.75" x14ac:dyDescent="0.25">
      <c r="A536" s="191">
        <v>62268</v>
      </c>
      <c r="B536" s="190" t="s">
        <v>225</v>
      </c>
      <c r="C536" s="190" t="s">
        <v>225</v>
      </c>
      <c r="D536" s="190" t="s">
        <v>225</v>
      </c>
      <c r="E536" s="190" t="s">
        <v>225</v>
      </c>
    </row>
    <row r="537" spans="1:5" ht="15.75" x14ac:dyDescent="0.25">
      <c r="A537" s="191">
        <v>62269</v>
      </c>
      <c r="B537" s="190" t="s">
        <v>225</v>
      </c>
      <c r="C537" s="190" t="s">
        <v>225</v>
      </c>
      <c r="D537" s="190" t="s">
        <v>225</v>
      </c>
      <c r="E537" s="190" t="s">
        <v>225</v>
      </c>
    </row>
    <row r="538" spans="1:5" ht="15.75" x14ac:dyDescent="0.25">
      <c r="A538" s="191">
        <v>62271</v>
      </c>
      <c r="B538" s="190" t="s">
        <v>225</v>
      </c>
      <c r="C538" s="190" t="s">
        <v>225</v>
      </c>
      <c r="D538" s="190" t="s">
        <v>225</v>
      </c>
      <c r="E538" s="190" t="s">
        <v>225</v>
      </c>
    </row>
    <row r="539" spans="1:5" ht="15.75" x14ac:dyDescent="0.25">
      <c r="A539" s="191">
        <v>62272</v>
      </c>
      <c r="B539" s="190" t="s">
        <v>225</v>
      </c>
      <c r="C539" s="190" t="s">
        <v>225</v>
      </c>
      <c r="D539" s="190" t="s">
        <v>226</v>
      </c>
      <c r="E539" s="190" t="s">
        <v>226</v>
      </c>
    </row>
    <row r="540" spans="1:5" ht="15.75" x14ac:dyDescent="0.25">
      <c r="A540" s="191">
        <v>62273</v>
      </c>
      <c r="B540" s="190" t="s">
        <v>224</v>
      </c>
      <c r="C540" s="190" t="s">
        <v>224</v>
      </c>
      <c r="D540" s="190" t="s">
        <v>225</v>
      </c>
      <c r="E540" s="190" t="s">
        <v>225</v>
      </c>
    </row>
    <row r="541" spans="1:5" ht="15.75" x14ac:dyDescent="0.25">
      <c r="A541" s="191">
        <v>62274</v>
      </c>
      <c r="B541" s="190" t="s">
        <v>225</v>
      </c>
      <c r="C541" s="190" t="s">
        <v>225</v>
      </c>
      <c r="D541" s="190" t="s">
        <v>225</v>
      </c>
      <c r="E541" s="190" t="s">
        <v>225</v>
      </c>
    </row>
    <row r="542" spans="1:5" ht="15.75" x14ac:dyDescent="0.25">
      <c r="A542" s="191">
        <v>62275</v>
      </c>
      <c r="B542" s="190" t="s">
        <v>224</v>
      </c>
      <c r="C542" s="190" t="s">
        <v>224</v>
      </c>
      <c r="D542" s="190" t="s">
        <v>225</v>
      </c>
      <c r="E542" s="190" t="s">
        <v>225</v>
      </c>
    </row>
    <row r="543" spans="1:5" ht="15.75" x14ac:dyDescent="0.25">
      <c r="A543" s="191">
        <v>62277</v>
      </c>
      <c r="B543" s="190" t="s">
        <v>225</v>
      </c>
      <c r="C543" s="190" t="s">
        <v>225</v>
      </c>
      <c r="D543" s="190" t="s">
        <v>226</v>
      </c>
      <c r="E543" s="190" t="s">
        <v>226</v>
      </c>
    </row>
    <row r="544" spans="1:5" ht="15.75" x14ac:dyDescent="0.25">
      <c r="A544" s="191">
        <v>62278</v>
      </c>
      <c r="B544" s="190" t="s">
        <v>225</v>
      </c>
      <c r="C544" s="190" t="s">
        <v>225</v>
      </c>
      <c r="D544" s="190" t="s">
        <v>226</v>
      </c>
      <c r="E544" s="190" t="s">
        <v>226</v>
      </c>
    </row>
    <row r="545" spans="1:5" ht="15.75" x14ac:dyDescent="0.25">
      <c r="A545" s="191">
        <v>62279</v>
      </c>
      <c r="B545" s="190" t="s">
        <v>225</v>
      </c>
      <c r="C545" s="190" t="s">
        <v>225</v>
      </c>
      <c r="D545" s="190" t="s">
        <v>225</v>
      </c>
      <c r="E545" s="190" t="s">
        <v>225</v>
      </c>
    </row>
    <row r="546" spans="1:5" ht="15.75" x14ac:dyDescent="0.25">
      <c r="A546" s="191">
        <v>62280</v>
      </c>
      <c r="B546" s="190" t="s">
        <v>225</v>
      </c>
      <c r="C546" s="190" t="s">
        <v>225</v>
      </c>
      <c r="D546" s="190" t="s">
        <v>226</v>
      </c>
      <c r="E546" s="190" t="s">
        <v>226</v>
      </c>
    </row>
    <row r="547" spans="1:5" ht="15.75" x14ac:dyDescent="0.25">
      <c r="A547" s="191">
        <v>62281</v>
      </c>
      <c r="B547" s="190" t="s">
        <v>225</v>
      </c>
      <c r="C547" s="190" t="s">
        <v>225</v>
      </c>
      <c r="D547" s="190" t="s">
        <v>225</v>
      </c>
      <c r="E547" s="190" t="s">
        <v>225</v>
      </c>
    </row>
    <row r="548" spans="1:5" ht="15.75" x14ac:dyDescent="0.25">
      <c r="A548" s="191">
        <v>62282</v>
      </c>
      <c r="B548" s="190" t="s">
        <v>225</v>
      </c>
      <c r="C548" s="190" t="s">
        <v>225</v>
      </c>
      <c r="D548" s="190" t="s">
        <v>225</v>
      </c>
      <c r="E548" s="190" t="s">
        <v>225</v>
      </c>
    </row>
    <row r="549" spans="1:5" ht="15.75" x14ac:dyDescent="0.25">
      <c r="A549" s="191">
        <v>62284</v>
      </c>
      <c r="B549" s="190" t="s">
        <v>224</v>
      </c>
      <c r="C549" s="190" t="s">
        <v>224</v>
      </c>
      <c r="D549" s="190" t="s">
        <v>225</v>
      </c>
      <c r="E549" s="190" t="s">
        <v>225</v>
      </c>
    </row>
    <row r="550" spans="1:5" ht="15.75" x14ac:dyDescent="0.25">
      <c r="A550" s="191">
        <v>62285</v>
      </c>
      <c r="B550" s="190" t="s">
        <v>225</v>
      </c>
      <c r="C550" s="190" t="s">
        <v>225</v>
      </c>
      <c r="D550" s="190" t="s">
        <v>225</v>
      </c>
      <c r="E550" s="190" t="s">
        <v>225</v>
      </c>
    </row>
    <row r="551" spans="1:5" ht="15.75" x14ac:dyDescent="0.25">
      <c r="A551" s="191">
        <v>62286</v>
      </c>
      <c r="B551" s="190" t="s">
        <v>225</v>
      </c>
      <c r="C551" s="190" t="s">
        <v>225</v>
      </c>
      <c r="D551" s="190" t="s">
        <v>226</v>
      </c>
      <c r="E551" s="190" t="s">
        <v>226</v>
      </c>
    </row>
    <row r="552" spans="1:5" ht="15.75" x14ac:dyDescent="0.25">
      <c r="A552" s="191">
        <v>62288</v>
      </c>
      <c r="B552" s="190" t="s">
        <v>225</v>
      </c>
      <c r="C552" s="190" t="s">
        <v>225</v>
      </c>
      <c r="D552" s="190" t="s">
        <v>226</v>
      </c>
      <c r="E552" s="190" t="s">
        <v>226</v>
      </c>
    </row>
    <row r="553" spans="1:5" ht="15.75" x14ac:dyDescent="0.25">
      <c r="A553" s="191">
        <v>62289</v>
      </c>
      <c r="B553" s="190" t="s">
        <v>225</v>
      </c>
      <c r="C553" s="190" t="s">
        <v>225</v>
      </c>
      <c r="D553" s="190" t="s">
        <v>225</v>
      </c>
      <c r="E553" s="190" t="s">
        <v>225</v>
      </c>
    </row>
    <row r="554" spans="1:5" ht="15.75" x14ac:dyDescent="0.25">
      <c r="A554" s="191">
        <v>62292</v>
      </c>
      <c r="B554" s="190" t="s">
        <v>225</v>
      </c>
      <c r="C554" s="190" t="s">
        <v>225</v>
      </c>
      <c r="D554" s="190" t="s">
        <v>226</v>
      </c>
      <c r="E554" s="190" t="s">
        <v>226</v>
      </c>
    </row>
    <row r="555" spans="1:5" ht="15.75" x14ac:dyDescent="0.25">
      <c r="A555" s="191">
        <v>62293</v>
      </c>
      <c r="B555" s="190" t="s">
        <v>225</v>
      </c>
      <c r="C555" s="190" t="s">
        <v>225</v>
      </c>
      <c r="D555" s="190" t="s">
        <v>225</v>
      </c>
      <c r="E555" s="190" t="s">
        <v>225</v>
      </c>
    </row>
    <row r="556" spans="1:5" ht="15.75" x14ac:dyDescent="0.25">
      <c r="A556" s="191">
        <v>62294</v>
      </c>
      <c r="B556" s="190" t="s">
        <v>225</v>
      </c>
      <c r="C556" s="190" t="s">
        <v>225</v>
      </c>
      <c r="D556" s="190" t="s">
        <v>225</v>
      </c>
      <c r="E556" s="190" t="s">
        <v>225</v>
      </c>
    </row>
    <row r="557" spans="1:5" ht="15.75" x14ac:dyDescent="0.25">
      <c r="A557" s="191">
        <v>62295</v>
      </c>
      <c r="B557" s="190" t="s">
        <v>225</v>
      </c>
      <c r="C557" s="190" t="s">
        <v>225</v>
      </c>
      <c r="D557" s="190" t="s">
        <v>225</v>
      </c>
      <c r="E557" s="190" t="s">
        <v>225</v>
      </c>
    </row>
    <row r="558" spans="1:5" ht="15.75" x14ac:dyDescent="0.25">
      <c r="A558" s="191">
        <v>62297</v>
      </c>
      <c r="B558" s="190" t="s">
        <v>225</v>
      </c>
      <c r="C558" s="190" t="s">
        <v>225</v>
      </c>
      <c r="D558" s="190" t="s">
        <v>226</v>
      </c>
      <c r="E558" s="190" t="s">
        <v>226</v>
      </c>
    </row>
    <row r="559" spans="1:5" ht="15.75" x14ac:dyDescent="0.25">
      <c r="A559" s="191">
        <v>62298</v>
      </c>
      <c r="B559" s="190" t="s">
        <v>225</v>
      </c>
      <c r="C559" s="190" t="s">
        <v>225</v>
      </c>
      <c r="D559" s="190" t="s">
        <v>225</v>
      </c>
      <c r="E559" s="190" t="s">
        <v>225</v>
      </c>
    </row>
    <row r="560" spans="1:5" ht="15.75" x14ac:dyDescent="0.25">
      <c r="A560" s="191">
        <v>62301</v>
      </c>
      <c r="B560" s="190" t="s">
        <v>224</v>
      </c>
      <c r="C560" s="190" t="s">
        <v>224</v>
      </c>
      <c r="D560" s="190" t="s">
        <v>224</v>
      </c>
      <c r="E560" s="190" t="s">
        <v>224</v>
      </c>
    </row>
    <row r="561" spans="1:5" ht="15.75" x14ac:dyDescent="0.25">
      <c r="A561" s="191">
        <v>62305</v>
      </c>
      <c r="B561" s="190" t="s">
        <v>224</v>
      </c>
      <c r="C561" s="190" t="s">
        <v>224</v>
      </c>
      <c r="D561" s="190" t="s">
        <v>224</v>
      </c>
      <c r="E561" s="190" t="s">
        <v>224</v>
      </c>
    </row>
    <row r="562" spans="1:5" ht="15.75" x14ac:dyDescent="0.25">
      <c r="A562" s="191">
        <v>62306</v>
      </c>
      <c r="B562" s="190" t="s">
        <v>224</v>
      </c>
      <c r="C562" s="190" t="s">
        <v>224</v>
      </c>
      <c r="D562" s="190" t="s">
        <v>224</v>
      </c>
      <c r="E562" s="190" t="s">
        <v>224</v>
      </c>
    </row>
    <row r="563" spans="1:5" ht="15.75" x14ac:dyDescent="0.25">
      <c r="A563" s="191">
        <v>62310</v>
      </c>
      <c r="B563" s="190" t="s">
        <v>224</v>
      </c>
      <c r="C563" s="190" t="s">
        <v>224</v>
      </c>
      <c r="D563" s="190" t="s">
        <v>224</v>
      </c>
      <c r="E563" s="190" t="s">
        <v>224</v>
      </c>
    </row>
    <row r="564" spans="1:5" ht="15.75" x14ac:dyDescent="0.25">
      <c r="A564" s="191">
        <v>62311</v>
      </c>
      <c r="B564" s="190" t="s">
        <v>224</v>
      </c>
      <c r="C564" s="190" t="s">
        <v>224</v>
      </c>
      <c r="D564" s="190" t="s">
        <v>224</v>
      </c>
      <c r="E564" s="190" t="s">
        <v>224</v>
      </c>
    </row>
    <row r="565" spans="1:5" ht="15.75" x14ac:dyDescent="0.25">
      <c r="A565" s="191">
        <v>62312</v>
      </c>
      <c r="B565" s="190" t="s">
        <v>224</v>
      </c>
      <c r="C565" s="190" t="s">
        <v>224</v>
      </c>
      <c r="D565" s="190" t="s">
        <v>224</v>
      </c>
      <c r="E565" s="190" t="s">
        <v>224</v>
      </c>
    </row>
    <row r="566" spans="1:5" ht="15.75" x14ac:dyDescent="0.25">
      <c r="A566" s="191">
        <v>62313</v>
      </c>
      <c r="B566" s="190" t="s">
        <v>224</v>
      </c>
      <c r="C566" s="190" t="s">
        <v>224</v>
      </c>
      <c r="D566" s="190" t="s">
        <v>224</v>
      </c>
      <c r="E566" s="190" t="s">
        <v>224</v>
      </c>
    </row>
    <row r="567" spans="1:5" ht="15.75" x14ac:dyDescent="0.25">
      <c r="A567" s="191">
        <v>62314</v>
      </c>
      <c r="B567" s="190" t="s">
        <v>224</v>
      </c>
      <c r="C567" s="190" t="s">
        <v>224</v>
      </c>
      <c r="D567" s="190" t="s">
        <v>224</v>
      </c>
      <c r="E567" s="190" t="s">
        <v>224</v>
      </c>
    </row>
    <row r="568" spans="1:5" ht="15.75" x14ac:dyDescent="0.25">
      <c r="A568" s="191">
        <v>62316</v>
      </c>
      <c r="B568" s="190" t="s">
        <v>224</v>
      </c>
      <c r="C568" s="190" t="s">
        <v>224</v>
      </c>
      <c r="D568" s="190" t="s">
        <v>224</v>
      </c>
      <c r="E568" s="190" t="s">
        <v>224</v>
      </c>
    </row>
    <row r="569" spans="1:5" ht="15.75" x14ac:dyDescent="0.25">
      <c r="A569" s="191">
        <v>62319</v>
      </c>
      <c r="B569" s="190" t="s">
        <v>224</v>
      </c>
      <c r="C569" s="190" t="s">
        <v>224</v>
      </c>
      <c r="D569" s="190" t="s">
        <v>224</v>
      </c>
      <c r="E569" s="190" t="s">
        <v>224</v>
      </c>
    </row>
    <row r="570" spans="1:5" ht="15.75" x14ac:dyDescent="0.25">
      <c r="A570" s="191">
        <v>62320</v>
      </c>
      <c r="B570" s="190" t="s">
        <v>224</v>
      </c>
      <c r="C570" s="190" t="s">
        <v>224</v>
      </c>
      <c r="D570" s="190" t="s">
        <v>224</v>
      </c>
      <c r="E570" s="190" t="s">
        <v>224</v>
      </c>
    </row>
    <row r="571" spans="1:5" ht="15.75" x14ac:dyDescent="0.25">
      <c r="A571" s="191">
        <v>62321</v>
      </c>
      <c r="B571" s="190" t="s">
        <v>224</v>
      </c>
      <c r="C571" s="190" t="s">
        <v>224</v>
      </c>
      <c r="D571" s="190" t="s">
        <v>224</v>
      </c>
      <c r="E571" s="190" t="s">
        <v>224</v>
      </c>
    </row>
    <row r="572" spans="1:5" ht="15.75" x14ac:dyDescent="0.25">
      <c r="A572" s="191">
        <v>62323</v>
      </c>
      <c r="B572" s="190" t="s">
        <v>224</v>
      </c>
      <c r="C572" s="190" t="s">
        <v>224</v>
      </c>
      <c r="D572" s="190" t="s">
        <v>224</v>
      </c>
      <c r="E572" s="190" t="s">
        <v>224</v>
      </c>
    </row>
    <row r="573" spans="1:5" ht="15.75" x14ac:dyDescent="0.25">
      <c r="A573" s="191">
        <v>62324</v>
      </c>
      <c r="B573" s="190" t="s">
        <v>224</v>
      </c>
      <c r="C573" s="190" t="s">
        <v>224</v>
      </c>
      <c r="D573" s="190" t="s">
        <v>224</v>
      </c>
      <c r="E573" s="190" t="s">
        <v>224</v>
      </c>
    </row>
    <row r="574" spans="1:5" ht="15.75" x14ac:dyDescent="0.25">
      <c r="A574" s="191">
        <v>62325</v>
      </c>
      <c r="B574" s="190" t="s">
        <v>224</v>
      </c>
      <c r="C574" s="190" t="s">
        <v>224</v>
      </c>
      <c r="D574" s="190" t="s">
        <v>224</v>
      </c>
      <c r="E574" s="190" t="s">
        <v>224</v>
      </c>
    </row>
    <row r="575" spans="1:5" ht="15.75" x14ac:dyDescent="0.25">
      <c r="A575" s="191">
        <v>62326</v>
      </c>
      <c r="B575" s="190" t="s">
        <v>224</v>
      </c>
      <c r="C575" s="190" t="s">
        <v>224</v>
      </c>
      <c r="D575" s="190" t="s">
        <v>224</v>
      </c>
      <c r="E575" s="190" t="s">
        <v>224</v>
      </c>
    </row>
    <row r="576" spans="1:5" ht="15.75" x14ac:dyDescent="0.25">
      <c r="A576" s="191">
        <v>62329</v>
      </c>
      <c r="B576" s="190" t="s">
        <v>224</v>
      </c>
      <c r="C576" s="190" t="s">
        <v>224</v>
      </c>
      <c r="D576" s="190" t="s">
        <v>224</v>
      </c>
      <c r="E576" s="190" t="s">
        <v>224</v>
      </c>
    </row>
    <row r="577" spans="1:5" ht="15.75" x14ac:dyDescent="0.25">
      <c r="A577" s="191">
        <v>62330</v>
      </c>
      <c r="B577" s="190" t="s">
        <v>224</v>
      </c>
      <c r="C577" s="190" t="s">
        <v>224</v>
      </c>
      <c r="D577" s="190" t="s">
        <v>224</v>
      </c>
      <c r="E577" s="190" t="s">
        <v>224</v>
      </c>
    </row>
    <row r="578" spans="1:5" ht="15.75" x14ac:dyDescent="0.25">
      <c r="A578" s="191">
        <v>62334</v>
      </c>
      <c r="B578" s="190" t="s">
        <v>224</v>
      </c>
      <c r="C578" s="190" t="s">
        <v>224</v>
      </c>
      <c r="D578" s="190" t="s">
        <v>224</v>
      </c>
      <c r="E578" s="190" t="s">
        <v>224</v>
      </c>
    </row>
    <row r="579" spans="1:5" ht="15.75" x14ac:dyDescent="0.25">
      <c r="A579" s="191">
        <v>62336</v>
      </c>
      <c r="B579" s="190" t="s">
        <v>224</v>
      </c>
      <c r="C579" s="190" t="s">
        <v>224</v>
      </c>
      <c r="D579" s="190" t="s">
        <v>224</v>
      </c>
      <c r="E579" s="190" t="s">
        <v>224</v>
      </c>
    </row>
    <row r="580" spans="1:5" ht="15.75" x14ac:dyDescent="0.25">
      <c r="A580" s="191">
        <v>62338</v>
      </c>
      <c r="B580" s="190" t="s">
        <v>224</v>
      </c>
      <c r="C580" s="190" t="s">
        <v>224</v>
      </c>
      <c r="D580" s="190" t="s">
        <v>224</v>
      </c>
      <c r="E580" s="190" t="s">
        <v>224</v>
      </c>
    </row>
    <row r="581" spans="1:5" ht="15.75" x14ac:dyDescent="0.25">
      <c r="A581" s="191">
        <v>62339</v>
      </c>
      <c r="B581" s="190" t="s">
        <v>224</v>
      </c>
      <c r="C581" s="190" t="s">
        <v>224</v>
      </c>
      <c r="D581" s="190" t="s">
        <v>224</v>
      </c>
      <c r="E581" s="190" t="s">
        <v>224</v>
      </c>
    </row>
    <row r="582" spans="1:5" ht="15.75" x14ac:dyDescent="0.25">
      <c r="A582" s="191">
        <v>62340</v>
      </c>
      <c r="B582" s="190" t="s">
        <v>224</v>
      </c>
      <c r="C582" s="190" t="s">
        <v>224</v>
      </c>
      <c r="D582" s="190" t="s">
        <v>224</v>
      </c>
      <c r="E582" s="190" t="s">
        <v>224</v>
      </c>
    </row>
    <row r="583" spans="1:5" ht="15.75" x14ac:dyDescent="0.25">
      <c r="A583" s="191">
        <v>62341</v>
      </c>
      <c r="B583" s="190" t="s">
        <v>224</v>
      </c>
      <c r="C583" s="190" t="s">
        <v>224</v>
      </c>
      <c r="D583" s="190" t="s">
        <v>224</v>
      </c>
      <c r="E583" s="190" t="s">
        <v>224</v>
      </c>
    </row>
    <row r="584" spans="1:5" ht="15.75" x14ac:dyDescent="0.25">
      <c r="A584" s="191">
        <v>62343</v>
      </c>
      <c r="B584" s="190" t="s">
        <v>224</v>
      </c>
      <c r="C584" s="190" t="s">
        <v>224</v>
      </c>
      <c r="D584" s="190" t="s">
        <v>224</v>
      </c>
      <c r="E584" s="190" t="s">
        <v>224</v>
      </c>
    </row>
    <row r="585" spans="1:5" ht="15.75" x14ac:dyDescent="0.25">
      <c r="A585" s="191">
        <v>62344</v>
      </c>
      <c r="B585" s="190" t="s">
        <v>224</v>
      </c>
      <c r="C585" s="190" t="s">
        <v>224</v>
      </c>
      <c r="D585" s="190" t="s">
        <v>224</v>
      </c>
      <c r="E585" s="190" t="s">
        <v>224</v>
      </c>
    </row>
    <row r="586" spans="1:5" ht="15.75" x14ac:dyDescent="0.25">
      <c r="A586" s="191">
        <v>62345</v>
      </c>
      <c r="B586" s="190" t="s">
        <v>224</v>
      </c>
      <c r="C586" s="190" t="s">
        <v>224</v>
      </c>
      <c r="D586" s="190" t="s">
        <v>224</v>
      </c>
      <c r="E586" s="190" t="s">
        <v>224</v>
      </c>
    </row>
    <row r="587" spans="1:5" ht="15.75" x14ac:dyDescent="0.25">
      <c r="A587" s="191">
        <v>62346</v>
      </c>
      <c r="B587" s="190" t="s">
        <v>224</v>
      </c>
      <c r="C587" s="190" t="s">
        <v>224</v>
      </c>
      <c r="D587" s="190" t="s">
        <v>224</v>
      </c>
      <c r="E587" s="190" t="s">
        <v>224</v>
      </c>
    </row>
    <row r="588" spans="1:5" ht="15.75" x14ac:dyDescent="0.25">
      <c r="A588" s="191">
        <v>62347</v>
      </c>
      <c r="B588" s="190" t="s">
        <v>224</v>
      </c>
      <c r="C588" s="190" t="s">
        <v>224</v>
      </c>
      <c r="D588" s="190" t="s">
        <v>224</v>
      </c>
      <c r="E588" s="190" t="s">
        <v>224</v>
      </c>
    </row>
    <row r="589" spans="1:5" ht="15.75" x14ac:dyDescent="0.25">
      <c r="A589" s="191">
        <v>62348</v>
      </c>
      <c r="B589" s="190" t="s">
        <v>224</v>
      </c>
      <c r="C589" s="190" t="s">
        <v>224</v>
      </c>
      <c r="D589" s="190" t="s">
        <v>224</v>
      </c>
      <c r="E589" s="190" t="s">
        <v>224</v>
      </c>
    </row>
    <row r="590" spans="1:5" ht="15.75" x14ac:dyDescent="0.25">
      <c r="A590" s="191">
        <v>62349</v>
      </c>
      <c r="B590" s="190" t="s">
        <v>224</v>
      </c>
      <c r="C590" s="190" t="s">
        <v>224</v>
      </c>
      <c r="D590" s="190" t="s">
        <v>224</v>
      </c>
      <c r="E590" s="190" t="s">
        <v>224</v>
      </c>
    </row>
    <row r="591" spans="1:5" ht="15.75" x14ac:dyDescent="0.25">
      <c r="A591" s="191">
        <v>62351</v>
      </c>
      <c r="B591" s="190" t="s">
        <v>224</v>
      </c>
      <c r="C591" s="190" t="s">
        <v>224</v>
      </c>
      <c r="D591" s="190" t="s">
        <v>224</v>
      </c>
      <c r="E591" s="190" t="s">
        <v>224</v>
      </c>
    </row>
    <row r="592" spans="1:5" ht="15.75" x14ac:dyDescent="0.25">
      <c r="A592" s="191">
        <v>62352</v>
      </c>
      <c r="B592" s="190" t="s">
        <v>224</v>
      </c>
      <c r="C592" s="190" t="s">
        <v>224</v>
      </c>
      <c r="D592" s="190" t="s">
        <v>224</v>
      </c>
      <c r="E592" s="190" t="s">
        <v>224</v>
      </c>
    </row>
    <row r="593" spans="1:5" ht="15.75" x14ac:dyDescent="0.25">
      <c r="A593" s="191">
        <v>62353</v>
      </c>
      <c r="B593" s="190" t="s">
        <v>224</v>
      </c>
      <c r="C593" s="190" t="s">
        <v>224</v>
      </c>
      <c r="D593" s="190" t="s">
        <v>224</v>
      </c>
      <c r="E593" s="190" t="s">
        <v>224</v>
      </c>
    </row>
    <row r="594" spans="1:5" ht="15.75" x14ac:dyDescent="0.25">
      <c r="A594" s="191">
        <v>62354</v>
      </c>
      <c r="B594" s="190" t="s">
        <v>224</v>
      </c>
      <c r="C594" s="190" t="s">
        <v>224</v>
      </c>
      <c r="D594" s="190" t="s">
        <v>224</v>
      </c>
      <c r="E594" s="190" t="s">
        <v>224</v>
      </c>
    </row>
    <row r="595" spans="1:5" ht="15.75" x14ac:dyDescent="0.25">
      <c r="A595" s="191">
        <v>62355</v>
      </c>
      <c r="B595" s="190" t="s">
        <v>224</v>
      </c>
      <c r="C595" s="190" t="s">
        <v>224</v>
      </c>
      <c r="D595" s="190" t="s">
        <v>224</v>
      </c>
      <c r="E595" s="190" t="s">
        <v>224</v>
      </c>
    </row>
    <row r="596" spans="1:5" ht="15.75" x14ac:dyDescent="0.25">
      <c r="A596" s="191">
        <v>62356</v>
      </c>
      <c r="B596" s="190" t="s">
        <v>224</v>
      </c>
      <c r="C596" s="190" t="s">
        <v>224</v>
      </c>
      <c r="D596" s="190" t="s">
        <v>224</v>
      </c>
      <c r="E596" s="190" t="s">
        <v>224</v>
      </c>
    </row>
    <row r="597" spans="1:5" ht="15.75" x14ac:dyDescent="0.25">
      <c r="A597" s="191">
        <v>62357</v>
      </c>
      <c r="B597" s="190" t="s">
        <v>224</v>
      </c>
      <c r="C597" s="190" t="s">
        <v>224</v>
      </c>
      <c r="D597" s="190" t="s">
        <v>224</v>
      </c>
      <c r="E597" s="190" t="s">
        <v>224</v>
      </c>
    </row>
    <row r="598" spans="1:5" ht="15.75" x14ac:dyDescent="0.25">
      <c r="A598" s="191">
        <v>62358</v>
      </c>
      <c r="B598" s="190" t="s">
        <v>224</v>
      </c>
      <c r="C598" s="190" t="s">
        <v>224</v>
      </c>
      <c r="D598" s="190" t="s">
        <v>224</v>
      </c>
      <c r="E598" s="190" t="s">
        <v>224</v>
      </c>
    </row>
    <row r="599" spans="1:5" ht="15.75" x14ac:dyDescent="0.25">
      <c r="A599" s="191">
        <v>62359</v>
      </c>
      <c r="B599" s="190" t="s">
        <v>224</v>
      </c>
      <c r="C599" s="190" t="s">
        <v>224</v>
      </c>
      <c r="D599" s="190" t="s">
        <v>224</v>
      </c>
      <c r="E599" s="190" t="s">
        <v>224</v>
      </c>
    </row>
    <row r="600" spans="1:5" ht="15.75" x14ac:dyDescent="0.25">
      <c r="A600" s="191">
        <v>62360</v>
      </c>
      <c r="B600" s="190" t="s">
        <v>224</v>
      </c>
      <c r="C600" s="190" t="s">
        <v>224</v>
      </c>
      <c r="D600" s="190" t="s">
        <v>224</v>
      </c>
      <c r="E600" s="190" t="s">
        <v>224</v>
      </c>
    </row>
    <row r="601" spans="1:5" ht="15.75" x14ac:dyDescent="0.25">
      <c r="A601" s="191">
        <v>62361</v>
      </c>
      <c r="B601" s="190" t="s">
        <v>224</v>
      </c>
      <c r="C601" s="190" t="s">
        <v>224</v>
      </c>
      <c r="D601" s="190" t="s">
        <v>224</v>
      </c>
      <c r="E601" s="190" t="s">
        <v>224</v>
      </c>
    </row>
    <row r="602" spans="1:5" ht="15.75" x14ac:dyDescent="0.25">
      <c r="A602" s="191">
        <v>62362</v>
      </c>
      <c r="B602" s="190" t="s">
        <v>224</v>
      </c>
      <c r="C602" s="190" t="s">
        <v>224</v>
      </c>
      <c r="D602" s="190" t="s">
        <v>224</v>
      </c>
      <c r="E602" s="190" t="s">
        <v>224</v>
      </c>
    </row>
    <row r="603" spans="1:5" ht="15.75" x14ac:dyDescent="0.25">
      <c r="A603" s="191">
        <v>62363</v>
      </c>
      <c r="B603" s="190" t="s">
        <v>224</v>
      </c>
      <c r="C603" s="190" t="s">
        <v>224</v>
      </c>
      <c r="D603" s="190" t="s">
        <v>224</v>
      </c>
      <c r="E603" s="190" t="s">
        <v>224</v>
      </c>
    </row>
    <row r="604" spans="1:5" ht="15.75" x14ac:dyDescent="0.25">
      <c r="A604" s="191">
        <v>62365</v>
      </c>
      <c r="B604" s="190" t="s">
        <v>224</v>
      </c>
      <c r="C604" s="190" t="s">
        <v>224</v>
      </c>
      <c r="D604" s="190" t="s">
        <v>224</v>
      </c>
      <c r="E604" s="190" t="s">
        <v>224</v>
      </c>
    </row>
    <row r="605" spans="1:5" ht="15.75" x14ac:dyDescent="0.25">
      <c r="A605" s="191">
        <v>62366</v>
      </c>
      <c r="B605" s="190" t="s">
        <v>224</v>
      </c>
      <c r="C605" s="190" t="s">
        <v>224</v>
      </c>
      <c r="D605" s="190" t="s">
        <v>224</v>
      </c>
      <c r="E605" s="190" t="s">
        <v>224</v>
      </c>
    </row>
    <row r="606" spans="1:5" ht="15.75" x14ac:dyDescent="0.25">
      <c r="A606" s="191">
        <v>62367</v>
      </c>
      <c r="B606" s="190" t="s">
        <v>224</v>
      </c>
      <c r="C606" s="190" t="s">
        <v>224</v>
      </c>
      <c r="D606" s="190" t="s">
        <v>224</v>
      </c>
      <c r="E606" s="190" t="s">
        <v>224</v>
      </c>
    </row>
    <row r="607" spans="1:5" ht="15.75" x14ac:dyDescent="0.25">
      <c r="A607" s="191">
        <v>62370</v>
      </c>
      <c r="B607" s="190" t="s">
        <v>224</v>
      </c>
      <c r="C607" s="190" t="s">
        <v>224</v>
      </c>
      <c r="D607" s="190" t="s">
        <v>224</v>
      </c>
      <c r="E607" s="190" t="s">
        <v>224</v>
      </c>
    </row>
    <row r="608" spans="1:5" ht="15.75" x14ac:dyDescent="0.25">
      <c r="A608" s="191">
        <v>62373</v>
      </c>
      <c r="B608" s="190" t="s">
        <v>224</v>
      </c>
      <c r="C608" s="190" t="s">
        <v>224</v>
      </c>
      <c r="D608" s="190" t="s">
        <v>224</v>
      </c>
      <c r="E608" s="190" t="s">
        <v>224</v>
      </c>
    </row>
    <row r="609" spans="1:5" ht="15.75" x14ac:dyDescent="0.25">
      <c r="A609" s="191">
        <v>62374</v>
      </c>
      <c r="B609" s="190" t="s">
        <v>224</v>
      </c>
      <c r="C609" s="190" t="s">
        <v>224</v>
      </c>
      <c r="D609" s="190" t="s">
        <v>224</v>
      </c>
      <c r="E609" s="190" t="s">
        <v>224</v>
      </c>
    </row>
    <row r="610" spans="1:5" ht="15.75" x14ac:dyDescent="0.25">
      <c r="A610" s="191">
        <v>62375</v>
      </c>
      <c r="B610" s="190" t="s">
        <v>224</v>
      </c>
      <c r="C610" s="190" t="s">
        <v>224</v>
      </c>
      <c r="D610" s="190" t="s">
        <v>224</v>
      </c>
      <c r="E610" s="190" t="s">
        <v>224</v>
      </c>
    </row>
    <row r="611" spans="1:5" ht="15.75" x14ac:dyDescent="0.25">
      <c r="A611" s="191">
        <v>62376</v>
      </c>
      <c r="B611" s="190" t="s">
        <v>224</v>
      </c>
      <c r="C611" s="190" t="s">
        <v>224</v>
      </c>
      <c r="D611" s="190" t="s">
        <v>224</v>
      </c>
      <c r="E611" s="190" t="s">
        <v>224</v>
      </c>
    </row>
    <row r="612" spans="1:5" ht="15.75" x14ac:dyDescent="0.25">
      <c r="A612" s="191">
        <v>62378</v>
      </c>
      <c r="B612" s="190" t="s">
        <v>224</v>
      </c>
      <c r="C612" s="190" t="s">
        <v>224</v>
      </c>
      <c r="D612" s="190" t="s">
        <v>224</v>
      </c>
      <c r="E612" s="190" t="s">
        <v>224</v>
      </c>
    </row>
    <row r="613" spans="1:5" ht="15.75" x14ac:dyDescent="0.25">
      <c r="A613" s="191">
        <v>62379</v>
      </c>
      <c r="B613" s="190" t="s">
        <v>224</v>
      </c>
      <c r="C613" s="190" t="s">
        <v>224</v>
      </c>
      <c r="D613" s="190" t="s">
        <v>224</v>
      </c>
      <c r="E613" s="190" t="s">
        <v>224</v>
      </c>
    </row>
    <row r="614" spans="1:5" ht="15.75" x14ac:dyDescent="0.25">
      <c r="A614" s="191">
        <v>62380</v>
      </c>
      <c r="B614" s="190" t="s">
        <v>224</v>
      </c>
      <c r="C614" s="190" t="s">
        <v>224</v>
      </c>
      <c r="D614" s="190" t="s">
        <v>224</v>
      </c>
      <c r="E614" s="190" t="s">
        <v>224</v>
      </c>
    </row>
    <row r="615" spans="1:5" ht="15.75" x14ac:dyDescent="0.25">
      <c r="A615" s="191">
        <v>62401</v>
      </c>
      <c r="B615" s="190" t="s">
        <v>224</v>
      </c>
      <c r="C615" s="190" t="s">
        <v>224</v>
      </c>
      <c r="D615" s="190" t="s">
        <v>224</v>
      </c>
      <c r="E615" s="190" t="s">
        <v>224</v>
      </c>
    </row>
    <row r="616" spans="1:5" ht="15.75" x14ac:dyDescent="0.25">
      <c r="A616" s="191">
        <v>62411</v>
      </c>
      <c r="B616" s="190" t="s">
        <v>224</v>
      </c>
      <c r="C616" s="190" t="s">
        <v>224</v>
      </c>
      <c r="D616" s="190" t="s">
        <v>224</v>
      </c>
      <c r="E616" s="190" t="s">
        <v>224</v>
      </c>
    </row>
    <row r="617" spans="1:5" ht="15.75" x14ac:dyDescent="0.25">
      <c r="A617" s="191">
        <v>62413</v>
      </c>
      <c r="B617" s="190" t="s">
        <v>224</v>
      </c>
      <c r="C617" s="190" t="s">
        <v>224</v>
      </c>
      <c r="D617" s="190" t="s">
        <v>224</v>
      </c>
      <c r="E617" s="190" t="s">
        <v>224</v>
      </c>
    </row>
    <row r="618" spans="1:5" ht="15.75" x14ac:dyDescent="0.25">
      <c r="A618" s="191">
        <v>62414</v>
      </c>
      <c r="B618" s="190" t="s">
        <v>224</v>
      </c>
      <c r="C618" s="190" t="s">
        <v>224</v>
      </c>
      <c r="D618" s="190" t="s">
        <v>224</v>
      </c>
      <c r="E618" s="190" t="s">
        <v>224</v>
      </c>
    </row>
    <row r="619" spans="1:5" ht="15.75" x14ac:dyDescent="0.25">
      <c r="A619" s="191">
        <v>62415</v>
      </c>
      <c r="B619" s="190" t="s">
        <v>224</v>
      </c>
      <c r="C619" s="190" t="s">
        <v>224</v>
      </c>
      <c r="D619" s="190" t="s">
        <v>224</v>
      </c>
      <c r="E619" s="190" t="s">
        <v>224</v>
      </c>
    </row>
    <row r="620" spans="1:5" ht="15.75" x14ac:dyDescent="0.25">
      <c r="A620" s="191">
        <v>62417</v>
      </c>
      <c r="B620" s="190" t="s">
        <v>225</v>
      </c>
      <c r="C620" s="190" t="s">
        <v>225</v>
      </c>
      <c r="D620" s="190" t="s">
        <v>225</v>
      </c>
      <c r="E620" s="190" t="s">
        <v>225</v>
      </c>
    </row>
    <row r="621" spans="1:5" ht="15.75" x14ac:dyDescent="0.25">
      <c r="A621" s="191">
        <v>62418</v>
      </c>
      <c r="B621" s="190" t="s">
        <v>224</v>
      </c>
      <c r="C621" s="190" t="s">
        <v>224</v>
      </c>
      <c r="D621" s="190" t="s">
        <v>225</v>
      </c>
      <c r="E621" s="190" t="s">
        <v>225</v>
      </c>
    </row>
    <row r="622" spans="1:5" ht="15.75" x14ac:dyDescent="0.25">
      <c r="A622" s="191">
        <v>62419</v>
      </c>
      <c r="B622" s="190" t="s">
        <v>225</v>
      </c>
      <c r="C622" s="190" t="s">
        <v>225</v>
      </c>
      <c r="D622" s="190" t="s">
        <v>225</v>
      </c>
      <c r="E622" s="190" t="s">
        <v>225</v>
      </c>
    </row>
    <row r="623" spans="1:5" ht="15.75" x14ac:dyDescent="0.25">
      <c r="A623" s="191">
        <v>62420</v>
      </c>
      <c r="B623" s="190" t="s">
        <v>224</v>
      </c>
      <c r="C623" s="190" t="s">
        <v>224</v>
      </c>
      <c r="D623" s="190" t="s">
        <v>224</v>
      </c>
      <c r="E623" s="190" t="s">
        <v>224</v>
      </c>
    </row>
    <row r="624" spans="1:5" ht="15.75" x14ac:dyDescent="0.25">
      <c r="A624" s="191">
        <v>62421</v>
      </c>
      <c r="B624" s="190" t="s">
        <v>225</v>
      </c>
      <c r="C624" s="190" t="s">
        <v>225</v>
      </c>
      <c r="D624" s="190" t="s">
        <v>225</v>
      </c>
      <c r="E624" s="190" t="s">
        <v>225</v>
      </c>
    </row>
    <row r="625" spans="1:5" ht="15.75" x14ac:dyDescent="0.25">
      <c r="A625" s="191">
        <v>62422</v>
      </c>
      <c r="B625" s="190" t="s">
        <v>224</v>
      </c>
      <c r="C625" s="190" t="s">
        <v>224</v>
      </c>
      <c r="D625" s="190" t="s">
        <v>224</v>
      </c>
      <c r="E625" s="190" t="s">
        <v>224</v>
      </c>
    </row>
    <row r="626" spans="1:5" ht="15.75" x14ac:dyDescent="0.25">
      <c r="A626" s="191">
        <v>62424</v>
      </c>
      <c r="B626" s="190" t="s">
        <v>224</v>
      </c>
      <c r="C626" s="190" t="s">
        <v>224</v>
      </c>
      <c r="D626" s="190" t="s">
        <v>224</v>
      </c>
      <c r="E626" s="190" t="s">
        <v>224</v>
      </c>
    </row>
    <row r="627" spans="1:5" ht="15.75" x14ac:dyDescent="0.25">
      <c r="A627" s="191">
        <v>62425</v>
      </c>
      <c r="B627" s="190" t="s">
        <v>225</v>
      </c>
      <c r="C627" s="190" t="s">
        <v>225</v>
      </c>
      <c r="D627" s="190" t="s">
        <v>225</v>
      </c>
      <c r="E627" s="190" t="s">
        <v>225</v>
      </c>
    </row>
    <row r="628" spans="1:5" ht="15.75" x14ac:dyDescent="0.25">
      <c r="A628" s="191">
        <v>62426</v>
      </c>
      <c r="B628" s="190" t="s">
        <v>224</v>
      </c>
      <c r="C628" s="190" t="s">
        <v>224</v>
      </c>
      <c r="D628" s="190" t="s">
        <v>224</v>
      </c>
      <c r="E628" s="190" t="s">
        <v>224</v>
      </c>
    </row>
    <row r="629" spans="1:5" ht="15.75" x14ac:dyDescent="0.25">
      <c r="A629" s="191">
        <v>62427</v>
      </c>
      <c r="B629" s="190" t="s">
        <v>224</v>
      </c>
      <c r="C629" s="190" t="s">
        <v>224</v>
      </c>
      <c r="D629" s="190" t="s">
        <v>224</v>
      </c>
      <c r="E629" s="190" t="s">
        <v>224</v>
      </c>
    </row>
    <row r="630" spans="1:5" ht="15.75" x14ac:dyDescent="0.25">
      <c r="A630" s="191">
        <v>62428</v>
      </c>
      <c r="B630" s="190" t="s">
        <v>224</v>
      </c>
      <c r="C630" s="190" t="s">
        <v>224</v>
      </c>
      <c r="D630" s="190" t="s">
        <v>224</v>
      </c>
      <c r="E630" s="190" t="s">
        <v>224</v>
      </c>
    </row>
    <row r="631" spans="1:5" ht="15.75" x14ac:dyDescent="0.25">
      <c r="A631" s="191">
        <v>62431</v>
      </c>
      <c r="B631" s="190" t="s">
        <v>224</v>
      </c>
      <c r="C631" s="190" t="s">
        <v>224</v>
      </c>
      <c r="D631" s="190" t="s">
        <v>224</v>
      </c>
      <c r="E631" s="190" t="s">
        <v>224</v>
      </c>
    </row>
    <row r="632" spans="1:5" ht="15.75" x14ac:dyDescent="0.25">
      <c r="A632" s="191">
        <v>62432</v>
      </c>
      <c r="B632" s="190" t="s">
        <v>224</v>
      </c>
      <c r="C632" s="190" t="s">
        <v>224</v>
      </c>
      <c r="D632" s="190" t="s">
        <v>224</v>
      </c>
      <c r="E632" s="190" t="s">
        <v>224</v>
      </c>
    </row>
    <row r="633" spans="1:5" ht="15.75" x14ac:dyDescent="0.25">
      <c r="A633" s="191">
        <v>62433</v>
      </c>
      <c r="B633" s="190" t="s">
        <v>224</v>
      </c>
      <c r="C633" s="190" t="s">
        <v>224</v>
      </c>
      <c r="D633" s="190" t="s">
        <v>224</v>
      </c>
      <c r="E633" s="190" t="s">
        <v>224</v>
      </c>
    </row>
    <row r="634" spans="1:5" ht="15.75" x14ac:dyDescent="0.25">
      <c r="A634" s="191">
        <v>62434</v>
      </c>
      <c r="B634" s="190" t="s">
        <v>224</v>
      </c>
      <c r="C634" s="190" t="s">
        <v>224</v>
      </c>
      <c r="D634" s="190" t="s">
        <v>225</v>
      </c>
      <c r="E634" s="190" t="s">
        <v>225</v>
      </c>
    </row>
    <row r="635" spans="1:5" ht="15.75" x14ac:dyDescent="0.25">
      <c r="A635" s="191">
        <v>62435</v>
      </c>
      <c r="B635" s="190" t="s">
        <v>224</v>
      </c>
      <c r="C635" s="190" t="s">
        <v>224</v>
      </c>
      <c r="D635" s="190" t="s">
        <v>224</v>
      </c>
      <c r="E635" s="190" t="s">
        <v>224</v>
      </c>
    </row>
    <row r="636" spans="1:5" ht="15.75" x14ac:dyDescent="0.25">
      <c r="A636" s="191">
        <v>62436</v>
      </c>
      <c r="B636" s="190" t="s">
        <v>224</v>
      </c>
      <c r="C636" s="190" t="s">
        <v>224</v>
      </c>
      <c r="D636" s="190" t="s">
        <v>224</v>
      </c>
      <c r="E636" s="190" t="s">
        <v>224</v>
      </c>
    </row>
    <row r="637" spans="1:5" ht="15.75" x14ac:dyDescent="0.25">
      <c r="A637" s="191">
        <v>62438</v>
      </c>
      <c r="B637" s="190" t="s">
        <v>224</v>
      </c>
      <c r="C637" s="190" t="s">
        <v>224</v>
      </c>
      <c r="D637" s="190" t="s">
        <v>224</v>
      </c>
      <c r="E637" s="190" t="s">
        <v>224</v>
      </c>
    </row>
    <row r="638" spans="1:5" ht="15.75" x14ac:dyDescent="0.25">
      <c r="A638" s="191">
        <v>62439</v>
      </c>
      <c r="B638" s="190" t="s">
        <v>225</v>
      </c>
      <c r="C638" s="190" t="s">
        <v>225</v>
      </c>
      <c r="D638" s="190" t="s">
        <v>225</v>
      </c>
      <c r="E638" s="190" t="s">
        <v>225</v>
      </c>
    </row>
    <row r="639" spans="1:5" ht="15.75" x14ac:dyDescent="0.25">
      <c r="A639" s="191">
        <v>62440</v>
      </c>
      <c r="B639" s="190" t="s">
        <v>224</v>
      </c>
      <c r="C639" s="190" t="s">
        <v>224</v>
      </c>
      <c r="D639" s="190" t="s">
        <v>224</v>
      </c>
      <c r="E639" s="190" t="s">
        <v>224</v>
      </c>
    </row>
    <row r="640" spans="1:5" ht="15.75" x14ac:dyDescent="0.25">
      <c r="A640" s="191">
        <v>62441</v>
      </c>
      <c r="B640" s="190" t="s">
        <v>224</v>
      </c>
      <c r="C640" s="190" t="s">
        <v>224</v>
      </c>
      <c r="D640" s="190" t="s">
        <v>224</v>
      </c>
      <c r="E640" s="190" t="s">
        <v>224</v>
      </c>
    </row>
    <row r="641" spans="1:5" ht="15.75" x14ac:dyDescent="0.25">
      <c r="A641" s="191">
        <v>62442</v>
      </c>
      <c r="B641" s="190" t="s">
        <v>224</v>
      </c>
      <c r="C641" s="190" t="s">
        <v>224</v>
      </c>
      <c r="D641" s="190" t="s">
        <v>224</v>
      </c>
      <c r="E641" s="190" t="s">
        <v>224</v>
      </c>
    </row>
    <row r="642" spans="1:5" ht="15.75" x14ac:dyDescent="0.25">
      <c r="A642" s="191">
        <v>62443</v>
      </c>
      <c r="B642" s="190" t="s">
        <v>224</v>
      </c>
      <c r="C642" s="190" t="s">
        <v>224</v>
      </c>
      <c r="D642" s="190" t="s">
        <v>224</v>
      </c>
      <c r="E642" s="190" t="s">
        <v>224</v>
      </c>
    </row>
    <row r="643" spans="1:5" ht="15.75" x14ac:dyDescent="0.25">
      <c r="A643" s="191">
        <v>62445</v>
      </c>
      <c r="B643" s="190" t="s">
        <v>224</v>
      </c>
      <c r="C643" s="190" t="s">
        <v>224</v>
      </c>
      <c r="D643" s="190" t="s">
        <v>224</v>
      </c>
      <c r="E643" s="190" t="s">
        <v>224</v>
      </c>
    </row>
    <row r="644" spans="1:5" ht="15.75" x14ac:dyDescent="0.25">
      <c r="A644" s="191">
        <v>62446</v>
      </c>
      <c r="B644" s="190" t="s">
        <v>225</v>
      </c>
      <c r="C644" s="190" t="s">
        <v>225</v>
      </c>
      <c r="D644" s="190" t="s">
        <v>225</v>
      </c>
      <c r="E644" s="190" t="s">
        <v>225</v>
      </c>
    </row>
    <row r="645" spans="1:5" ht="15.75" x14ac:dyDescent="0.25">
      <c r="A645" s="191">
        <v>62447</v>
      </c>
      <c r="B645" s="190" t="s">
        <v>224</v>
      </c>
      <c r="C645" s="190" t="s">
        <v>224</v>
      </c>
      <c r="D645" s="190" t="s">
        <v>224</v>
      </c>
      <c r="E645" s="190" t="s">
        <v>224</v>
      </c>
    </row>
    <row r="646" spans="1:5" ht="15.75" x14ac:dyDescent="0.25">
      <c r="A646" s="191">
        <v>62448</v>
      </c>
      <c r="B646" s="190" t="s">
        <v>224</v>
      </c>
      <c r="C646" s="190" t="s">
        <v>224</v>
      </c>
      <c r="D646" s="190" t="s">
        <v>224</v>
      </c>
      <c r="E646" s="190" t="s">
        <v>224</v>
      </c>
    </row>
    <row r="647" spans="1:5" ht="15.75" x14ac:dyDescent="0.25">
      <c r="A647" s="191">
        <v>62449</v>
      </c>
      <c r="B647" s="190" t="s">
        <v>224</v>
      </c>
      <c r="C647" s="190" t="s">
        <v>224</v>
      </c>
      <c r="D647" s="190" t="s">
        <v>224</v>
      </c>
      <c r="E647" s="190" t="s">
        <v>224</v>
      </c>
    </row>
    <row r="648" spans="1:5" ht="15.75" x14ac:dyDescent="0.25">
      <c r="A648" s="191">
        <v>62450</v>
      </c>
      <c r="B648" s="190" t="s">
        <v>225</v>
      </c>
      <c r="C648" s="190" t="s">
        <v>225</v>
      </c>
      <c r="D648" s="190" t="s">
        <v>225</v>
      </c>
      <c r="E648" s="190" t="s">
        <v>225</v>
      </c>
    </row>
    <row r="649" spans="1:5" ht="15.75" x14ac:dyDescent="0.25">
      <c r="A649" s="191">
        <v>62451</v>
      </c>
      <c r="B649" s="190" t="s">
        <v>224</v>
      </c>
      <c r="C649" s="190" t="s">
        <v>224</v>
      </c>
      <c r="D649" s="190" t="s">
        <v>224</v>
      </c>
      <c r="E649" s="190" t="s">
        <v>224</v>
      </c>
    </row>
    <row r="650" spans="1:5" ht="15.75" x14ac:dyDescent="0.25">
      <c r="A650" s="191">
        <v>62452</v>
      </c>
      <c r="B650" s="190" t="s">
        <v>225</v>
      </c>
      <c r="C650" s="190" t="s">
        <v>225</v>
      </c>
      <c r="D650" s="190" t="s">
        <v>225</v>
      </c>
      <c r="E650" s="190" t="s">
        <v>225</v>
      </c>
    </row>
    <row r="651" spans="1:5" ht="15.75" x14ac:dyDescent="0.25">
      <c r="A651" s="191">
        <v>62454</v>
      </c>
      <c r="B651" s="190" t="s">
        <v>224</v>
      </c>
      <c r="C651" s="190" t="s">
        <v>224</v>
      </c>
      <c r="D651" s="190" t="s">
        <v>224</v>
      </c>
      <c r="E651" s="190" t="s">
        <v>224</v>
      </c>
    </row>
    <row r="652" spans="1:5" ht="15.75" x14ac:dyDescent="0.25">
      <c r="A652" s="191">
        <v>62458</v>
      </c>
      <c r="B652" s="190" t="s">
        <v>224</v>
      </c>
      <c r="C652" s="190" t="s">
        <v>224</v>
      </c>
      <c r="D652" s="190" t="s">
        <v>225</v>
      </c>
      <c r="E652" s="190" t="s">
        <v>225</v>
      </c>
    </row>
    <row r="653" spans="1:5" ht="15.75" x14ac:dyDescent="0.25">
      <c r="A653" s="191">
        <v>62459</v>
      </c>
      <c r="B653" s="190" t="s">
        <v>224</v>
      </c>
      <c r="C653" s="190" t="s">
        <v>224</v>
      </c>
      <c r="D653" s="190" t="s">
        <v>224</v>
      </c>
      <c r="E653" s="190" t="s">
        <v>224</v>
      </c>
    </row>
    <row r="654" spans="1:5" ht="15.75" x14ac:dyDescent="0.25">
      <c r="A654" s="191">
        <v>62460</v>
      </c>
      <c r="B654" s="190" t="s">
        <v>225</v>
      </c>
      <c r="C654" s="190" t="s">
        <v>225</v>
      </c>
      <c r="D654" s="190" t="s">
        <v>225</v>
      </c>
      <c r="E654" s="190" t="s">
        <v>225</v>
      </c>
    </row>
    <row r="655" spans="1:5" ht="15.75" x14ac:dyDescent="0.25">
      <c r="A655" s="191">
        <v>62461</v>
      </c>
      <c r="B655" s="190" t="s">
        <v>224</v>
      </c>
      <c r="C655" s="190" t="s">
        <v>224</v>
      </c>
      <c r="D655" s="190" t="s">
        <v>224</v>
      </c>
      <c r="E655" s="190" t="s">
        <v>224</v>
      </c>
    </row>
    <row r="656" spans="1:5" ht="15.75" x14ac:dyDescent="0.25">
      <c r="A656" s="191">
        <v>62462</v>
      </c>
      <c r="B656" s="190" t="s">
        <v>224</v>
      </c>
      <c r="C656" s="190" t="s">
        <v>224</v>
      </c>
      <c r="D656" s="190" t="s">
        <v>224</v>
      </c>
      <c r="E656" s="190" t="s">
        <v>224</v>
      </c>
    </row>
    <row r="657" spans="1:5" ht="15.75" x14ac:dyDescent="0.25">
      <c r="A657" s="191">
        <v>62463</v>
      </c>
      <c r="B657" s="190" t="s">
        <v>224</v>
      </c>
      <c r="C657" s="190" t="s">
        <v>224</v>
      </c>
      <c r="D657" s="190" t="s">
        <v>224</v>
      </c>
      <c r="E657" s="190" t="s">
        <v>224</v>
      </c>
    </row>
    <row r="658" spans="1:5" ht="15.75" x14ac:dyDescent="0.25">
      <c r="A658" s="191">
        <v>62464</v>
      </c>
      <c r="B658" s="190" t="s">
        <v>224</v>
      </c>
      <c r="C658" s="190" t="s">
        <v>224</v>
      </c>
      <c r="D658" s="190" t="s">
        <v>224</v>
      </c>
      <c r="E658" s="190" t="s">
        <v>224</v>
      </c>
    </row>
    <row r="659" spans="1:5" ht="15.75" x14ac:dyDescent="0.25">
      <c r="A659" s="191">
        <v>62465</v>
      </c>
      <c r="B659" s="190" t="s">
        <v>224</v>
      </c>
      <c r="C659" s="190" t="s">
        <v>224</v>
      </c>
      <c r="D659" s="190" t="s">
        <v>224</v>
      </c>
      <c r="E659" s="190" t="s">
        <v>224</v>
      </c>
    </row>
    <row r="660" spans="1:5" ht="15.75" x14ac:dyDescent="0.25">
      <c r="A660" s="191">
        <v>62466</v>
      </c>
      <c r="B660" s="190" t="s">
        <v>225</v>
      </c>
      <c r="C660" s="190" t="s">
        <v>225</v>
      </c>
      <c r="D660" s="190" t="s">
        <v>225</v>
      </c>
      <c r="E660" s="190" t="s">
        <v>225</v>
      </c>
    </row>
    <row r="661" spans="1:5" ht="15.75" x14ac:dyDescent="0.25">
      <c r="A661" s="191">
        <v>62467</v>
      </c>
      <c r="B661" s="190" t="s">
        <v>224</v>
      </c>
      <c r="C661" s="190" t="s">
        <v>224</v>
      </c>
      <c r="D661" s="190" t="s">
        <v>224</v>
      </c>
      <c r="E661" s="190" t="s">
        <v>224</v>
      </c>
    </row>
    <row r="662" spans="1:5" ht="15.75" x14ac:dyDescent="0.25">
      <c r="A662" s="191">
        <v>62468</v>
      </c>
      <c r="B662" s="190" t="s">
        <v>224</v>
      </c>
      <c r="C662" s="190" t="s">
        <v>224</v>
      </c>
      <c r="D662" s="190" t="s">
        <v>224</v>
      </c>
      <c r="E662" s="190" t="s">
        <v>224</v>
      </c>
    </row>
    <row r="663" spans="1:5" ht="15.75" x14ac:dyDescent="0.25">
      <c r="A663" s="191">
        <v>62469</v>
      </c>
      <c r="B663" s="190" t="s">
        <v>224</v>
      </c>
      <c r="C663" s="190" t="s">
        <v>224</v>
      </c>
      <c r="D663" s="190" t="s">
        <v>224</v>
      </c>
      <c r="E663" s="190" t="s">
        <v>224</v>
      </c>
    </row>
    <row r="664" spans="1:5" ht="15.75" x14ac:dyDescent="0.25">
      <c r="A664" s="191">
        <v>62471</v>
      </c>
      <c r="B664" s="190" t="s">
        <v>224</v>
      </c>
      <c r="C664" s="190" t="s">
        <v>224</v>
      </c>
      <c r="D664" s="190" t="s">
        <v>225</v>
      </c>
      <c r="E664" s="190" t="s">
        <v>225</v>
      </c>
    </row>
    <row r="665" spans="1:5" ht="15.75" x14ac:dyDescent="0.25">
      <c r="A665" s="191">
        <v>62473</v>
      </c>
      <c r="B665" s="190" t="s">
        <v>224</v>
      </c>
      <c r="C665" s="190" t="s">
        <v>224</v>
      </c>
      <c r="D665" s="190" t="s">
        <v>224</v>
      </c>
      <c r="E665" s="190" t="s">
        <v>224</v>
      </c>
    </row>
    <row r="666" spans="1:5" ht="15.75" x14ac:dyDescent="0.25">
      <c r="A666" s="191">
        <v>62474</v>
      </c>
      <c r="B666" s="190" t="s">
        <v>224</v>
      </c>
      <c r="C666" s="190" t="s">
        <v>224</v>
      </c>
      <c r="D666" s="190" t="s">
        <v>224</v>
      </c>
      <c r="E666" s="190" t="s">
        <v>224</v>
      </c>
    </row>
    <row r="667" spans="1:5" ht="15.75" x14ac:dyDescent="0.25">
      <c r="A667" s="191">
        <v>62475</v>
      </c>
      <c r="B667" s="190" t="s">
        <v>224</v>
      </c>
      <c r="C667" s="190" t="s">
        <v>224</v>
      </c>
      <c r="D667" s="190" t="s">
        <v>224</v>
      </c>
      <c r="E667" s="190" t="s">
        <v>224</v>
      </c>
    </row>
    <row r="668" spans="1:5" ht="15.75" x14ac:dyDescent="0.25">
      <c r="A668" s="191">
        <v>62476</v>
      </c>
      <c r="B668" s="190" t="s">
        <v>225</v>
      </c>
      <c r="C668" s="190" t="s">
        <v>225</v>
      </c>
      <c r="D668" s="190" t="s">
        <v>225</v>
      </c>
      <c r="E668" s="190" t="s">
        <v>225</v>
      </c>
    </row>
    <row r="669" spans="1:5" ht="15.75" x14ac:dyDescent="0.25">
      <c r="A669" s="191">
        <v>62477</v>
      </c>
      <c r="B669" s="190" t="s">
        <v>224</v>
      </c>
      <c r="C669" s="190" t="s">
        <v>224</v>
      </c>
      <c r="D669" s="190" t="s">
        <v>224</v>
      </c>
      <c r="E669" s="190" t="s">
        <v>224</v>
      </c>
    </row>
    <row r="670" spans="1:5" ht="15.75" x14ac:dyDescent="0.25">
      <c r="A670" s="191">
        <v>62478</v>
      </c>
      <c r="B670" s="190" t="s">
        <v>224</v>
      </c>
      <c r="C670" s="190" t="s">
        <v>224</v>
      </c>
      <c r="D670" s="190" t="s">
        <v>224</v>
      </c>
      <c r="E670" s="190" t="s">
        <v>224</v>
      </c>
    </row>
    <row r="671" spans="1:5" ht="15.75" x14ac:dyDescent="0.25">
      <c r="A671" s="191">
        <v>62479</v>
      </c>
      <c r="B671" s="190" t="s">
        <v>224</v>
      </c>
      <c r="C671" s="190" t="s">
        <v>224</v>
      </c>
      <c r="D671" s="190" t="s">
        <v>224</v>
      </c>
      <c r="E671" s="190" t="s">
        <v>224</v>
      </c>
    </row>
    <row r="672" spans="1:5" ht="15.75" x14ac:dyDescent="0.25">
      <c r="A672" s="191">
        <v>62480</v>
      </c>
      <c r="B672" s="190" t="s">
        <v>224</v>
      </c>
      <c r="C672" s="190" t="s">
        <v>224</v>
      </c>
      <c r="D672" s="190" t="s">
        <v>224</v>
      </c>
      <c r="E672" s="190" t="s">
        <v>224</v>
      </c>
    </row>
    <row r="673" spans="1:5" ht="15.75" x14ac:dyDescent="0.25">
      <c r="A673" s="191">
        <v>62481</v>
      </c>
      <c r="B673" s="190" t="s">
        <v>224</v>
      </c>
      <c r="C673" s="190" t="s">
        <v>224</v>
      </c>
      <c r="D673" s="190" t="s">
        <v>224</v>
      </c>
      <c r="E673" s="190" t="s">
        <v>224</v>
      </c>
    </row>
    <row r="674" spans="1:5" ht="15.75" x14ac:dyDescent="0.25">
      <c r="A674" s="191">
        <v>62501</v>
      </c>
      <c r="B674" s="190" t="s">
        <v>224</v>
      </c>
      <c r="C674" s="190" t="s">
        <v>224</v>
      </c>
      <c r="D674" s="190" t="s">
        <v>224</v>
      </c>
      <c r="E674" s="190" t="s">
        <v>224</v>
      </c>
    </row>
    <row r="675" spans="1:5" ht="15.75" x14ac:dyDescent="0.25">
      <c r="A675" s="191">
        <v>62510</v>
      </c>
      <c r="B675" s="190" t="s">
        <v>224</v>
      </c>
      <c r="C675" s="190" t="s">
        <v>224</v>
      </c>
      <c r="D675" s="190" t="s">
        <v>224</v>
      </c>
      <c r="E675" s="190" t="s">
        <v>224</v>
      </c>
    </row>
    <row r="676" spans="1:5" ht="15.75" x14ac:dyDescent="0.25">
      <c r="A676" s="191">
        <v>62512</v>
      </c>
      <c r="B676" s="190" t="s">
        <v>224</v>
      </c>
      <c r="C676" s="190" t="s">
        <v>224</v>
      </c>
      <c r="D676" s="190" t="s">
        <v>224</v>
      </c>
      <c r="E676" s="190" t="s">
        <v>224</v>
      </c>
    </row>
    <row r="677" spans="1:5" ht="15.75" x14ac:dyDescent="0.25">
      <c r="A677" s="191">
        <v>62513</v>
      </c>
      <c r="B677" s="190" t="s">
        <v>224</v>
      </c>
      <c r="C677" s="190" t="s">
        <v>224</v>
      </c>
      <c r="D677" s="190" t="s">
        <v>224</v>
      </c>
      <c r="E677" s="190" t="s">
        <v>224</v>
      </c>
    </row>
    <row r="678" spans="1:5" ht="15.75" x14ac:dyDescent="0.25">
      <c r="A678" s="191">
        <v>62514</v>
      </c>
      <c r="B678" s="190" t="s">
        <v>224</v>
      </c>
      <c r="C678" s="190" t="s">
        <v>224</v>
      </c>
      <c r="D678" s="190" t="s">
        <v>224</v>
      </c>
      <c r="E678" s="190" t="s">
        <v>224</v>
      </c>
    </row>
    <row r="679" spans="1:5" ht="15.75" x14ac:dyDescent="0.25">
      <c r="A679" s="191">
        <v>62515</v>
      </c>
      <c r="B679" s="190" t="s">
        <v>224</v>
      </c>
      <c r="C679" s="190" t="s">
        <v>224</v>
      </c>
      <c r="D679" s="190" t="s">
        <v>224</v>
      </c>
      <c r="E679" s="190" t="s">
        <v>224</v>
      </c>
    </row>
    <row r="680" spans="1:5" ht="15.75" x14ac:dyDescent="0.25">
      <c r="A680" s="191">
        <v>62517</v>
      </c>
      <c r="B680" s="190" t="s">
        <v>224</v>
      </c>
      <c r="C680" s="190" t="s">
        <v>224</v>
      </c>
      <c r="D680" s="190" t="s">
        <v>224</v>
      </c>
      <c r="E680" s="190" t="s">
        <v>224</v>
      </c>
    </row>
    <row r="681" spans="1:5" ht="15.75" x14ac:dyDescent="0.25">
      <c r="A681" s="191">
        <v>62518</v>
      </c>
      <c r="B681" s="190" t="s">
        <v>224</v>
      </c>
      <c r="C681" s="190" t="s">
        <v>224</v>
      </c>
      <c r="D681" s="190" t="s">
        <v>224</v>
      </c>
      <c r="E681" s="190" t="s">
        <v>224</v>
      </c>
    </row>
    <row r="682" spans="1:5" ht="15.75" x14ac:dyDescent="0.25">
      <c r="A682" s="191">
        <v>62519</v>
      </c>
      <c r="B682" s="190" t="s">
        <v>224</v>
      </c>
      <c r="C682" s="190" t="s">
        <v>224</v>
      </c>
      <c r="D682" s="190" t="s">
        <v>224</v>
      </c>
      <c r="E682" s="190" t="s">
        <v>224</v>
      </c>
    </row>
    <row r="683" spans="1:5" ht="15.75" x14ac:dyDescent="0.25">
      <c r="A683" s="191">
        <v>62520</v>
      </c>
      <c r="B683" s="190" t="s">
        <v>224</v>
      </c>
      <c r="C683" s="190" t="s">
        <v>224</v>
      </c>
      <c r="D683" s="190" t="s">
        <v>224</v>
      </c>
      <c r="E683" s="190" t="s">
        <v>224</v>
      </c>
    </row>
    <row r="684" spans="1:5" ht="15.75" x14ac:dyDescent="0.25">
      <c r="A684" s="191">
        <v>62521</v>
      </c>
      <c r="B684" s="190" t="s">
        <v>224</v>
      </c>
      <c r="C684" s="190" t="s">
        <v>224</v>
      </c>
      <c r="D684" s="190" t="s">
        <v>224</v>
      </c>
      <c r="E684" s="190" t="s">
        <v>224</v>
      </c>
    </row>
    <row r="685" spans="1:5" ht="15.75" x14ac:dyDescent="0.25">
      <c r="A685" s="191">
        <v>62522</v>
      </c>
      <c r="B685" s="190" t="s">
        <v>224</v>
      </c>
      <c r="C685" s="190" t="s">
        <v>224</v>
      </c>
      <c r="D685" s="190" t="s">
        <v>224</v>
      </c>
      <c r="E685" s="190" t="s">
        <v>224</v>
      </c>
    </row>
    <row r="686" spans="1:5" ht="15.75" x14ac:dyDescent="0.25">
      <c r="A686" s="191">
        <v>62523</v>
      </c>
      <c r="B686" s="190" t="s">
        <v>224</v>
      </c>
      <c r="C686" s="190" t="s">
        <v>224</v>
      </c>
      <c r="D686" s="190" t="s">
        <v>224</v>
      </c>
      <c r="E686" s="190" t="s">
        <v>224</v>
      </c>
    </row>
    <row r="687" spans="1:5" ht="15.75" x14ac:dyDescent="0.25">
      <c r="A687" s="191">
        <v>62524</v>
      </c>
      <c r="B687" s="190" t="s">
        <v>224</v>
      </c>
      <c r="C687" s="190" t="s">
        <v>224</v>
      </c>
      <c r="D687" s="190" t="s">
        <v>224</v>
      </c>
      <c r="E687" s="190" t="s">
        <v>224</v>
      </c>
    </row>
    <row r="688" spans="1:5" ht="15.75" x14ac:dyDescent="0.25">
      <c r="A688" s="191">
        <v>62525</v>
      </c>
      <c r="B688" s="190" t="s">
        <v>224</v>
      </c>
      <c r="C688" s="190" t="s">
        <v>224</v>
      </c>
      <c r="D688" s="190" t="s">
        <v>224</v>
      </c>
      <c r="E688" s="190" t="s">
        <v>224</v>
      </c>
    </row>
    <row r="689" spans="1:5" ht="15.75" x14ac:dyDescent="0.25">
      <c r="A689" s="191">
        <v>62526</v>
      </c>
      <c r="B689" s="190" t="s">
        <v>224</v>
      </c>
      <c r="C689" s="190" t="s">
        <v>224</v>
      </c>
      <c r="D689" s="190" t="s">
        <v>224</v>
      </c>
      <c r="E689" s="190" t="s">
        <v>224</v>
      </c>
    </row>
    <row r="690" spans="1:5" ht="15.75" x14ac:dyDescent="0.25">
      <c r="A690" s="191">
        <v>62530</v>
      </c>
      <c r="B690" s="190" t="s">
        <v>224</v>
      </c>
      <c r="C690" s="190" t="s">
        <v>224</v>
      </c>
      <c r="D690" s="190" t="s">
        <v>224</v>
      </c>
      <c r="E690" s="190" t="s">
        <v>224</v>
      </c>
    </row>
    <row r="691" spans="1:5" ht="15.75" x14ac:dyDescent="0.25">
      <c r="A691" s="191">
        <v>62531</v>
      </c>
      <c r="B691" s="190" t="s">
        <v>224</v>
      </c>
      <c r="C691" s="190" t="s">
        <v>224</v>
      </c>
      <c r="D691" s="190" t="s">
        <v>224</v>
      </c>
      <c r="E691" s="190" t="s">
        <v>224</v>
      </c>
    </row>
    <row r="692" spans="1:5" ht="15.75" x14ac:dyDescent="0.25">
      <c r="A692" s="191">
        <v>62532</v>
      </c>
      <c r="B692" s="190" t="s">
        <v>224</v>
      </c>
      <c r="C692" s="190" t="s">
        <v>224</v>
      </c>
      <c r="D692" s="190" t="s">
        <v>224</v>
      </c>
      <c r="E692" s="190" t="s">
        <v>224</v>
      </c>
    </row>
    <row r="693" spans="1:5" ht="15.75" x14ac:dyDescent="0.25">
      <c r="A693" s="191">
        <v>62533</v>
      </c>
      <c r="B693" s="190" t="s">
        <v>224</v>
      </c>
      <c r="C693" s="190" t="s">
        <v>224</v>
      </c>
      <c r="D693" s="190" t="s">
        <v>225</v>
      </c>
      <c r="E693" s="190" t="s">
        <v>225</v>
      </c>
    </row>
    <row r="694" spans="1:5" ht="15.75" x14ac:dyDescent="0.25">
      <c r="A694" s="191">
        <v>62534</v>
      </c>
      <c r="B694" s="190" t="s">
        <v>224</v>
      </c>
      <c r="C694" s="190" t="s">
        <v>224</v>
      </c>
      <c r="D694" s="190" t="s">
        <v>224</v>
      </c>
      <c r="E694" s="190" t="s">
        <v>224</v>
      </c>
    </row>
    <row r="695" spans="1:5" ht="15.75" x14ac:dyDescent="0.25">
      <c r="A695" s="191">
        <v>62535</v>
      </c>
      <c r="B695" s="190" t="s">
        <v>224</v>
      </c>
      <c r="C695" s="190" t="s">
        <v>224</v>
      </c>
      <c r="D695" s="190" t="s">
        <v>224</v>
      </c>
      <c r="E695" s="190" t="s">
        <v>224</v>
      </c>
    </row>
    <row r="696" spans="1:5" ht="15.75" x14ac:dyDescent="0.25">
      <c r="A696" s="191">
        <v>62536</v>
      </c>
      <c r="B696" s="190" t="s">
        <v>224</v>
      </c>
      <c r="C696" s="190" t="s">
        <v>224</v>
      </c>
      <c r="D696" s="190" t="s">
        <v>224</v>
      </c>
      <c r="E696" s="190" t="s">
        <v>224</v>
      </c>
    </row>
    <row r="697" spans="1:5" ht="15.75" x14ac:dyDescent="0.25">
      <c r="A697" s="191">
        <v>62537</v>
      </c>
      <c r="B697" s="190" t="s">
        <v>224</v>
      </c>
      <c r="C697" s="190" t="s">
        <v>224</v>
      </c>
      <c r="D697" s="190" t="s">
        <v>224</v>
      </c>
      <c r="E697" s="190" t="s">
        <v>224</v>
      </c>
    </row>
    <row r="698" spans="1:5" ht="15.75" x14ac:dyDescent="0.25">
      <c r="A698" s="191">
        <v>62538</v>
      </c>
      <c r="B698" s="190" t="s">
        <v>224</v>
      </c>
      <c r="C698" s="190" t="s">
        <v>224</v>
      </c>
      <c r="D698" s="190" t="s">
        <v>225</v>
      </c>
      <c r="E698" s="190" t="s">
        <v>225</v>
      </c>
    </row>
    <row r="699" spans="1:5" ht="15.75" x14ac:dyDescent="0.25">
      <c r="A699" s="191">
        <v>62539</v>
      </c>
      <c r="B699" s="190" t="s">
        <v>224</v>
      </c>
      <c r="C699" s="190" t="s">
        <v>224</v>
      </c>
      <c r="D699" s="190" t="s">
        <v>224</v>
      </c>
      <c r="E699" s="190" t="s">
        <v>224</v>
      </c>
    </row>
    <row r="700" spans="1:5" ht="15.75" x14ac:dyDescent="0.25">
      <c r="A700" s="191">
        <v>62540</v>
      </c>
      <c r="B700" s="190" t="s">
        <v>224</v>
      </c>
      <c r="C700" s="190" t="s">
        <v>224</v>
      </c>
      <c r="D700" s="190" t="s">
        <v>224</v>
      </c>
      <c r="E700" s="190" t="s">
        <v>224</v>
      </c>
    </row>
    <row r="701" spans="1:5" ht="15.75" x14ac:dyDescent="0.25">
      <c r="A701" s="191">
        <v>62541</v>
      </c>
      <c r="B701" s="190" t="s">
        <v>224</v>
      </c>
      <c r="C701" s="190" t="s">
        <v>224</v>
      </c>
      <c r="D701" s="190" t="s">
        <v>224</v>
      </c>
      <c r="E701" s="190" t="s">
        <v>224</v>
      </c>
    </row>
    <row r="702" spans="1:5" ht="15.75" x14ac:dyDescent="0.25">
      <c r="A702" s="191">
        <v>62543</v>
      </c>
      <c r="B702" s="190" t="s">
        <v>224</v>
      </c>
      <c r="C702" s="190" t="s">
        <v>224</v>
      </c>
      <c r="D702" s="190" t="s">
        <v>224</v>
      </c>
      <c r="E702" s="190" t="s">
        <v>224</v>
      </c>
    </row>
    <row r="703" spans="1:5" ht="15.75" x14ac:dyDescent="0.25">
      <c r="A703" s="191">
        <v>62544</v>
      </c>
      <c r="B703" s="190" t="s">
        <v>224</v>
      </c>
      <c r="C703" s="190" t="s">
        <v>224</v>
      </c>
      <c r="D703" s="190" t="s">
        <v>224</v>
      </c>
      <c r="E703" s="190" t="s">
        <v>224</v>
      </c>
    </row>
    <row r="704" spans="1:5" ht="15.75" x14ac:dyDescent="0.25">
      <c r="A704" s="191">
        <v>62545</v>
      </c>
      <c r="B704" s="190" t="s">
        <v>224</v>
      </c>
      <c r="C704" s="190" t="s">
        <v>224</v>
      </c>
      <c r="D704" s="190" t="s">
        <v>224</v>
      </c>
      <c r="E704" s="190" t="s">
        <v>224</v>
      </c>
    </row>
    <row r="705" spans="1:5" ht="15.75" x14ac:dyDescent="0.25">
      <c r="A705" s="191">
        <v>62546</v>
      </c>
      <c r="B705" s="190" t="s">
        <v>224</v>
      </c>
      <c r="C705" s="190" t="s">
        <v>224</v>
      </c>
      <c r="D705" s="190" t="s">
        <v>224</v>
      </c>
      <c r="E705" s="190" t="s">
        <v>224</v>
      </c>
    </row>
    <row r="706" spans="1:5" ht="15.75" x14ac:dyDescent="0.25">
      <c r="A706" s="191">
        <v>62547</v>
      </c>
      <c r="B706" s="190" t="s">
        <v>224</v>
      </c>
      <c r="C706" s="190" t="s">
        <v>224</v>
      </c>
      <c r="D706" s="190" t="s">
        <v>224</v>
      </c>
      <c r="E706" s="190" t="s">
        <v>224</v>
      </c>
    </row>
    <row r="707" spans="1:5" ht="15.75" x14ac:dyDescent="0.25">
      <c r="A707" s="191">
        <v>62548</v>
      </c>
      <c r="B707" s="190" t="s">
        <v>224</v>
      </c>
      <c r="C707" s="190" t="s">
        <v>224</v>
      </c>
      <c r="D707" s="190" t="s">
        <v>224</v>
      </c>
      <c r="E707" s="190" t="s">
        <v>224</v>
      </c>
    </row>
    <row r="708" spans="1:5" ht="15.75" x14ac:dyDescent="0.25">
      <c r="A708" s="191">
        <v>62549</v>
      </c>
      <c r="B708" s="190" t="s">
        <v>224</v>
      </c>
      <c r="C708" s="190" t="s">
        <v>224</v>
      </c>
      <c r="D708" s="190" t="s">
        <v>224</v>
      </c>
      <c r="E708" s="190" t="s">
        <v>224</v>
      </c>
    </row>
    <row r="709" spans="1:5" ht="15.75" x14ac:dyDescent="0.25">
      <c r="A709" s="191">
        <v>62550</v>
      </c>
      <c r="B709" s="190" t="s">
        <v>224</v>
      </c>
      <c r="C709" s="190" t="s">
        <v>224</v>
      </c>
      <c r="D709" s="190" t="s">
        <v>224</v>
      </c>
      <c r="E709" s="190" t="s">
        <v>224</v>
      </c>
    </row>
    <row r="710" spans="1:5" ht="15.75" x14ac:dyDescent="0.25">
      <c r="A710" s="191">
        <v>62551</v>
      </c>
      <c r="B710" s="190" t="s">
        <v>224</v>
      </c>
      <c r="C710" s="190" t="s">
        <v>224</v>
      </c>
      <c r="D710" s="190" t="s">
        <v>224</v>
      </c>
      <c r="E710" s="190" t="s">
        <v>224</v>
      </c>
    </row>
    <row r="711" spans="1:5" ht="15.75" x14ac:dyDescent="0.25">
      <c r="A711" s="191">
        <v>62553</v>
      </c>
      <c r="B711" s="190" t="s">
        <v>224</v>
      </c>
      <c r="C711" s="190" t="s">
        <v>224</v>
      </c>
      <c r="D711" s="190" t="s">
        <v>224</v>
      </c>
      <c r="E711" s="190" t="s">
        <v>224</v>
      </c>
    </row>
    <row r="712" spans="1:5" ht="15.75" x14ac:dyDescent="0.25">
      <c r="A712" s="191">
        <v>62554</v>
      </c>
      <c r="B712" s="190" t="s">
        <v>224</v>
      </c>
      <c r="C712" s="190" t="s">
        <v>224</v>
      </c>
      <c r="D712" s="190" t="s">
        <v>224</v>
      </c>
      <c r="E712" s="190" t="s">
        <v>224</v>
      </c>
    </row>
    <row r="713" spans="1:5" ht="15.75" x14ac:dyDescent="0.25">
      <c r="A713" s="191">
        <v>62555</v>
      </c>
      <c r="B713" s="190" t="s">
        <v>224</v>
      </c>
      <c r="C713" s="190" t="s">
        <v>224</v>
      </c>
      <c r="D713" s="190" t="s">
        <v>224</v>
      </c>
      <c r="E713" s="190" t="s">
        <v>224</v>
      </c>
    </row>
    <row r="714" spans="1:5" ht="15.75" x14ac:dyDescent="0.25">
      <c r="A714" s="191">
        <v>62556</v>
      </c>
      <c r="B714" s="190" t="s">
        <v>224</v>
      </c>
      <c r="C714" s="190" t="s">
        <v>224</v>
      </c>
      <c r="D714" s="190" t="s">
        <v>224</v>
      </c>
      <c r="E714" s="190" t="s">
        <v>224</v>
      </c>
    </row>
    <row r="715" spans="1:5" ht="15.75" x14ac:dyDescent="0.25">
      <c r="A715" s="191">
        <v>62557</v>
      </c>
      <c r="B715" s="190" t="s">
        <v>224</v>
      </c>
      <c r="C715" s="190" t="s">
        <v>224</v>
      </c>
      <c r="D715" s="190" t="s">
        <v>224</v>
      </c>
      <c r="E715" s="190" t="s">
        <v>224</v>
      </c>
    </row>
    <row r="716" spans="1:5" ht="15.75" x14ac:dyDescent="0.25">
      <c r="A716" s="191">
        <v>62558</v>
      </c>
      <c r="B716" s="190" t="s">
        <v>224</v>
      </c>
      <c r="C716" s="190" t="s">
        <v>224</v>
      </c>
      <c r="D716" s="190" t="s">
        <v>224</v>
      </c>
      <c r="E716" s="190" t="s">
        <v>224</v>
      </c>
    </row>
    <row r="717" spans="1:5" ht="15.75" x14ac:dyDescent="0.25">
      <c r="A717" s="191">
        <v>62560</v>
      </c>
      <c r="B717" s="190" t="s">
        <v>224</v>
      </c>
      <c r="C717" s="190" t="s">
        <v>224</v>
      </c>
      <c r="D717" s="190" t="s">
        <v>225</v>
      </c>
      <c r="E717" s="190" t="s">
        <v>225</v>
      </c>
    </row>
    <row r="718" spans="1:5" ht="15.75" x14ac:dyDescent="0.25">
      <c r="A718" s="191">
        <v>62561</v>
      </c>
      <c r="B718" s="190" t="s">
        <v>224</v>
      </c>
      <c r="C718" s="190" t="s">
        <v>224</v>
      </c>
      <c r="D718" s="190" t="s">
        <v>224</v>
      </c>
      <c r="E718" s="190" t="s">
        <v>224</v>
      </c>
    </row>
    <row r="719" spans="1:5" ht="15.75" x14ac:dyDescent="0.25">
      <c r="A719" s="191">
        <v>62563</v>
      </c>
      <c r="B719" s="190" t="s">
        <v>224</v>
      </c>
      <c r="C719" s="190" t="s">
        <v>224</v>
      </c>
      <c r="D719" s="190" t="s">
        <v>224</v>
      </c>
      <c r="E719" s="190" t="s">
        <v>224</v>
      </c>
    </row>
    <row r="720" spans="1:5" ht="15.75" x14ac:dyDescent="0.25">
      <c r="A720" s="191">
        <v>62565</v>
      </c>
      <c r="B720" s="190" t="s">
        <v>224</v>
      </c>
      <c r="C720" s="190" t="s">
        <v>224</v>
      </c>
      <c r="D720" s="190" t="s">
        <v>224</v>
      </c>
      <c r="E720" s="190" t="s">
        <v>224</v>
      </c>
    </row>
    <row r="721" spans="1:5" ht="15.75" x14ac:dyDescent="0.25">
      <c r="A721" s="191">
        <v>62567</v>
      </c>
      <c r="B721" s="190" t="s">
        <v>224</v>
      </c>
      <c r="C721" s="190" t="s">
        <v>224</v>
      </c>
      <c r="D721" s="190" t="s">
        <v>224</v>
      </c>
      <c r="E721" s="190" t="s">
        <v>224</v>
      </c>
    </row>
    <row r="722" spans="1:5" ht="15.75" x14ac:dyDescent="0.25">
      <c r="A722" s="191">
        <v>62568</v>
      </c>
      <c r="B722" s="190" t="s">
        <v>224</v>
      </c>
      <c r="C722" s="190" t="s">
        <v>224</v>
      </c>
      <c r="D722" s="190" t="s">
        <v>224</v>
      </c>
      <c r="E722" s="190" t="s">
        <v>224</v>
      </c>
    </row>
    <row r="723" spans="1:5" ht="15.75" x14ac:dyDescent="0.25">
      <c r="A723" s="191">
        <v>62570</v>
      </c>
      <c r="B723" s="190" t="s">
        <v>224</v>
      </c>
      <c r="C723" s="190" t="s">
        <v>224</v>
      </c>
      <c r="D723" s="190" t="s">
        <v>224</v>
      </c>
      <c r="E723" s="190" t="s">
        <v>224</v>
      </c>
    </row>
    <row r="724" spans="1:5" ht="15.75" x14ac:dyDescent="0.25">
      <c r="A724" s="191">
        <v>62571</v>
      </c>
      <c r="B724" s="190" t="s">
        <v>224</v>
      </c>
      <c r="C724" s="190" t="s">
        <v>224</v>
      </c>
      <c r="D724" s="190" t="s">
        <v>224</v>
      </c>
      <c r="E724" s="190" t="s">
        <v>224</v>
      </c>
    </row>
    <row r="725" spans="1:5" ht="15.75" x14ac:dyDescent="0.25">
      <c r="A725" s="191">
        <v>62572</v>
      </c>
      <c r="B725" s="190" t="s">
        <v>224</v>
      </c>
      <c r="C725" s="190" t="s">
        <v>224</v>
      </c>
      <c r="D725" s="190" t="s">
        <v>225</v>
      </c>
      <c r="E725" s="190" t="s">
        <v>225</v>
      </c>
    </row>
    <row r="726" spans="1:5" ht="15.75" x14ac:dyDescent="0.25">
      <c r="A726" s="191">
        <v>62573</v>
      </c>
      <c r="B726" s="190" t="s">
        <v>224</v>
      </c>
      <c r="C726" s="190" t="s">
        <v>224</v>
      </c>
      <c r="D726" s="190" t="s">
        <v>224</v>
      </c>
      <c r="E726" s="190" t="s">
        <v>224</v>
      </c>
    </row>
    <row r="727" spans="1:5" ht="15.75" x14ac:dyDescent="0.25">
      <c r="A727" s="191">
        <v>62601</v>
      </c>
      <c r="B727" s="190" t="s">
        <v>224</v>
      </c>
      <c r="C727" s="190" t="s">
        <v>224</v>
      </c>
      <c r="D727" s="190" t="s">
        <v>224</v>
      </c>
      <c r="E727" s="190" t="s">
        <v>224</v>
      </c>
    </row>
    <row r="728" spans="1:5" ht="15.75" x14ac:dyDescent="0.25">
      <c r="A728" s="191">
        <v>62610</v>
      </c>
      <c r="B728" s="190" t="s">
        <v>224</v>
      </c>
      <c r="C728" s="190" t="s">
        <v>224</v>
      </c>
      <c r="D728" s="190" t="s">
        <v>224</v>
      </c>
      <c r="E728" s="190" t="s">
        <v>224</v>
      </c>
    </row>
    <row r="729" spans="1:5" ht="15.75" x14ac:dyDescent="0.25">
      <c r="A729" s="191">
        <v>62611</v>
      </c>
      <c r="B729" s="190" t="s">
        <v>224</v>
      </c>
      <c r="C729" s="190" t="s">
        <v>224</v>
      </c>
      <c r="D729" s="190" t="s">
        <v>224</v>
      </c>
      <c r="E729" s="190" t="s">
        <v>224</v>
      </c>
    </row>
    <row r="730" spans="1:5" ht="15.75" x14ac:dyDescent="0.25">
      <c r="A730" s="191">
        <v>62612</v>
      </c>
      <c r="B730" s="190" t="s">
        <v>224</v>
      </c>
      <c r="C730" s="190" t="s">
        <v>224</v>
      </c>
      <c r="D730" s="190" t="s">
        <v>224</v>
      </c>
      <c r="E730" s="190" t="s">
        <v>224</v>
      </c>
    </row>
    <row r="731" spans="1:5" ht="15.75" x14ac:dyDescent="0.25">
      <c r="A731" s="191">
        <v>62613</v>
      </c>
      <c r="B731" s="190" t="s">
        <v>224</v>
      </c>
      <c r="C731" s="190" t="s">
        <v>224</v>
      </c>
      <c r="D731" s="190" t="s">
        <v>224</v>
      </c>
      <c r="E731" s="190" t="s">
        <v>224</v>
      </c>
    </row>
    <row r="732" spans="1:5" ht="15.75" x14ac:dyDescent="0.25">
      <c r="A732" s="191">
        <v>62615</v>
      </c>
      <c r="B732" s="190" t="s">
        <v>224</v>
      </c>
      <c r="C732" s="190" t="s">
        <v>224</v>
      </c>
      <c r="D732" s="190" t="s">
        <v>224</v>
      </c>
      <c r="E732" s="190" t="s">
        <v>224</v>
      </c>
    </row>
    <row r="733" spans="1:5" ht="15.75" x14ac:dyDescent="0.25">
      <c r="A733" s="191">
        <v>62617</v>
      </c>
      <c r="B733" s="190" t="s">
        <v>224</v>
      </c>
      <c r="C733" s="190" t="s">
        <v>224</v>
      </c>
      <c r="D733" s="190" t="s">
        <v>224</v>
      </c>
      <c r="E733" s="190" t="s">
        <v>224</v>
      </c>
    </row>
    <row r="734" spans="1:5" ht="15.75" x14ac:dyDescent="0.25">
      <c r="A734" s="191">
        <v>62618</v>
      </c>
      <c r="B734" s="190" t="s">
        <v>224</v>
      </c>
      <c r="C734" s="190" t="s">
        <v>224</v>
      </c>
      <c r="D734" s="190" t="s">
        <v>224</v>
      </c>
      <c r="E734" s="190" t="s">
        <v>224</v>
      </c>
    </row>
    <row r="735" spans="1:5" ht="15.75" x14ac:dyDescent="0.25">
      <c r="A735" s="191">
        <v>62621</v>
      </c>
      <c r="B735" s="190" t="s">
        <v>224</v>
      </c>
      <c r="C735" s="190" t="s">
        <v>224</v>
      </c>
      <c r="D735" s="190" t="s">
        <v>224</v>
      </c>
      <c r="E735" s="190" t="s">
        <v>224</v>
      </c>
    </row>
    <row r="736" spans="1:5" ht="15.75" x14ac:dyDescent="0.25">
      <c r="A736" s="191">
        <v>62622</v>
      </c>
      <c r="B736" s="190" t="s">
        <v>224</v>
      </c>
      <c r="C736" s="190" t="s">
        <v>224</v>
      </c>
      <c r="D736" s="190" t="s">
        <v>224</v>
      </c>
      <c r="E736" s="190" t="s">
        <v>224</v>
      </c>
    </row>
    <row r="737" spans="1:5" ht="15.75" x14ac:dyDescent="0.25">
      <c r="A737" s="191">
        <v>62624</v>
      </c>
      <c r="B737" s="190" t="s">
        <v>224</v>
      </c>
      <c r="C737" s="190" t="s">
        <v>224</v>
      </c>
      <c r="D737" s="190" t="s">
        <v>224</v>
      </c>
      <c r="E737" s="190" t="s">
        <v>224</v>
      </c>
    </row>
    <row r="738" spans="1:5" ht="15.75" x14ac:dyDescent="0.25">
      <c r="A738" s="191">
        <v>62625</v>
      </c>
      <c r="B738" s="190" t="s">
        <v>224</v>
      </c>
      <c r="C738" s="190" t="s">
        <v>224</v>
      </c>
      <c r="D738" s="190" t="s">
        <v>224</v>
      </c>
      <c r="E738" s="190" t="s">
        <v>224</v>
      </c>
    </row>
    <row r="739" spans="1:5" ht="15.75" x14ac:dyDescent="0.25">
      <c r="A739" s="191">
        <v>62626</v>
      </c>
      <c r="B739" s="190" t="s">
        <v>224</v>
      </c>
      <c r="C739" s="190" t="s">
        <v>224</v>
      </c>
      <c r="D739" s="190" t="s">
        <v>225</v>
      </c>
      <c r="E739" s="190" t="s">
        <v>225</v>
      </c>
    </row>
    <row r="740" spans="1:5" ht="15.75" x14ac:dyDescent="0.25">
      <c r="A740" s="191">
        <v>62627</v>
      </c>
      <c r="B740" s="190" t="s">
        <v>224</v>
      </c>
      <c r="C740" s="190" t="s">
        <v>224</v>
      </c>
      <c r="D740" s="190" t="s">
        <v>224</v>
      </c>
      <c r="E740" s="190" t="s">
        <v>224</v>
      </c>
    </row>
    <row r="741" spans="1:5" ht="15.75" x14ac:dyDescent="0.25">
      <c r="A741" s="191">
        <v>62628</v>
      </c>
      <c r="B741" s="190" t="s">
        <v>224</v>
      </c>
      <c r="C741" s="190" t="s">
        <v>224</v>
      </c>
      <c r="D741" s="190" t="s">
        <v>224</v>
      </c>
      <c r="E741" s="190" t="s">
        <v>224</v>
      </c>
    </row>
    <row r="742" spans="1:5" ht="15.75" x14ac:dyDescent="0.25">
      <c r="A742" s="191">
        <v>62629</v>
      </c>
      <c r="B742" s="190" t="s">
        <v>224</v>
      </c>
      <c r="C742" s="190" t="s">
        <v>224</v>
      </c>
      <c r="D742" s="190" t="s">
        <v>224</v>
      </c>
      <c r="E742" s="190" t="s">
        <v>224</v>
      </c>
    </row>
    <row r="743" spans="1:5" ht="15.75" x14ac:dyDescent="0.25">
      <c r="A743" s="191">
        <v>62630</v>
      </c>
      <c r="B743" s="190" t="s">
        <v>224</v>
      </c>
      <c r="C743" s="190" t="s">
        <v>224</v>
      </c>
      <c r="D743" s="190" t="s">
        <v>225</v>
      </c>
      <c r="E743" s="190" t="s">
        <v>225</v>
      </c>
    </row>
    <row r="744" spans="1:5" ht="15.75" x14ac:dyDescent="0.25">
      <c r="A744" s="191">
        <v>62631</v>
      </c>
      <c r="B744" s="190" t="s">
        <v>224</v>
      </c>
      <c r="C744" s="190" t="s">
        <v>224</v>
      </c>
      <c r="D744" s="190" t="s">
        <v>224</v>
      </c>
      <c r="E744" s="190" t="s">
        <v>224</v>
      </c>
    </row>
    <row r="745" spans="1:5" ht="15.75" x14ac:dyDescent="0.25">
      <c r="A745" s="191">
        <v>62633</v>
      </c>
      <c r="B745" s="190" t="s">
        <v>224</v>
      </c>
      <c r="C745" s="190" t="s">
        <v>224</v>
      </c>
      <c r="D745" s="190" t="s">
        <v>224</v>
      </c>
      <c r="E745" s="190" t="s">
        <v>224</v>
      </c>
    </row>
    <row r="746" spans="1:5" ht="15.75" x14ac:dyDescent="0.25">
      <c r="A746" s="191">
        <v>62634</v>
      </c>
      <c r="B746" s="190" t="s">
        <v>224</v>
      </c>
      <c r="C746" s="190" t="s">
        <v>224</v>
      </c>
      <c r="D746" s="190" t="s">
        <v>224</v>
      </c>
      <c r="E746" s="190" t="s">
        <v>224</v>
      </c>
    </row>
    <row r="747" spans="1:5" ht="15.75" x14ac:dyDescent="0.25">
      <c r="A747" s="191">
        <v>62635</v>
      </c>
      <c r="B747" s="190" t="s">
        <v>224</v>
      </c>
      <c r="C747" s="190" t="s">
        <v>224</v>
      </c>
      <c r="D747" s="190" t="s">
        <v>224</v>
      </c>
      <c r="E747" s="190" t="s">
        <v>224</v>
      </c>
    </row>
    <row r="748" spans="1:5" ht="15.75" x14ac:dyDescent="0.25">
      <c r="A748" s="191">
        <v>62638</v>
      </c>
      <c r="B748" s="190" t="s">
        <v>224</v>
      </c>
      <c r="C748" s="190" t="s">
        <v>224</v>
      </c>
      <c r="D748" s="190" t="s">
        <v>224</v>
      </c>
      <c r="E748" s="190" t="s">
        <v>224</v>
      </c>
    </row>
    <row r="749" spans="1:5" ht="15.75" x14ac:dyDescent="0.25">
      <c r="A749" s="191">
        <v>62639</v>
      </c>
      <c r="B749" s="190" t="s">
        <v>224</v>
      </c>
      <c r="C749" s="190" t="s">
        <v>224</v>
      </c>
      <c r="D749" s="190" t="s">
        <v>224</v>
      </c>
      <c r="E749" s="190" t="s">
        <v>224</v>
      </c>
    </row>
    <row r="750" spans="1:5" ht="15.75" x14ac:dyDescent="0.25">
      <c r="A750" s="191">
        <v>62640</v>
      </c>
      <c r="B750" s="190" t="s">
        <v>224</v>
      </c>
      <c r="C750" s="190" t="s">
        <v>224</v>
      </c>
      <c r="D750" s="190" t="s">
        <v>225</v>
      </c>
      <c r="E750" s="190" t="s">
        <v>225</v>
      </c>
    </row>
    <row r="751" spans="1:5" ht="15.75" x14ac:dyDescent="0.25">
      <c r="A751" s="191">
        <v>62642</v>
      </c>
      <c r="B751" s="190" t="s">
        <v>224</v>
      </c>
      <c r="C751" s="190" t="s">
        <v>224</v>
      </c>
      <c r="D751" s="190" t="s">
        <v>224</v>
      </c>
      <c r="E751" s="190" t="s">
        <v>224</v>
      </c>
    </row>
    <row r="752" spans="1:5" ht="15.75" x14ac:dyDescent="0.25">
      <c r="A752" s="191">
        <v>62643</v>
      </c>
      <c r="B752" s="190" t="s">
        <v>224</v>
      </c>
      <c r="C752" s="190" t="s">
        <v>224</v>
      </c>
      <c r="D752" s="190" t="s">
        <v>224</v>
      </c>
      <c r="E752" s="190" t="s">
        <v>224</v>
      </c>
    </row>
    <row r="753" spans="1:5" ht="15.75" x14ac:dyDescent="0.25">
      <c r="A753" s="191">
        <v>62644</v>
      </c>
      <c r="B753" s="190" t="s">
        <v>224</v>
      </c>
      <c r="C753" s="190" t="s">
        <v>224</v>
      </c>
      <c r="D753" s="190" t="s">
        <v>224</v>
      </c>
      <c r="E753" s="190" t="s">
        <v>224</v>
      </c>
    </row>
    <row r="754" spans="1:5" ht="15.75" x14ac:dyDescent="0.25">
      <c r="A754" s="191">
        <v>62649</v>
      </c>
      <c r="B754" s="190" t="s">
        <v>224</v>
      </c>
      <c r="C754" s="190" t="s">
        <v>224</v>
      </c>
      <c r="D754" s="190" t="s">
        <v>225</v>
      </c>
      <c r="E754" s="190" t="s">
        <v>225</v>
      </c>
    </row>
    <row r="755" spans="1:5" ht="15.75" x14ac:dyDescent="0.25">
      <c r="A755" s="191">
        <v>62650</v>
      </c>
      <c r="B755" s="190" t="s">
        <v>224</v>
      </c>
      <c r="C755" s="190" t="s">
        <v>224</v>
      </c>
      <c r="D755" s="190" t="s">
        <v>224</v>
      </c>
      <c r="E755" s="190" t="s">
        <v>224</v>
      </c>
    </row>
    <row r="756" spans="1:5" ht="15.75" x14ac:dyDescent="0.25">
      <c r="A756" s="191">
        <v>62651</v>
      </c>
      <c r="B756" s="190" t="s">
        <v>224</v>
      </c>
      <c r="C756" s="190" t="s">
        <v>224</v>
      </c>
      <c r="D756" s="190" t="s">
        <v>224</v>
      </c>
      <c r="E756" s="190" t="s">
        <v>224</v>
      </c>
    </row>
    <row r="757" spans="1:5" ht="15.75" x14ac:dyDescent="0.25">
      <c r="A757" s="191">
        <v>62655</v>
      </c>
      <c r="B757" s="190" t="s">
        <v>224</v>
      </c>
      <c r="C757" s="190" t="s">
        <v>224</v>
      </c>
      <c r="D757" s="190" t="s">
        <v>224</v>
      </c>
      <c r="E757" s="190" t="s">
        <v>224</v>
      </c>
    </row>
    <row r="758" spans="1:5" ht="15.75" x14ac:dyDescent="0.25">
      <c r="A758" s="191">
        <v>62656</v>
      </c>
      <c r="B758" s="190" t="s">
        <v>224</v>
      </c>
      <c r="C758" s="190" t="s">
        <v>224</v>
      </c>
      <c r="D758" s="190" t="s">
        <v>224</v>
      </c>
      <c r="E758" s="190" t="s">
        <v>224</v>
      </c>
    </row>
    <row r="759" spans="1:5" ht="15.75" x14ac:dyDescent="0.25">
      <c r="A759" s="191">
        <v>62659</v>
      </c>
      <c r="B759" s="190" t="s">
        <v>224</v>
      </c>
      <c r="C759" s="190" t="s">
        <v>224</v>
      </c>
      <c r="D759" s="190" t="s">
        <v>224</v>
      </c>
      <c r="E759" s="190" t="s">
        <v>224</v>
      </c>
    </row>
    <row r="760" spans="1:5" ht="15.75" x14ac:dyDescent="0.25">
      <c r="A760" s="191">
        <v>62660</v>
      </c>
      <c r="B760" s="190" t="s">
        <v>224</v>
      </c>
      <c r="C760" s="190" t="s">
        <v>224</v>
      </c>
      <c r="D760" s="190" t="s">
        <v>224</v>
      </c>
      <c r="E760" s="190" t="s">
        <v>224</v>
      </c>
    </row>
    <row r="761" spans="1:5" ht="15.75" x14ac:dyDescent="0.25">
      <c r="A761" s="191">
        <v>62661</v>
      </c>
      <c r="B761" s="190" t="s">
        <v>224</v>
      </c>
      <c r="C761" s="190" t="s">
        <v>224</v>
      </c>
      <c r="D761" s="190" t="s">
        <v>224</v>
      </c>
      <c r="E761" s="190" t="s">
        <v>224</v>
      </c>
    </row>
    <row r="762" spans="1:5" ht="15.75" x14ac:dyDescent="0.25">
      <c r="A762" s="191">
        <v>62662</v>
      </c>
      <c r="B762" s="190" t="s">
        <v>224</v>
      </c>
      <c r="C762" s="190" t="s">
        <v>224</v>
      </c>
      <c r="D762" s="190" t="s">
        <v>224</v>
      </c>
      <c r="E762" s="190" t="s">
        <v>224</v>
      </c>
    </row>
    <row r="763" spans="1:5" ht="15.75" x14ac:dyDescent="0.25">
      <c r="A763" s="191">
        <v>62663</v>
      </c>
      <c r="B763" s="190" t="s">
        <v>224</v>
      </c>
      <c r="C763" s="190" t="s">
        <v>224</v>
      </c>
      <c r="D763" s="190" t="s">
        <v>224</v>
      </c>
      <c r="E763" s="190" t="s">
        <v>224</v>
      </c>
    </row>
    <row r="764" spans="1:5" ht="15.75" x14ac:dyDescent="0.25">
      <c r="A764" s="191">
        <v>62664</v>
      </c>
      <c r="B764" s="190" t="s">
        <v>224</v>
      </c>
      <c r="C764" s="190" t="s">
        <v>224</v>
      </c>
      <c r="D764" s="190" t="s">
        <v>224</v>
      </c>
      <c r="E764" s="190" t="s">
        <v>224</v>
      </c>
    </row>
    <row r="765" spans="1:5" ht="15.75" x14ac:dyDescent="0.25">
      <c r="A765" s="191">
        <v>62665</v>
      </c>
      <c r="B765" s="190" t="s">
        <v>224</v>
      </c>
      <c r="C765" s="190" t="s">
        <v>224</v>
      </c>
      <c r="D765" s="190" t="s">
        <v>224</v>
      </c>
      <c r="E765" s="190" t="s">
        <v>224</v>
      </c>
    </row>
    <row r="766" spans="1:5" ht="15.75" x14ac:dyDescent="0.25">
      <c r="A766" s="191">
        <v>62666</v>
      </c>
      <c r="B766" s="190" t="s">
        <v>224</v>
      </c>
      <c r="C766" s="190" t="s">
        <v>224</v>
      </c>
      <c r="D766" s="190" t="s">
        <v>224</v>
      </c>
      <c r="E766" s="190" t="s">
        <v>224</v>
      </c>
    </row>
    <row r="767" spans="1:5" ht="15.75" x14ac:dyDescent="0.25">
      <c r="A767" s="191">
        <v>62667</v>
      </c>
      <c r="B767" s="190" t="s">
        <v>224</v>
      </c>
      <c r="C767" s="190" t="s">
        <v>224</v>
      </c>
      <c r="D767" s="190" t="s">
        <v>225</v>
      </c>
      <c r="E767" s="190" t="s">
        <v>225</v>
      </c>
    </row>
    <row r="768" spans="1:5" ht="15.75" x14ac:dyDescent="0.25">
      <c r="A768" s="191">
        <v>62668</v>
      </c>
      <c r="B768" s="190" t="s">
        <v>224</v>
      </c>
      <c r="C768" s="190" t="s">
        <v>224</v>
      </c>
      <c r="D768" s="190" t="s">
        <v>224</v>
      </c>
      <c r="E768" s="190" t="s">
        <v>224</v>
      </c>
    </row>
    <row r="769" spans="1:5" ht="15.75" x14ac:dyDescent="0.25">
      <c r="A769" s="191">
        <v>62670</v>
      </c>
      <c r="B769" s="190" t="s">
        <v>224</v>
      </c>
      <c r="C769" s="190" t="s">
        <v>224</v>
      </c>
      <c r="D769" s="190" t="s">
        <v>224</v>
      </c>
      <c r="E769" s="190" t="s">
        <v>224</v>
      </c>
    </row>
    <row r="770" spans="1:5" ht="15.75" x14ac:dyDescent="0.25">
      <c r="A770" s="191">
        <v>62671</v>
      </c>
      <c r="B770" s="190" t="s">
        <v>224</v>
      </c>
      <c r="C770" s="190" t="s">
        <v>224</v>
      </c>
      <c r="D770" s="190" t="s">
        <v>224</v>
      </c>
      <c r="E770" s="190" t="s">
        <v>224</v>
      </c>
    </row>
    <row r="771" spans="1:5" ht="15.75" x14ac:dyDescent="0.25">
      <c r="A771" s="191">
        <v>62672</v>
      </c>
      <c r="B771" s="190" t="s">
        <v>224</v>
      </c>
      <c r="C771" s="190" t="s">
        <v>224</v>
      </c>
      <c r="D771" s="190" t="s">
        <v>225</v>
      </c>
      <c r="E771" s="190" t="s">
        <v>225</v>
      </c>
    </row>
    <row r="772" spans="1:5" ht="15.75" x14ac:dyDescent="0.25">
      <c r="A772" s="191">
        <v>62673</v>
      </c>
      <c r="B772" s="190" t="s">
        <v>224</v>
      </c>
      <c r="C772" s="190" t="s">
        <v>224</v>
      </c>
      <c r="D772" s="190" t="s">
        <v>224</v>
      </c>
      <c r="E772" s="190" t="s">
        <v>224</v>
      </c>
    </row>
    <row r="773" spans="1:5" ht="15.75" x14ac:dyDescent="0.25">
      <c r="A773" s="191">
        <v>62674</v>
      </c>
      <c r="B773" s="190" t="s">
        <v>224</v>
      </c>
      <c r="C773" s="190" t="s">
        <v>224</v>
      </c>
      <c r="D773" s="190" t="s">
        <v>225</v>
      </c>
      <c r="E773" s="190" t="s">
        <v>225</v>
      </c>
    </row>
    <row r="774" spans="1:5" ht="15.75" x14ac:dyDescent="0.25">
      <c r="A774" s="191">
        <v>62675</v>
      </c>
      <c r="B774" s="190" t="s">
        <v>224</v>
      </c>
      <c r="C774" s="190" t="s">
        <v>224</v>
      </c>
      <c r="D774" s="190" t="s">
        <v>224</v>
      </c>
      <c r="E774" s="190" t="s">
        <v>224</v>
      </c>
    </row>
    <row r="775" spans="1:5" ht="15.75" x14ac:dyDescent="0.25">
      <c r="A775" s="191">
        <v>62677</v>
      </c>
      <c r="B775" s="190" t="s">
        <v>224</v>
      </c>
      <c r="C775" s="190" t="s">
        <v>224</v>
      </c>
      <c r="D775" s="190" t="s">
        <v>224</v>
      </c>
      <c r="E775" s="190" t="s">
        <v>224</v>
      </c>
    </row>
    <row r="776" spans="1:5" ht="15.75" x14ac:dyDescent="0.25">
      <c r="A776" s="191">
        <v>62681</v>
      </c>
      <c r="B776" s="190" t="s">
        <v>224</v>
      </c>
      <c r="C776" s="190" t="s">
        <v>224</v>
      </c>
      <c r="D776" s="190" t="s">
        <v>224</v>
      </c>
      <c r="E776" s="190" t="s">
        <v>224</v>
      </c>
    </row>
    <row r="777" spans="1:5" ht="15.75" x14ac:dyDescent="0.25">
      <c r="A777" s="191">
        <v>62682</v>
      </c>
      <c r="B777" s="190" t="s">
        <v>224</v>
      </c>
      <c r="C777" s="190" t="s">
        <v>224</v>
      </c>
      <c r="D777" s="190" t="s">
        <v>224</v>
      </c>
      <c r="E777" s="190" t="s">
        <v>224</v>
      </c>
    </row>
    <row r="778" spans="1:5" ht="15.75" x14ac:dyDescent="0.25">
      <c r="A778" s="191">
        <v>62683</v>
      </c>
      <c r="B778" s="190" t="s">
        <v>224</v>
      </c>
      <c r="C778" s="190" t="s">
        <v>224</v>
      </c>
      <c r="D778" s="190" t="s">
        <v>225</v>
      </c>
      <c r="E778" s="190" t="s">
        <v>225</v>
      </c>
    </row>
    <row r="779" spans="1:5" ht="15.75" x14ac:dyDescent="0.25">
      <c r="A779" s="191">
        <v>62684</v>
      </c>
      <c r="B779" s="190" t="s">
        <v>224</v>
      </c>
      <c r="C779" s="190" t="s">
        <v>224</v>
      </c>
      <c r="D779" s="190" t="s">
        <v>224</v>
      </c>
      <c r="E779" s="190" t="s">
        <v>224</v>
      </c>
    </row>
    <row r="780" spans="1:5" ht="15.75" x14ac:dyDescent="0.25">
      <c r="A780" s="191">
        <v>62685</v>
      </c>
      <c r="B780" s="190" t="s">
        <v>224</v>
      </c>
      <c r="C780" s="190" t="s">
        <v>224</v>
      </c>
      <c r="D780" s="190" t="s">
        <v>225</v>
      </c>
      <c r="E780" s="190" t="s">
        <v>225</v>
      </c>
    </row>
    <row r="781" spans="1:5" ht="15.75" x14ac:dyDescent="0.25">
      <c r="A781" s="191">
        <v>62688</v>
      </c>
      <c r="B781" s="190" t="s">
        <v>224</v>
      </c>
      <c r="C781" s="190" t="s">
        <v>224</v>
      </c>
      <c r="D781" s="190" t="s">
        <v>224</v>
      </c>
      <c r="E781" s="190" t="s">
        <v>224</v>
      </c>
    </row>
    <row r="782" spans="1:5" ht="15.75" x14ac:dyDescent="0.25">
      <c r="A782" s="191">
        <v>62689</v>
      </c>
      <c r="B782" s="190" t="s">
        <v>224</v>
      </c>
      <c r="C782" s="190" t="s">
        <v>224</v>
      </c>
      <c r="D782" s="190" t="s">
        <v>224</v>
      </c>
      <c r="E782" s="190" t="s">
        <v>224</v>
      </c>
    </row>
    <row r="783" spans="1:5" ht="15.75" x14ac:dyDescent="0.25">
      <c r="A783" s="191">
        <v>62690</v>
      </c>
      <c r="B783" s="190" t="s">
        <v>224</v>
      </c>
      <c r="C783" s="190" t="s">
        <v>224</v>
      </c>
      <c r="D783" s="190" t="s">
        <v>225</v>
      </c>
      <c r="E783" s="190" t="s">
        <v>225</v>
      </c>
    </row>
    <row r="784" spans="1:5" ht="15.75" x14ac:dyDescent="0.25">
      <c r="A784" s="191">
        <v>62691</v>
      </c>
      <c r="B784" s="190" t="s">
        <v>224</v>
      </c>
      <c r="C784" s="190" t="s">
        <v>224</v>
      </c>
      <c r="D784" s="190" t="s">
        <v>224</v>
      </c>
      <c r="E784" s="190" t="s">
        <v>224</v>
      </c>
    </row>
    <row r="785" spans="1:5" ht="15.75" x14ac:dyDescent="0.25">
      <c r="A785" s="191">
        <v>62692</v>
      </c>
      <c r="B785" s="190" t="s">
        <v>224</v>
      </c>
      <c r="C785" s="190" t="s">
        <v>224</v>
      </c>
      <c r="D785" s="190" t="s">
        <v>224</v>
      </c>
      <c r="E785" s="190" t="s">
        <v>224</v>
      </c>
    </row>
    <row r="786" spans="1:5" ht="15.75" x14ac:dyDescent="0.25">
      <c r="A786" s="191">
        <v>62693</v>
      </c>
      <c r="B786" s="190" t="s">
        <v>224</v>
      </c>
      <c r="C786" s="190" t="s">
        <v>224</v>
      </c>
      <c r="D786" s="190" t="s">
        <v>224</v>
      </c>
      <c r="E786" s="190" t="s">
        <v>224</v>
      </c>
    </row>
    <row r="787" spans="1:5" ht="15.75" x14ac:dyDescent="0.25">
      <c r="A787" s="191">
        <v>62694</v>
      </c>
      <c r="B787" s="190" t="s">
        <v>224</v>
      </c>
      <c r="C787" s="190" t="s">
        <v>224</v>
      </c>
      <c r="D787" s="190" t="s">
        <v>224</v>
      </c>
      <c r="E787" s="190" t="s">
        <v>224</v>
      </c>
    </row>
    <row r="788" spans="1:5" ht="15.75" x14ac:dyDescent="0.25">
      <c r="A788" s="191">
        <v>62695</v>
      </c>
      <c r="B788" s="190" t="s">
        <v>224</v>
      </c>
      <c r="C788" s="190" t="s">
        <v>224</v>
      </c>
      <c r="D788" s="190" t="s">
        <v>224</v>
      </c>
      <c r="E788" s="190" t="s">
        <v>224</v>
      </c>
    </row>
    <row r="789" spans="1:5" ht="15.75" x14ac:dyDescent="0.25">
      <c r="A789" s="191">
        <v>62701</v>
      </c>
      <c r="B789" s="190" t="s">
        <v>224</v>
      </c>
      <c r="C789" s="190" t="s">
        <v>224</v>
      </c>
      <c r="D789" s="190" t="s">
        <v>224</v>
      </c>
      <c r="E789" s="190" t="s">
        <v>224</v>
      </c>
    </row>
    <row r="790" spans="1:5" ht="15.75" x14ac:dyDescent="0.25">
      <c r="A790" s="191">
        <v>62702</v>
      </c>
      <c r="B790" s="190" t="s">
        <v>224</v>
      </c>
      <c r="C790" s="190" t="s">
        <v>224</v>
      </c>
      <c r="D790" s="190" t="s">
        <v>224</v>
      </c>
      <c r="E790" s="190" t="s">
        <v>224</v>
      </c>
    </row>
    <row r="791" spans="1:5" ht="15.75" x14ac:dyDescent="0.25">
      <c r="A791" s="191">
        <v>62703</v>
      </c>
      <c r="B791" s="190" t="s">
        <v>224</v>
      </c>
      <c r="C791" s="190" t="s">
        <v>224</v>
      </c>
      <c r="D791" s="190" t="s">
        <v>224</v>
      </c>
      <c r="E791" s="190" t="s">
        <v>224</v>
      </c>
    </row>
    <row r="792" spans="1:5" ht="15.75" x14ac:dyDescent="0.25">
      <c r="A792" s="191">
        <v>62704</v>
      </c>
      <c r="B792" s="190" t="s">
        <v>224</v>
      </c>
      <c r="C792" s="190" t="s">
        <v>224</v>
      </c>
      <c r="D792" s="190" t="s">
        <v>224</v>
      </c>
      <c r="E792" s="190" t="s">
        <v>224</v>
      </c>
    </row>
    <row r="793" spans="1:5" ht="15.75" x14ac:dyDescent="0.25">
      <c r="A793" s="191">
        <v>62705</v>
      </c>
      <c r="B793" s="190" t="s">
        <v>224</v>
      </c>
      <c r="C793" s="190" t="s">
        <v>224</v>
      </c>
      <c r="D793" s="190" t="s">
        <v>224</v>
      </c>
      <c r="E793" s="190" t="s">
        <v>224</v>
      </c>
    </row>
    <row r="794" spans="1:5" ht="15.75" x14ac:dyDescent="0.25">
      <c r="A794" s="191">
        <v>62706</v>
      </c>
      <c r="B794" s="190" t="s">
        <v>224</v>
      </c>
      <c r="C794" s="190" t="s">
        <v>224</v>
      </c>
      <c r="D794" s="190" t="s">
        <v>224</v>
      </c>
      <c r="E794" s="190" t="s">
        <v>224</v>
      </c>
    </row>
    <row r="795" spans="1:5" ht="15.75" x14ac:dyDescent="0.25">
      <c r="A795" s="191">
        <v>62707</v>
      </c>
      <c r="B795" s="190" t="s">
        <v>224</v>
      </c>
      <c r="C795" s="190" t="s">
        <v>224</v>
      </c>
      <c r="D795" s="190" t="s">
        <v>224</v>
      </c>
      <c r="E795" s="190" t="s">
        <v>224</v>
      </c>
    </row>
    <row r="796" spans="1:5" ht="15.75" x14ac:dyDescent="0.25">
      <c r="A796" s="191">
        <v>62711</v>
      </c>
      <c r="B796" s="190" t="s">
        <v>224</v>
      </c>
      <c r="C796" s="190" t="s">
        <v>224</v>
      </c>
      <c r="D796" s="190" t="s">
        <v>224</v>
      </c>
      <c r="E796" s="190" t="s">
        <v>224</v>
      </c>
    </row>
    <row r="797" spans="1:5" ht="15.75" x14ac:dyDescent="0.25">
      <c r="A797" s="191">
        <v>62712</v>
      </c>
      <c r="B797" s="190" t="s">
        <v>224</v>
      </c>
      <c r="C797" s="190" t="s">
        <v>224</v>
      </c>
      <c r="D797" s="190" t="s">
        <v>224</v>
      </c>
      <c r="E797" s="190" t="s">
        <v>224</v>
      </c>
    </row>
    <row r="798" spans="1:5" ht="15.75" x14ac:dyDescent="0.25">
      <c r="A798" s="191">
        <v>62801</v>
      </c>
      <c r="B798" s="190" t="s">
        <v>225</v>
      </c>
      <c r="C798" s="190" t="s">
        <v>225</v>
      </c>
      <c r="D798" s="190" t="s">
        <v>225</v>
      </c>
      <c r="E798" s="190" t="s">
        <v>225</v>
      </c>
    </row>
    <row r="799" spans="1:5" ht="15.75" x14ac:dyDescent="0.25">
      <c r="A799" s="191">
        <v>62803</v>
      </c>
      <c r="B799" s="190" t="s">
        <v>225</v>
      </c>
      <c r="C799" s="190" t="s">
        <v>225</v>
      </c>
      <c r="D799" s="190" t="s">
        <v>225</v>
      </c>
      <c r="E799" s="190" t="s">
        <v>225</v>
      </c>
    </row>
    <row r="800" spans="1:5" ht="15.75" x14ac:dyDescent="0.25">
      <c r="A800" s="191">
        <v>62806</v>
      </c>
      <c r="B800" s="190" t="s">
        <v>225</v>
      </c>
      <c r="C800" s="190" t="s">
        <v>225</v>
      </c>
      <c r="D800" s="190" t="s">
        <v>225</v>
      </c>
      <c r="E800" s="190" t="s">
        <v>225</v>
      </c>
    </row>
    <row r="801" spans="1:5" ht="15.75" x14ac:dyDescent="0.25">
      <c r="A801" s="191">
        <v>62807</v>
      </c>
      <c r="B801" s="190" t="s">
        <v>225</v>
      </c>
      <c r="C801" s="190" t="s">
        <v>225</v>
      </c>
      <c r="D801" s="190" t="s">
        <v>225</v>
      </c>
      <c r="E801" s="190" t="s">
        <v>225</v>
      </c>
    </row>
    <row r="802" spans="1:5" ht="15.75" x14ac:dyDescent="0.25">
      <c r="A802" s="191">
        <v>62808</v>
      </c>
      <c r="B802" s="190" t="s">
        <v>225</v>
      </c>
      <c r="C802" s="190" t="s">
        <v>225</v>
      </c>
      <c r="D802" s="190" t="s">
        <v>225</v>
      </c>
      <c r="E802" s="190" t="s">
        <v>225</v>
      </c>
    </row>
    <row r="803" spans="1:5" ht="15.75" x14ac:dyDescent="0.25">
      <c r="A803" s="191">
        <v>62809</v>
      </c>
      <c r="B803" s="190" t="s">
        <v>225</v>
      </c>
      <c r="C803" s="190" t="s">
        <v>225</v>
      </c>
      <c r="D803" s="190" t="s">
        <v>225</v>
      </c>
      <c r="E803" s="190" t="s">
        <v>225</v>
      </c>
    </row>
    <row r="804" spans="1:5" ht="15.75" x14ac:dyDescent="0.25">
      <c r="A804" s="191">
        <v>62810</v>
      </c>
      <c r="B804" s="190" t="s">
        <v>225</v>
      </c>
      <c r="C804" s="190" t="s">
        <v>225</v>
      </c>
      <c r="D804" s="190" t="s">
        <v>225</v>
      </c>
      <c r="E804" s="190" t="s">
        <v>225</v>
      </c>
    </row>
    <row r="805" spans="1:5" ht="15.75" x14ac:dyDescent="0.25">
      <c r="A805" s="191">
        <v>62811</v>
      </c>
      <c r="B805" s="190" t="s">
        <v>225</v>
      </c>
      <c r="C805" s="190" t="s">
        <v>225</v>
      </c>
      <c r="D805" s="190" t="s">
        <v>225</v>
      </c>
      <c r="E805" s="190" t="s">
        <v>225</v>
      </c>
    </row>
    <row r="806" spans="1:5" ht="15.75" x14ac:dyDescent="0.25">
      <c r="A806" s="191">
        <v>62812</v>
      </c>
      <c r="B806" s="190" t="s">
        <v>225</v>
      </c>
      <c r="C806" s="190" t="s">
        <v>225</v>
      </c>
      <c r="D806" s="190" t="s">
        <v>225</v>
      </c>
      <c r="E806" s="190" t="s">
        <v>225</v>
      </c>
    </row>
    <row r="807" spans="1:5" ht="15.75" x14ac:dyDescent="0.25">
      <c r="A807" s="191">
        <v>62814</v>
      </c>
      <c r="B807" s="190" t="s">
        <v>225</v>
      </c>
      <c r="C807" s="190" t="s">
        <v>225</v>
      </c>
      <c r="D807" s="190" t="s">
        <v>225</v>
      </c>
      <c r="E807" s="190" t="s">
        <v>225</v>
      </c>
    </row>
    <row r="808" spans="1:5" ht="15.75" x14ac:dyDescent="0.25">
      <c r="A808" s="191">
        <v>62815</v>
      </c>
      <c r="B808" s="190" t="s">
        <v>225</v>
      </c>
      <c r="C808" s="190" t="s">
        <v>225</v>
      </c>
      <c r="D808" s="190" t="s">
        <v>225</v>
      </c>
      <c r="E808" s="190" t="s">
        <v>225</v>
      </c>
    </row>
    <row r="809" spans="1:5" ht="15.75" x14ac:dyDescent="0.25">
      <c r="A809" s="191">
        <v>62816</v>
      </c>
      <c r="B809" s="190" t="s">
        <v>225</v>
      </c>
      <c r="C809" s="190" t="s">
        <v>225</v>
      </c>
      <c r="D809" s="190" t="s">
        <v>225</v>
      </c>
      <c r="E809" s="190" t="s">
        <v>225</v>
      </c>
    </row>
    <row r="810" spans="1:5" ht="15.75" x14ac:dyDescent="0.25">
      <c r="A810" s="191">
        <v>62817</v>
      </c>
      <c r="B810" s="190" t="s">
        <v>225</v>
      </c>
      <c r="C810" s="190" t="s">
        <v>225</v>
      </c>
      <c r="D810" s="190" t="s">
        <v>225</v>
      </c>
      <c r="E810" s="190" t="s">
        <v>225</v>
      </c>
    </row>
    <row r="811" spans="1:5" ht="15.75" x14ac:dyDescent="0.25">
      <c r="A811" s="191">
        <v>62818</v>
      </c>
      <c r="B811" s="190" t="s">
        <v>225</v>
      </c>
      <c r="C811" s="190" t="s">
        <v>225</v>
      </c>
      <c r="D811" s="190" t="s">
        <v>225</v>
      </c>
      <c r="E811" s="190" t="s">
        <v>225</v>
      </c>
    </row>
    <row r="812" spans="1:5" ht="15.75" x14ac:dyDescent="0.25">
      <c r="A812" s="191">
        <v>62819</v>
      </c>
      <c r="B812" s="190" t="s">
        <v>225</v>
      </c>
      <c r="C812" s="190" t="s">
        <v>225</v>
      </c>
      <c r="D812" s="190" t="s">
        <v>225</v>
      </c>
      <c r="E812" s="190" t="s">
        <v>225</v>
      </c>
    </row>
    <row r="813" spans="1:5" ht="15.75" x14ac:dyDescent="0.25">
      <c r="A813" s="191">
        <v>62820</v>
      </c>
      <c r="B813" s="190" t="s">
        <v>225</v>
      </c>
      <c r="C813" s="190" t="s">
        <v>225</v>
      </c>
      <c r="D813" s="190" t="s">
        <v>225</v>
      </c>
      <c r="E813" s="190" t="s">
        <v>225</v>
      </c>
    </row>
    <row r="814" spans="1:5" ht="15.75" x14ac:dyDescent="0.25">
      <c r="A814" s="191">
        <v>62821</v>
      </c>
      <c r="B814" s="190" t="s">
        <v>225</v>
      </c>
      <c r="C814" s="190" t="s">
        <v>225</v>
      </c>
      <c r="D814" s="190" t="s">
        <v>225</v>
      </c>
      <c r="E814" s="190" t="s">
        <v>225</v>
      </c>
    </row>
    <row r="815" spans="1:5" ht="15.75" x14ac:dyDescent="0.25">
      <c r="A815" s="191">
        <v>62822</v>
      </c>
      <c r="B815" s="190" t="s">
        <v>225</v>
      </c>
      <c r="C815" s="190" t="s">
        <v>225</v>
      </c>
      <c r="D815" s="190" t="s">
        <v>225</v>
      </c>
      <c r="E815" s="190" t="s">
        <v>225</v>
      </c>
    </row>
    <row r="816" spans="1:5" ht="15.75" x14ac:dyDescent="0.25">
      <c r="A816" s="191">
        <v>62823</v>
      </c>
      <c r="B816" s="190" t="s">
        <v>225</v>
      </c>
      <c r="C816" s="190" t="s">
        <v>225</v>
      </c>
      <c r="D816" s="190" t="s">
        <v>225</v>
      </c>
      <c r="E816" s="190" t="s">
        <v>225</v>
      </c>
    </row>
    <row r="817" spans="1:5" ht="15.75" x14ac:dyDescent="0.25">
      <c r="A817" s="191">
        <v>62824</v>
      </c>
      <c r="B817" s="190" t="s">
        <v>224</v>
      </c>
      <c r="C817" s="190" t="s">
        <v>224</v>
      </c>
      <c r="D817" s="190" t="s">
        <v>225</v>
      </c>
      <c r="E817" s="190" t="s">
        <v>225</v>
      </c>
    </row>
    <row r="818" spans="1:5" ht="15.75" x14ac:dyDescent="0.25">
      <c r="A818" s="191">
        <v>62825</v>
      </c>
      <c r="B818" s="190" t="s">
        <v>225</v>
      </c>
      <c r="C818" s="190" t="s">
        <v>225</v>
      </c>
      <c r="D818" s="190" t="s">
        <v>225</v>
      </c>
      <c r="E818" s="190" t="s">
        <v>225</v>
      </c>
    </row>
    <row r="819" spans="1:5" ht="15.75" x14ac:dyDescent="0.25">
      <c r="A819" s="191">
        <v>62827</v>
      </c>
      <c r="B819" s="190" t="s">
        <v>225</v>
      </c>
      <c r="C819" s="190" t="s">
        <v>225</v>
      </c>
      <c r="D819" s="190" t="s">
        <v>225</v>
      </c>
      <c r="E819" s="190" t="s">
        <v>225</v>
      </c>
    </row>
    <row r="820" spans="1:5" ht="15.75" x14ac:dyDescent="0.25">
      <c r="A820" s="191">
        <v>62828</v>
      </c>
      <c r="B820" s="190" t="s">
        <v>225</v>
      </c>
      <c r="C820" s="190" t="s">
        <v>225</v>
      </c>
      <c r="D820" s="190" t="s">
        <v>225</v>
      </c>
      <c r="E820" s="190" t="s">
        <v>225</v>
      </c>
    </row>
    <row r="821" spans="1:5" ht="15.75" x14ac:dyDescent="0.25">
      <c r="A821" s="191">
        <v>62829</v>
      </c>
      <c r="B821" s="190" t="s">
        <v>225</v>
      </c>
      <c r="C821" s="190" t="s">
        <v>225</v>
      </c>
      <c r="D821" s="190" t="s">
        <v>225</v>
      </c>
      <c r="E821" s="190" t="s">
        <v>225</v>
      </c>
    </row>
    <row r="822" spans="1:5" ht="15.75" x14ac:dyDescent="0.25">
      <c r="A822" s="191">
        <v>62830</v>
      </c>
      <c r="B822" s="190" t="s">
        <v>225</v>
      </c>
      <c r="C822" s="190" t="s">
        <v>225</v>
      </c>
      <c r="D822" s="190" t="s">
        <v>225</v>
      </c>
      <c r="E822" s="190" t="s">
        <v>225</v>
      </c>
    </row>
    <row r="823" spans="1:5" ht="15.75" x14ac:dyDescent="0.25">
      <c r="A823" s="191">
        <v>62831</v>
      </c>
      <c r="B823" s="190" t="s">
        <v>225</v>
      </c>
      <c r="C823" s="190" t="s">
        <v>225</v>
      </c>
      <c r="D823" s="190" t="s">
        <v>225</v>
      </c>
      <c r="E823" s="190" t="s">
        <v>225</v>
      </c>
    </row>
    <row r="824" spans="1:5" ht="15.75" x14ac:dyDescent="0.25">
      <c r="A824" s="191">
        <v>62832</v>
      </c>
      <c r="B824" s="190" t="s">
        <v>225</v>
      </c>
      <c r="C824" s="190" t="s">
        <v>225</v>
      </c>
      <c r="D824" s="190" t="s">
        <v>225</v>
      </c>
      <c r="E824" s="190" t="s">
        <v>225</v>
      </c>
    </row>
    <row r="825" spans="1:5" ht="15.75" x14ac:dyDescent="0.25">
      <c r="A825" s="191">
        <v>62833</v>
      </c>
      <c r="B825" s="190" t="s">
        <v>225</v>
      </c>
      <c r="C825" s="190" t="s">
        <v>225</v>
      </c>
      <c r="D825" s="190" t="s">
        <v>225</v>
      </c>
      <c r="E825" s="190" t="s">
        <v>225</v>
      </c>
    </row>
    <row r="826" spans="1:5" ht="15.75" x14ac:dyDescent="0.25">
      <c r="A826" s="191">
        <v>62835</v>
      </c>
      <c r="B826" s="190" t="s">
        <v>225</v>
      </c>
      <c r="C826" s="190" t="s">
        <v>225</v>
      </c>
      <c r="D826" s="190" t="s">
        <v>225</v>
      </c>
      <c r="E826" s="190" t="s">
        <v>225</v>
      </c>
    </row>
    <row r="827" spans="1:5" ht="15.75" x14ac:dyDescent="0.25">
      <c r="A827" s="191">
        <v>62836</v>
      </c>
      <c r="B827" s="190" t="s">
        <v>225</v>
      </c>
      <c r="C827" s="190" t="s">
        <v>225</v>
      </c>
      <c r="D827" s="190" t="s">
        <v>225</v>
      </c>
      <c r="E827" s="190" t="s">
        <v>225</v>
      </c>
    </row>
    <row r="828" spans="1:5" ht="15.75" x14ac:dyDescent="0.25">
      <c r="A828" s="191">
        <v>62837</v>
      </c>
      <c r="B828" s="190" t="s">
        <v>225</v>
      </c>
      <c r="C828" s="190" t="s">
        <v>225</v>
      </c>
      <c r="D828" s="190" t="s">
        <v>225</v>
      </c>
      <c r="E828" s="190" t="s">
        <v>225</v>
      </c>
    </row>
    <row r="829" spans="1:5" ht="15.75" x14ac:dyDescent="0.25">
      <c r="A829" s="191">
        <v>62838</v>
      </c>
      <c r="B829" s="190" t="s">
        <v>224</v>
      </c>
      <c r="C829" s="190" t="s">
        <v>224</v>
      </c>
      <c r="D829" s="190" t="s">
        <v>225</v>
      </c>
      <c r="E829" s="190" t="s">
        <v>225</v>
      </c>
    </row>
    <row r="830" spans="1:5" ht="15.75" x14ac:dyDescent="0.25">
      <c r="A830" s="191">
        <v>62839</v>
      </c>
      <c r="B830" s="190" t="s">
        <v>224</v>
      </c>
      <c r="C830" s="190" t="s">
        <v>224</v>
      </c>
      <c r="D830" s="190" t="s">
        <v>225</v>
      </c>
      <c r="E830" s="190" t="s">
        <v>225</v>
      </c>
    </row>
    <row r="831" spans="1:5" ht="15.75" x14ac:dyDescent="0.25">
      <c r="A831" s="191">
        <v>62841</v>
      </c>
      <c r="B831" s="190" t="s">
        <v>225</v>
      </c>
      <c r="C831" s="190" t="s">
        <v>225</v>
      </c>
      <c r="D831" s="190" t="s">
        <v>225</v>
      </c>
      <c r="E831" s="190" t="s">
        <v>225</v>
      </c>
    </row>
    <row r="832" spans="1:5" ht="15.75" x14ac:dyDescent="0.25">
      <c r="A832" s="191">
        <v>62842</v>
      </c>
      <c r="B832" s="190" t="s">
        <v>225</v>
      </c>
      <c r="C832" s="190" t="s">
        <v>225</v>
      </c>
      <c r="D832" s="190" t="s">
        <v>225</v>
      </c>
      <c r="E832" s="190" t="s">
        <v>225</v>
      </c>
    </row>
    <row r="833" spans="1:5" ht="15.75" x14ac:dyDescent="0.25">
      <c r="A833" s="191">
        <v>62843</v>
      </c>
      <c r="B833" s="190" t="s">
        <v>225</v>
      </c>
      <c r="C833" s="190" t="s">
        <v>225</v>
      </c>
      <c r="D833" s="190" t="s">
        <v>225</v>
      </c>
      <c r="E833" s="190" t="s">
        <v>225</v>
      </c>
    </row>
    <row r="834" spans="1:5" ht="15.75" x14ac:dyDescent="0.25">
      <c r="A834" s="191">
        <v>62844</v>
      </c>
      <c r="B834" s="190" t="s">
        <v>225</v>
      </c>
      <c r="C834" s="190" t="s">
        <v>225</v>
      </c>
      <c r="D834" s="190" t="s">
        <v>225</v>
      </c>
      <c r="E834" s="190" t="s">
        <v>225</v>
      </c>
    </row>
    <row r="835" spans="1:5" ht="15.75" x14ac:dyDescent="0.25">
      <c r="A835" s="191">
        <v>62846</v>
      </c>
      <c r="B835" s="190" t="s">
        <v>225</v>
      </c>
      <c r="C835" s="190" t="s">
        <v>225</v>
      </c>
      <c r="D835" s="190" t="s">
        <v>225</v>
      </c>
      <c r="E835" s="190" t="s">
        <v>225</v>
      </c>
    </row>
    <row r="836" spans="1:5" ht="15.75" x14ac:dyDescent="0.25">
      <c r="A836" s="191">
        <v>62847</v>
      </c>
      <c r="B836" s="190" t="s">
        <v>225</v>
      </c>
      <c r="C836" s="190" t="s">
        <v>225</v>
      </c>
      <c r="D836" s="190" t="s">
        <v>225</v>
      </c>
      <c r="E836" s="190" t="s">
        <v>225</v>
      </c>
    </row>
    <row r="837" spans="1:5" ht="15.75" x14ac:dyDescent="0.25">
      <c r="A837" s="191">
        <v>62848</v>
      </c>
      <c r="B837" s="190" t="s">
        <v>225</v>
      </c>
      <c r="C837" s="190" t="s">
        <v>225</v>
      </c>
      <c r="D837" s="190" t="s">
        <v>225</v>
      </c>
      <c r="E837" s="190" t="s">
        <v>225</v>
      </c>
    </row>
    <row r="838" spans="1:5" ht="15.75" x14ac:dyDescent="0.25">
      <c r="A838" s="191">
        <v>62849</v>
      </c>
      <c r="B838" s="190" t="s">
        <v>225</v>
      </c>
      <c r="C838" s="190" t="s">
        <v>225</v>
      </c>
      <c r="D838" s="190" t="s">
        <v>225</v>
      </c>
      <c r="E838" s="190" t="s">
        <v>225</v>
      </c>
    </row>
    <row r="839" spans="1:5" ht="15.75" x14ac:dyDescent="0.25">
      <c r="A839" s="191">
        <v>62850</v>
      </c>
      <c r="B839" s="190" t="s">
        <v>225</v>
      </c>
      <c r="C839" s="190" t="s">
        <v>225</v>
      </c>
      <c r="D839" s="190" t="s">
        <v>225</v>
      </c>
      <c r="E839" s="190" t="s">
        <v>225</v>
      </c>
    </row>
    <row r="840" spans="1:5" ht="15.75" x14ac:dyDescent="0.25">
      <c r="A840" s="191">
        <v>62851</v>
      </c>
      <c r="B840" s="190" t="s">
        <v>225</v>
      </c>
      <c r="C840" s="190" t="s">
        <v>225</v>
      </c>
      <c r="D840" s="190" t="s">
        <v>225</v>
      </c>
      <c r="E840" s="190" t="s">
        <v>225</v>
      </c>
    </row>
    <row r="841" spans="1:5" ht="15.75" x14ac:dyDescent="0.25">
      <c r="A841" s="191">
        <v>62852</v>
      </c>
      <c r="B841" s="190" t="s">
        <v>225</v>
      </c>
      <c r="C841" s="190" t="s">
        <v>225</v>
      </c>
      <c r="D841" s="190" t="s">
        <v>225</v>
      </c>
      <c r="E841" s="190" t="s">
        <v>225</v>
      </c>
    </row>
    <row r="842" spans="1:5" ht="15.75" x14ac:dyDescent="0.25">
      <c r="A842" s="191">
        <v>62853</v>
      </c>
      <c r="B842" s="190" t="s">
        <v>225</v>
      </c>
      <c r="C842" s="190" t="s">
        <v>225</v>
      </c>
      <c r="D842" s="190" t="s">
        <v>225</v>
      </c>
      <c r="E842" s="190" t="s">
        <v>225</v>
      </c>
    </row>
    <row r="843" spans="1:5" ht="15.75" x14ac:dyDescent="0.25">
      <c r="A843" s="191">
        <v>62854</v>
      </c>
      <c r="B843" s="190" t="s">
        <v>225</v>
      </c>
      <c r="C843" s="190" t="s">
        <v>225</v>
      </c>
      <c r="D843" s="190" t="s">
        <v>225</v>
      </c>
      <c r="E843" s="190" t="s">
        <v>225</v>
      </c>
    </row>
    <row r="844" spans="1:5" ht="15.75" x14ac:dyDescent="0.25">
      <c r="A844" s="191">
        <v>62855</v>
      </c>
      <c r="B844" s="190" t="s">
        <v>225</v>
      </c>
      <c r="C844" s="190" t="s">
        <v>225</v>
      </c>
      <c r="D844" s="190" t="s">
        <v>225</v>
      </c>
      <c r="E844" s="190" t="s">
        <v>225</v>
      </c>
    </row>
    <row r="845" spans="1:5" ht="15.75" x14ac:dyDescent="0.25">
      <c r="A845" s="191">
        <v>62856</v>
      </c>
      <c r="B845" s="190" t="s">
        <v>225</v>
      </c>
      <c r="C845" s="190" t="s">
        <v>225</v>
      </c>
      <c r="D845" s="190" t="s">
        <v>225</v>
      </c>
      <c r="E845" s="190" t="s">
        <v>225</v>
      </c>
    </row>
    <row r="846" spans="1:5" ht="15.75" x14ac:dyDescent="0.25">
      <c r="A846" s="191">
        <v>62858</v>
      </c>
      <c r="B846" s="190" t="s">
        <v>224</v>
      </c>
      <c r="C846" s="190" t="s">
        <v>224</v>
      </c>
      <c r="D846" s="190" t="s">
        <v>225</v>
      </c>
      <c r="E846" s="190" t="s">
        <v>225</v>
      </c>
    </row>
    <row r="847" spans="1:5" ht="15.75" x14ac:dyDescent="0.25">
      <c r="A847" s="191">
        <v>62859</v>
      </c>
      <c r="B847" s="190" t="s">
        <v>225</v>
      </c>
      <c r="C847" s="190" t="s">
        <v>225</v>
      </c>
      <c r="D847" s="190" t="s">
        <v>225</v>
      </c>
      <c r="E847" s="190" t="s">
        <v>225</v>
      </c>
    </row>
    <row r="848" spans="1:5" ht="15.75" x14ac:dyDescent="0.25">
      <c r="A848" s="191">
        <v>62860</v>
      </c>
      <c r="B848" s="190" t="s">
        <v>225</v>
      </c>
      <c r="C848" s="190" t="s">
        <v>225</v>
      </c>
      <c r="D848" s="190" t="s">
        <v>225</v>
      </c>
      <c r="E848" s="190" t="s">
        <v>225</v>
      </c>
    </row>
    <row r="849" spans="1:5" ht="15.75" x14ac:dyDescent="0.25">
      <c r="A849" s="191">
        <v>62861</v>
      </c>
      <c r="B849" s="190" t="s">
        <v>225</v>
      </c>
      <c r="C849" s="190" t="s">
        <v>225</v>
      </c>
      <c r="D849" s="190" t="s">
        <v>225</v>
      </c>
      <c r="E849" s="190" t="s">
        <v>225</v>
      </c>
    </row>
    <row r="850" spans="1:5" ht="15.75" x14ac:dyDescent="0.25">
      <c r="A850" s="191">
        <v>62862</v>
      </c>
      <c r="B850" s="190" t="s">
        <v>225</v>
      </c>
      <c r="C850" s="190" t="s">
        <v>225</v>
      </c>
      <c r="D850" s="190" t="s">
        <v>225</v>
      </c>
      <c r="E850" s="190" t="s">
        <v>225</v>
      </c>
    </row>
    <row r="851" spans="1:5" ht="15.75" x14ac:dyDescent="0.25">
      <c r="A851" s="191">
        <v>62863</v>
      </c>
      <c r="B851" s="190" t="s">
        <v>225</v>
      </c>
      <c r="C851" s="190" t="s">
        <v>225</v>
      </c>
      <c r="D851" s="190" t="s">
        <v>225</v>
      </c>
      <c r="E851" s="190" t="s">
        <v>225</v>
      </c>
    </row>
    <row r="852" spans="1:5" ht="15.75" x14ac:dyDescent="0.25">
      <c r="A852" s="191">
        <v>62864</v>
      </c>
      <c r="B852" s="190" t="s">
        <v>225</v>
      </c>
      <c r="C852" s="190" t="s">
        <v>225</v>
      </c>
      <c r="D852" s="190" t="s">
        <v>225</v>
      </c>
      <c r="E852" s="190" t="s">
        <v>225</v>
      </c>
    </row>
    <row r="853" spans="1:5" ht="15.75" x14ac:dyDescent="0.25">
      <c r="A853" s="191">
        <v>62865</v>
      </c>
      <c r="B853" s="190" t="s">
        <v>225</v>
      </c>
      <c r="C853" s="190" t="s">
        <v>225</v>
      </c>
      <c r="D853" s="190" t="s">
        <v>225</v>
      </c>
      <c r="E853" s="190" t="s">
        <v>225</v>
      </c>
    </row>
    <row r="854" spans="1:5" ht="15.75" x14ac:dyDescent="0.25">
      <c r="A854" s="191">
        <v>62866</v>
      </c>
      <c r="B854" s="190" t="s">
        <v>225</v>
      </c>
      <c r="C854" s="190" t="s">
        <v>225</v>
      </c>
      <c r="D854" s="190" t="s">
        <v>225</v>
      </c>
      <c r="E854" s="190" t="s">
        <v>225</v>
      </c>
    </row>
    <row r="855" spans="1:5" ht="15.75" x14ac:dyDescent="0.25">
      <c r="A855" s="191">
        <v>62867</v>
      </c>
      <c r="B855" s="190" t="s">
        <v>225</v>
      </c>
      <c r="C855" s="190" t="s">
        <v>225</v>
      </c>
      <c r="D855" s="190" t="s">
        <v>225</v>
      </c>
      <c r="E855" s="190" t="s">
        <v>225</v>
      </c>
    </row>
    <row r="856" spans="1:5" ht="15.75" x14ac:dyDescent="0.25">
      <c r="A856" s="191">
        <v>62868</v>
      </c>
      <c r="B856" s="190" t="s">
        <v>225</v>
      </c>
      <c r="C856" s="190" t="s">
        <v>225</v>
      </c>
      <c r="D856" s="190" t="s">
        <v>225</v>
      </c>
      <c r="E856" s="190" t="s">
        <v>225</v>
      </c>
    </row>
    <row r="857" spans="1:5" ht="15.75" x14ac:dyDescent="0.25">
      <c r="A857" s="191">
        <v>62869</v>
      </c>
      <c r="B857" s="190" t="s">
        <v>225</v>
      </c>
      <c r="C857" s="190" t="s">
        <v>225</v>
      </c>
      <c r="D857" s="190" t="s">
        <v>225</v>
      </c>
      <c r="E857" s="190" t="s">
        <v>225</v>
      </c>
    </row>
    <row r="858" spans="1:5" ht="15.75" x14ac:dyDescent="0.25">
      <c r="A858" s="191">
        <v>62870</v>
      </c>
      <c r="B858" s="190" t="s">
        <v>225</v>
      </c>
      <c r="C858" s="190" t="s">
        <v>225</v>
      </c>
      <c r="D858" s="190" t="s">
        <v>225</v>
      </c>
      <c r="E858" s="190" t="s">
        <v>225</v>
      </c>
    </row>
    <row r="859" spans="1:5" ht="15.75" x14ac:dyDescent="0.25">
      <c r="A859" s="191">
        <v>62871</v>
      </c>
      <c r="B859" s="190" t="s">
        <v>225</v>
      </c>
      <c r="C859" s="190" t="s">
        <v>225</v>
      </c>
      <c r="D859" s="190" t="s">
        <v>225</v>
      </c>
      <c r="E859" s="190" t="s">
        <v>225</v>
      </c>
    </row>
    <row r="860" spans="1:5" ht="15.75" x14ac:dyDescent="0.25">
      <c r="A860" s="191">
        <v>62872</v>
      </c>
      <c r="B860" s="190" t="s">
        <v>225</v>
      </c>
      <c r="C860" s="190" t="s">
        <v>225</v>
      </c>
      <c r="D860" s="190" t="s">
        <v>225</v>
      </c>
      <c r="E860" s="190" t="s">
        <v>225</v>
      </c>
    </row>
    <row r="861" spans="1:5" ht="15.75" x14ac:dyDescent="0.25">
      <c r="A861" s="191">
        <v>62874</v>
      </c>
      <c r="B861" s="190" t="s">
        <v>225</v>
      </c>
      <c r="C861" s="190" t="s">
        <v>225</v>
      </c>
      <c r="D861" s="190" t="s">
        <v>225</v>
      </c>
      <c r="E861" s="190" t="s">
        <v>225</v>
      </c>
    </row>
    <row r="862" spans="1:5" ht="15.75" x14ac:dyDescent="0.25">
      <c r="A862" s="191">
        <v>62875</v>
      </c>
      <c r="B862" s="190" t="s">
        <v>225</v>
      </c>
      <c r="C862" s="190" t="s">
        <v>225</v>
      </c>
      <c r="D862" s="190" t="s">
        <v>225</v>
      </c>
      <c r="E862" s="190" t="s">
        <v>225</v>
      </c>
    </row>
    <row r="863" spans="1:5" ht="15.75" x14ac:dyDescent="0.25">
      <c r="A863" s="191">
        <v>62877</v>
      </c>
      <c r="B863" s="190" t="s">
        <v>225</v>
      </c>
      <c r="C863" s="190" t="s">
        <v>225</v>
      </c>
      <c r="D863" s="190" t="s">
        <v>225</v>
      </c>
      <c r="E863" s="190" t="s">
        <v>225</v>
      </c>
    </row>
    <row r="864" spans="1:5" ht="15.75" x14ac:dyDescent="0.25">
      <c r="A864" s="191">
        <v>62878</v>
      </c>
      <c r="B864" s="190" t="s">
        <v>225</v>
      </c>
      <c r="C864" s="190" t="s">
        <v>225</v>
      </c>
      <c r="D864" s="190" t="s">
        <v>225</v>
      </c>
      <c r="E864" s="190" t="s">
        <v>225</v>
      </c>
    </row>
    <row r="865" spans="1:5" ht="15.75" x14ac:dyDescent="0.25">
      <c r="A865" s="191">
        <v>62879</v>
      </c>
      <c r="B865" s="190" t="s">
        <v>224</v>
      </c>
      <c r="C865" s="190" t="s">
        <v>224</v>
      </c>
      <c r="D865" s="190" t="s">
        <v>225</v>
      </c>
      <c r="E865" s="190" t="s">
        <v>225</v>
      </c>
    </row>
    <row r="866" spans="1:5" ht="15.75" x14ac:dyDescent="0.25">
      <c r="A866" s="191">
        <v>62880</v>
      </c>
      <c r="B866" s="190" t="s">
        <v>224</v>
      </c>
      <c r="C866" s="190" t="s">
        <v>224</v>
      </c>
      <c r="D866" s="190" t="s">
        <v>225</v>
      </c>
      <c r="E866" s="190" t="s">
        <v>225</v>
      </c>
    </row>
    <row r="867" spans="1:5" ht="15.75" x14ac:dyDescent="0.25">
      <c r="A867" s="191">
        <v>62881</v>
      </c>
      <c r="B867" s="190" t="s">
        <v>225</v>
      </c>
      <c r="C867" s="190" t="s">
        <v>225</v>
      </c>
      <c r="D867" s="190" t="s">
        <v>225</v>
      </c>
      <c r="E867" s="190" t="s">
        <v>225</v>
      </c>
    </row>
    <row r="868" spans="1:5" ht="15.75" x14ac:dyDescent="0.25">
      <c r="A868" s="191">
        <v>62882</v>
      </c>
      <c r="B868" s="190" t="s">
        <v>225</v>
      </c>
      <c r="C868" s="190" t="s">
        <v>225</v>
      </c>
      <c r="D868" s="190" t="s">
        <v>225</v>
      </c>
      <c r="E868" s="190" t="s">
        <v>225</v>
      </c>
    </row>
    <row r="869" spans="1:5" ht="15.75" x14ac:dyDescent="0.25">
      <c r="A869" s="191">
        <v>62883</v>
      </c>
      <c r="B869" s="190" t="s">
        <v>225</v>
      </c>
      <c r="C869" s="190" t="s">
        <v>225</v>
      </c>
      <c r="D869" s="190" t="s">
        <v>225</v>
      </c>
      <c r="E869" s="190" t="s">
        <v>225</v>
      </c>
    </row>
    <row r="870" spans="1:5" ht="15.75" x14ac:dyDescent="0.25">
      <c r="A870" s="191">
        <v>62884</v>
      </c>
      <c r="B870" s="190" t="s">
        <v>225</v>
      </c>
      <c r="C870" s="190" t="s">
        <v>225</v>
      </c>
      <c r="D870" s="190" t="s">
        <v>225</v>
      </c>
      <c r="E870" s="190" t="s">
        <v>225</v>
      </c>
    </row>
    <row r="871" spans="1:5" ht="15.75" x14ac:dyDescent="0.25">
      <c r="A871" s="191">
        <v>62885</v>
      </c>
      <c r="B871" s="190" t="s">
        <v>224</v>
      </c>
      <c r="C871" s="190" t="s">
        <v>224</v>
      </c>
      <c r="D871" s="190" t="s">
        <v>225</v>
      </c>
      <c r="E871" s="190" t="s">
        <v>225</v>
      </c>
    </row>
    <row r="872" spans="1:5" ht="15.75" x14ac:dyDescent="0.25">
      <c r="A872" s="191">
        <v>62886</v>
      </c>
      <c r="B872" s="190" t="s">
        <v>225</v>
      </c>
      <c r="C872" s="190" t="s">
        <v>225</v>
      </c>
      <c r="D872" s="190" t="s">
        <v>225</v>
      </c>
      <c r="E872" s="190" t="s">
        <v>225</v>
      </c>
    </row>
    <row r="873" spans="1:5" ht="15.75" x14ac:dyDescent="0.25">
      <c r="A873" s="191">
        <v>62887</v>
      </c>
      <c r="B873" s="190" t="s">
        <v>225</v>
      </c>
      <c r="C873" s="190" t="s">
        <v>225</v>
      </c>
      <c r="D873" s="190" t="s">
        <v>225</v>
      </c>
      <c r="E873" s="190" t="s">
        <v>225</v>
      </c>
    </row>
    <row r="874" spans="1:5" ht="15.75" x14ac:dyDescent="0.25">
      <c r="A874" s="191">
        <v>62888</v>
      </c>
      <c r="B874" s="190" t="s">
        <v>225</v>
      </c>
      <c r="C874" s="190" t="s">
        <v>225</v>
      </c>
      <c r="D874" s="190" t="s">
        <v>225</v>
      </c>
      <c r="E874" s="190" t="s">
        <v>225</v>
      </c>
    </row>
    <row r="875" spans="1:5" ht="15.75" x14ac:dyDescent="0.25">
      <c r="A875" s="191">
        <v>62889</v>
      </c>
      <c r="B875" s="190" t="s">
        <v>225</v>
      </c>
      <c r="C875" s="190" t="s">
        <v>225</v>
      </c>
      <c r="D875" s="190" t="s">
        <v>225</v>
      </c>
      <c r="E875" s="190" t="s">
        <v>225</v>
      </c>
    </row>
    <row r="876" spans="1:5" ht="15.75" x14ac:dyDescent="0.25">
      <c r="A876" s="191">
        <v>62890</v>
      </c>
      <c r="B876" s="190" t="s">
        <v>225</v>
      </c>
      <c r="C876" s="190" t="s">
        <v>225</v>
      </c>
      <c r="D876" s="190" t="s">
        <v>225</v>
      </c>
      <c r="E876" s="190" t="s">
        <v>225</v>
      </c>
    </row>
    <row r="877" spans="1:5" ht="15.75" x14ac:dyDescent="0.25">
      <c r="A877" s="191">
        <v>62891</v>
      </c>
      <c r="B877" s="190" t="s">
        <v>225</v>
      </c>
      <c r="C877" s="190" t="s">
        <v>225</v>
      </c>
      <c r="D877" s="190" t="s">
        <v>225</v>
      </c>
      <c r="E877" s="190" t="s">
        <v>225</v>
      </c>
    </row>
    <row r="878" spans="1:5" ht="15.75" x14ac:dyDescent="0.25">
      <c r="A878" s="191">
        <v>62892</v>
      </c>
      <c r="B878" s="190" t="s">
        <v>225</v>
      </c>
      <c r="C878" s="190" t="s">
        <v>225</v>
      </c>
      <c r="D878" s="190" t="s">
        <v>225</v>
      </c>
      <c r="E878" s="190" t="s">
        <v>225</v>
      </c>
    </row>
    <row r="879" spans="1:5" ht="15.75" x14ac:dyDescent="0.25">
      <c r="A879" s="191">
        <v>62893</v>
      </c>
      <c r="B879" s="190" t="s">
        <v>225</v>
      </c>
      <c r="C879" s="190" t="s">
        <v>225</v>
      </c>
      <c r="D879" s="190" t="s">
        <v>225</v>
      </c>
      <c r="E879" s="190" t="s">
        <v>225</v>
      </c>
    </row>
    <row r="880" spans="1:5" ht="15.75" x14ac:dyDescent="0.25">
      <c r="A880" s="191">
        <v>62894</v>
      </c>
      <c r="B880" s="190" t="s">
        <v>225</v>
      </c>
      <c r="C880" s="190" t="s">
        <v>225</v>
      </c>
      <c r="D880" s="190" t="s">
        <v>225</v>
      </c>
      <c r="E880" s="190" t="s">
        <v>225</v>
      </c>
    </row>
    <row r="881" spans="1:5" ht="15.75" x14ac:dyDescent="0.25">
      <c r="A881" s="191">
        <v>62895</v>
      </c>
      <c r="B881" s="190" t="s">
        <v>225</v>
      </c>
      <c r="C881" s="190" t="s">
        <v>225</v>
      </c>
      <c r="D881" s="190" t="s">
        <v>225</v>
      </c>
      <c r="E881" s="190" t="s">
        <v>225</v>
      </c>
    </row>
    <row r="882" spans="1:5" ht="15.75" x14ac:dyDescent="0.25">
      <c r="A882" s="191">
        <v>62896</v>
      </c>
      <c r="B882" s="190" t="s">
        <v>225</v>
      </c>
      <c r="C882" s="190" t="s">
        <v>225</v>
      </c>
      <c r="D882" s="190" t="s">
        <v>225</v>
      </c>
      <c r="E882" s="190" t="s">
        <v>225</v>
      </c>
    </row>
    <row r="883" spans="1:5" ht="15.75" x14ac:dyDescent="0.25">
      <c r="A883" s="191">
        <v>62897</v>
      </c>
      <c r="B883" s="190" t="s">
        <v>225</v>
      </c>
      <c r="C883" s="190" t="s">
        <v>225</v>
      </c>
      <c r="D883" s="190" t="s">
        <v>225</v>
      </c>
      <c r="E883" s="190" t="s">
        <v>225</v>
      </c>
    </row>
    <row r="884" spans="1:5" ht="15.75" x14ac:dyDescent="0.25">
      <c r="A884" s="191">
        <v>62898</v>
      </c>
      <c r="B884" s="190" t="s">
        <v>225</v>
      </c>
      <c r="C884" s="190" t="s">
        <v>225</v>
      </c>
      <c r="D884" s="190" t="s">
        <v>225</v>
      </c>
      <c r="E884" s="190" t="s">
        <v>225</v>
      </c>
    </row>
    <row r="885" spans="1:5" ht="15.75" x14ac:dyDescent="0.25">
      <c r="A885" s="191">
        <v>62899</v>
      </c>
      <c r="B885" s="190" t="s">
        <v>224</v>
      </c>
      <c r="C885" s="190" t="s">
        <v>224</v>
      </c>
      <c r="D885" s="190" t="s">
        <v>225</v>
      </c>
      <c r="E885" s="190" t="s">
        <v>225</v>
      </c>
    </row>
    <row r="886" spans="1:5" ht="15.75" x14ac:dyDescent="0.25">
      <c r="A886" s="191">
        <v>62901</v>
      </c>
      <c r="B886" s="190" t="s">
        <v>225</v>
      </c>
      <c r="C886" s="190" t="s">
        <v>225</v>
      </c>
      <c r="D886" s="190" t="s">
        <v>225</v>
      </c>
      <c r="E886" s="190" t="s">
        <v>225</v>
      </c>
    </row>
    <row r="887" spans="1:5" ht="15.75" x14ac:dyDescent="0.25">
      <c r="A887" s="191">
        <v>62902</v>
      </c>
      <c r="B887" s="190" t="s">
        <v>225</v>
      </c>
      <c r="C887" s="190" t="s">
        <v>225</v>
      </c>
      <c r="D887" s="190" t="s">
        <v>225</v>
      </c>
      <c r="E887" s="190" t="s">
        <v>225</v>
      </c>
    </row>
    <row r="888" spans="1:5" ht="15.75" x14ac:dyDescent="0.25">
      <c r="A888" s="191">
        <v>62903</v>
      </c>
      <c r="B888" s="190" t="s">
        <v>225</v>
      </c>
      <c r="C888" s="190" t="s">
        <v>225</v>
      </c>
      <c r="D888" s="190" t="s">
        <v>225</v>
      </c>
      <c r="E888" s="190" t="s">
        <v>225</v>
      </c>
    </row>
    <row r="889" spans="1:5" ht="15.75" x14ac:dyDescent="0.25">
      <c r="A889" s="191">
        <v>62905</v>
      </c>
      <c r="B889" s="190" t="s">
        <v>226</v>
      </c>
      <c r="C889" s="190" t="s">
        <v>226</v>
      </c>
      <c r="D889" s="190" t="s">
        <v>226</v>
      </c>
      <c r="E889" s="190" t="s">
        <v>226</v>
      </c>
    </row>
    <row r="890" spans="1:5" ht="15.75" x14ac:dyDescent="0.25">
      <c r="A890" s="191">
        <v>62906</v>
      </c>
      <c r="B890" s="190" t="s">
        <v>226</v>
      </c>
      <c r="C890" s="190" t="s">
        <v>226</v>
      </c>
      <c r="D890" s="190" t="s">
        <v>226</v>
      </c>
      <c r="E890" s="190" t="s">
        <v>226</v>
      </c>
    </row>
    <row r="891" spans="1:5" ht="15.75" x14ac:dyDescent="0.25">
      <c r="A891" s="191">
        <v>62907</v>
      </c>
      <c r="B891" s="190" t="s">
        <v>225</v>
      </c>
      <c r="C891" s="190" t="s">
        <v>225</v>
      </c>
      <c r="D891" s="190" t="s">
        <v>225</v>
      </c>
      <c r="E891" s="190" t="s">
        <v>225</v>
      </c>
    </row>
    <row r="892" spans="1:5" ht="15.75" x14ac:dyDescent="0.25">
      <c r="A892" s="191">
        <v>62908</v>
      </c>
      <c r="B892" s="190" t="s">
        <v>225</v>
      </c>
      <c r="C892" s="190" t="s">
        <v>225</v>
      </c>
      <c r="D892" s="190" t="s">
        <v>226</v>
      </c>
      <c r="E892" s="190" t="s">
        <v>226</v>
      </c>
    </row>
    <row r="893" spans="1:5" ht="15.75" x14ac:dyDescent="0.25">
      <c r="A893" s="191">
        <v>62909</v>
      </c>
      <c r="B893" s="190" t="s">
        <v>225</v>
      </c>
      <c r="C893" s="190" t="s">
        <v>225</v>
      </c>
      <c r="D893" s="190" t="s">
        <v>226</v>
      </c>
      <c r="E893" s="190" t="s">
        <v>226</v>
      </c>
    </row>
    <row r="894" spans="1:5" ht="15.75" x14ac:dyDescent="0.25">
      <c r="A894" s="191">
        <v>62910</v>
      </c>
      <c r="B894" s="190" t="s">
        <v>226</v>
      </c>
      <c r="C894" s="190" t="s">
        <v>226</v>
      </c>
      <c r="D894" s="190" t="s">
        <v>226</v>
      </c>
      <c r="E894" s="190" t="s">
        <v>226</v>
      </c>
    </row>
    <row r="895" spans="1:5" ht="15.75" x14ac:dyDescent="0.25">
      <c r="A895" s="191">
        <v>62912</v>
      </c>
      <c r="B895" s="190" t="s">
        <v>225</v>
      </c>
      <c r="C895" s="190" t="s">
        <v>225</v>
      </c>
      <c r="D895" s="190" t="s">
        <v>226</v>
      </c>
      <c r="E895" s="190" t="s">
        <v>226</v>
      </c>
    </row>
    <row r="896" spans="1:5" ht="15.75" x14ac:dyDescent="0.25">
      <c r="A896" s="191">
        <v>62915</v>
      </c>
      <c r="B896" s="190" t="s">
        <v>225</v>
      </c>
      <c r="C896" s="190" t="s">
        <v>225</v>
      </c>
      <c r="D896" s="190" t="s">
        <v>225</v>
      </c>
      <c r="E896" s="190" t="s">
        <v>225</v>
      </c>
    </row>
    <row r="897" spans="1:5" ht="15.75" x14ac:dyDescent="0.25">
      <c r="A897" s="191">
        <v>62916</v>
      </c>
      <c r="B897" s="190" t="s">
        <v>225</v>
      </c>
      <c r="C897" s="190" t="s">
        <v>225</v>
      </c>
      <c r="D897" s="190" t="s">
        <v>225</v>
      </c>
      <c r="E897" s="190" t="s">
        <v>225</v>
      </c>
    </row>
    <row r="898" spans="1:5" ht="15.75" x14ac:dyDescent="0.25">
      <c r="A898" s="191">
        <v>62917</v>
      </c>
      <c r="B898" s="190" t="s">
        <v>225</v>
      </c>
      <c r="C898" s="190" t="s">
        <v>225</v>
      </c>
      <c r="D898" s="190" t="s">
        <v>225</v>
      </c>
      <c r="E898" s="190" t="s">
        <v>225</v>
      </c>
    </row>
    <row r="899" spans="1:5" ht="15.75" x14ac:dyDescent="0.25">
      <c r="A899" s="191">
        <v>62918</v>
      </c>
      <c r="B899" s="190" t="s">
        <v>225</v>
      </c>
      <c r="C899" s="190" t="s">
        <v>225</v>
      </c>
      <c r="D899" s="190" t="s">
        <v>225</v>
      </c>
      <c r="E899" s="190" t="s">
        <v>225</v>
      </c>
    </row>
    <row r="900" spans="1:5" ht="15.75" x14ac:dyDescent="0.25">
      <c r="A900" s="191">
        <v>62919</v>
      </c>
      <c r="B900" s="190" t="s">
        <v>225</v>
      </c>
      <c r="C900" s="190" t="s">
        <v>225</v>
      </c>
      <c r="D900" s="190" t="s">
        <v>226</v>
      </c>
      <c r="E900" s="190" t="s">
        <v>226</v>
      </c>
    </row>
    <row r="901" spans="1:5" ht="15.75" x14ac:dyDescent="0.25">
      <c r="A901" s="191">
        <v>62920</v>
      </c>
      <c r="B901" s="190" t="s">
        <v>226</v>
      </c>
      <c r="C901" s="190" t="s">
        <v>226</v>
      </c>
      <c r="D901" s="190" t="s">
        <v>226</v>
      </c>
      <c r="E901" s="190" t="s">
        <v>226</v>
      </c>
    </row>
    <row r="902" spans="1:5" ht="15.75" x14ac:dyDescent="0.25">
      <c r="A902" s="191">
        <v>62921</v>
      </c>
      <c r="B902" s="190" t="s">
        <v>225</v>
      </c>
      <c r="C902" s="190" t="s">
        <v>225</v>
      </c>
      <c r="D902" s="190" t="s">
        <v>225</v>
      </c>
      <c r="E902" s="190" t="s">
        <v>225</v>
      </c>
    </row>
    <row r="903" spans="1:5" ht="15.75" x14ac:dyDescent="0.25">
      <c r="A903" s="191">
        <v>62922</v>
      </c>
      <c r="B903" s="190" t="s">
        <v>225</v>
      </c>
      <c r="C903" s="190" t="s">
        <v>225</v>
      </c>
      <c r="D903" s="190" t="s">
        <v>225</v>
      </c>
      <c r="E903" s="190" t="s">
        <v>225</v>
      </c>
    </row>
    <row r="904" spans="1:5" ht="15.75" x14ac:dyDescent="0.25">
      <c r="A904" s="191">
        <v>62923</v>
      </c>
      <c r="B904" s="190" t="s">
        <v>225</v>
      </c>
      <c r="C904" s="190" t="s">
        <v>225</v>
      </c>
      <c r="D904" s="190" t="s">
        <v>226</v>
      </c>
      <c r="E904" s="190" t="s">
        <v>226</v>
      </c>
    </row>
    <row r="905" spans="1:5" ht="15.75" x14ac:dyDescent="0.25">
      <c r="A905" s="191">
        <v>62924</v>
      </c>
      <c r="B905" s="190" t="s">
        <v>225</v>
      </c>
      <c r="C905" s="190" t="s">
        <v>225</v>
      </c>
      <c r="D905" s="190" t="s">
        <v>225</v>
      </c>
      <c r="E905" s="190" t="s">
        <v>225</v>
      </c>
    </row>
    <row r="906" spans="1:5" ht="15.75" x14ac:dyDescent="0.25">
      <c r="A906" s="191">
        <v>62926</v>
      </c>
      <c r="B906" s="190" t="s">
        <v>226</v>
      </c>
      <c r="C906" s="190" t="s">
        <v>226</v>
      </c>
      <c r="D906" s="190" t="s">
        <v>226</v>
      </c>
      <c r="E906" s="190" t="s">
        <v>226</v>
      </c>
    </row>
    <row r="907" spans="1:5" ht="15.75" x14ac:dyDescent="0.25">
      <c r="A907" s="191">
        <v>62927</v>
      </c>
      <c r="B907" s="190" t="s">
        <v>225</v>
      </c>
      <c r="C907" s="190" t="s">
        <v>225</v>
      </c>
      <c r="D907" s="190" t="s">
        <v>225</v>
      </c>
      <c r="E907" s="190" t="s">
        <v>225</v>
      </c>
    </row>
    <row r="908" spans="1:5" ht="15.75" x14ac:dyDescent="0.25">
      <c r="A908" s="191">
        <v>62928</v>
      </c>
      <c r="B908" s="190" t="s">
        <v>225</v>
      </c>
      <c r="C908" s="190" t="s">
        <v>225</v>
      </c>
      <c r="D908" s="190" t="s">
        <v>226</v>
      </c>
      <c r="E908" s="190" t="s">
        <v>226</v>
      </c>
    </row>
    <row r="909" spans="1:5" ht="15.75" x14ac:dyDescent="0.25">
      <c r="A909" s="191">
        <v>62930</v>
      </c>
      <c r="B909" s="190" t="s">
        <v>225</v>
      </c>
      <c r="C909" s="190" t="s">
        <v>225</v>
      </c>
      <c r="D909" s="190" t="s">
        <v>225</v>
      </c>
      <c r="E909" s="190" t="s">
        <v>225</v>
      </c>
    </row>
    <row r="910" spans="1:5" ht="15.75" x14ac:dyDescent="0.25">
      <c r="A910" s="191">
        <v>62931</v>
      </c>
      <c r="B910" s="190" t="s">
        <v>225</v>
      </c>
      <c r="C910" s="190" t="s">
        <v>225</v>
      </c>
      <c r="D910" s="190" t="s">
        <v>226</v>
      </c>
      <c r="E910" s="190" t="s">
        <v>226</v>
      </c>
    </row>
    <row r="911" spans="1:5" ht="15.75" x14ac:dyDescent="0.25">
      <c r="A911" s="191">
        <v>62932</v>
      </c>
      <c r="B911" s="190" t="s">
        <v>225</v>
      </c>
      <c r="C911" s="190" t="s">
        <v>225</v>
      </c>
      <c r="D911" s="190" t="s">
        <v>225</v>
      </c>
      <c r="E911" s="190" t="s">
        <v>225</v>
      </c>
    </row>
    <row r="912" spans="1:5" ht="15.75" x14ac:dyDescent="0.25">
      <c r="A912" s="191">
        <v>62933</v>
      </c>
      <c r="B912" s="190" t="s">
        <v>225</v>
      </c>
      <c r="C912" s="190" t="s">
        <v>225</v>
      </c>
      <c r="D912" s="190" t="s">
        <v>225</v>
      </c>
      <c r="E912" s="190" t="s">
        <v>225</v>
      </c>
    </row>
    <row r="913" spans="1:5" ht="15.75" x14ac:dyDescent="0.25">
      <c r="A913" s="191">
        <v>62934</v>
      </c>
      <c r="B913" s="190" t="s">
        <v>225</v>
      </c>
      <c r="C913" s="190" t="s">
        <v>225</v>
      </c>
      <c r="D913" s="190" t="s">
        <v>225</v>
      </c>
      <c r="E913" s="190" t="s">
        <v>225</v>
      </c>
    </row>
    <row r="914" spans="1:5" ht="15.75" x14ac:dyDescent="0.25">
      <c r="A914" s="191">
        <v>62935</v>
      </c>
      <c r="B914" s="190" t="s">
        <v>225</v>
      </c>
      <c r="C914" s="190" t="s">
        <v>225</v>
      </c>
      <c r="D914" s="190" t="s">
        <v>225</v>
      </c>
      <c r="E914" s="190" t="s">
        <v>225</v>
      </c>
    </row>
    <row r="915" spans="1:5" ht="15.75" x14ac:dyDescent="0.25">
      <c r="A915" s="191">
        <v>62938</v>
      </c>
      <c r="B915" s="190" t="s">
        <v>225</v>
      </c>
      <c r="C915" s="190" t="s">
        <v>225</v>
      </c>
      <c r="D915" s="190" t="s">
        <v>226</v>
      </c>
      <c r="E915" s="190" t="s">
        <v>226</v>
      </c>
    </row>
    <row r="916" spans="1:5" ht="15.75" x14ac:dyDescent="0.25">
      <c r="A916" s="191">
        <v>62939</v>
      </c>
      <c r="B916" s="190" t="s">
        <v>225</v>
      </c>
      <c r="C916" s="190" t="s">
        <v>225</v>
      </c>
      <c r="D916" s="190" t="s">
        <v>226</v>
      </c>
      <c r="E916" s="190" t="s">
        <v>226</v>
      </c>
    </row>
    <row r="917" spans="1:5" ht="15.75" x14ac:dyDescent="0.25">
      <c r="A917" s="191">
        <v>62940</v>
      </c>
      <c r="B917" s="190" t="s">
        <v>225</v>
      </c>
      <c r="C917" s="190" t="s">
        <v>225</v>
      </c>
      <c r="D917" s="190" t="s">
        <v>225</v>
      </c>
      <c r="E917" s="190" t="s">
        <v>225</v>
      </c>
    </row>
    <row r="918" spans="1:5" ht="15.75" x14ac:dyDescent="0.25">
      <c r="A918" s="191">
        <v>62941</v>
      </c>
      <c r="B918" s="190" t="s">
        <v>226</v>
      </c>
      <c r="C918" s="190" t="s">
        <v>226</v>
      </c>
      <c r="D918" s="190" t="s">
        <v>226</v>
      </c>
      <c r="E918" s="190" t="s">
        <v>226</v>
      </c>
    </row>
    <row r="919" spans="1:5" ht="15.75" x14ac:dyDescent="0.25">
      <c r="A919" s="191">
        <v>62942</v>
      </c>
      <c r="B919" s="190" t="s">
        <v>225</v>
      </c>
      <c r="C919" s="190" t="s">
        <v>225</v>
      </c>
      <c r="D919" s="190" t="s">
        <v>225</v>
      </c>
      <c r="E919" s="190" t="s">
        <v>225</v>
      </c>
    </row>
    <row r="920" spans="1:5" ht="15.75" x14ac:dyDescent="0.25">
      <c r="A920" s="191">
        <v>62943</v>
      </c>
      <c r="B920" s="190" t="s">
        <v>225</v>
      </c>
      <c r="C920" s="190" t="s">
        <v>225</v>
      </c>
      <c r="D920" s="190" t="s">
        <v>226</v>
      </c>
      <c r="E920" s="190" t="s">
        <v>226</v>
      </c>
    </row>
    <row r="921" spans="1:5" ht="15.75" x14ac:dyDescent="0.25">
      <c r="A921" s="191">
        <v>62946</v>
      </c>
      <c r="B921" s="190" t="s">
        <v>225</v>
      </c>
      <c r="C921" s="190" t="s">
        <v>225</v>
      </c>
      <c r="D921" s="190" t="s">
        <v>225</v>
      </c>
      <c r="E921" s="190" t="s">
        <v>225</v>
      </c>
    </row>
    <row r="922" spans="1:5" ht="15.75" x14ac:dyDescent="0.25">
      <c r="A922" s="191">
        <v>62947</v>
      </c>
      <c r="B922" s="190" t="s">
        <v>225</v>
      </c>
      <c r="C922" s="190" t="s">
        <v>225</v>
      </c>
      <c r="D922" s="190" t="s">
        <v>226</v>
      </c>
      <c r="E922" s="190" t="s">
        <v>226</v>
      </c>
    </row>
    <row r="923" spans="1:5" ht="15.75" x14ac:dyDescent="0.25">
      <c r="A923" s="191">
        <v>62948</v>
      </c>
      <c r="B923" s="190" t="s">
        <v>225</v>
      </c>
      <c r="C923" s="190" t="s">
        <v>225</v>
      </c>
      <c r="D923" s="190" t="s">
        <v>225</v>
      </c>
      <c r="E923" s="190" t="s">
        <v>225</v>
      </c>
    </row>
    <row r="924" spans="1:5" ht="15.75" x14ac:dyDescent="0.25">
      <c r="A924" s="191">
        <v>62949</v>
      </c>
      <c r="B924" s="190" t="s">
        <v>225</v>
      </c>
      <c r="C924" s="190" t="s">
        <v>225</v>
      </c>
      <c r="D924" s="190" t="s">
        <v>225</v>
      </c>
      <c r="E924" s="190" t="s">
        <v>225</v>
      </c>
    </row>
    <row r="925" spans="1:5" ht="15.75" x14ac:dyDescent="0.25">
      <c r="A925" s="191">
        <v>62951</v>
      </c>
      <c r="B925" s="190" t="s">
        <v>225</v>
      </c>
      <c r="C925" s="190" t="s">
        <v>225</v>
      </c>
      <c r="D925" s="190" t="s">
        <v>225</v>
      </c>
      <c r="E925" s="190" t="s">
        <v>225</v>
      </c>
    </row>
    <row r="926" spans="1:5" ht="15.75" x14ac:dyDescent="0.25">
      <c r="A926" s="191">
        <v>62952</v>
      </c>
      <c r="B926" s="190" t="s">
        <v>226</v>
      </c>
      <c r="C926" s="190" t="s">
        <v>226</v>
      </c>
      <c r="D926" s="190" t="s">
        <v>226</v>
      </c>
      <c r="E926" s="190" t="s">
        <v>226</v>
      </c>
    </row>
    <row r="927" spans="1:5" ht="15.75" x14ac:dyDescent="0.25">
      <c r="A927" s="191">
        <v>62953</v>
      </c>
      <c r="B927" s="190" t="s">
        <v>226</v>
      </c>
      <c r="C927" s="190" t="s">
        <v>226</v>
      </c>
      <c r="D927" s="190" t="s">
        <v>226</v>
      </c>
      <c r="E927" s="190" t="s">
        <v>226</v>
      </c>
    </row>
    <row r="928" spans="1:5" ht="15.75" x14ac:dyDescent="0.25">
      <c r="A928" s="191">
        <v>62954</v>
      </c>
      <c r="B928" s="190" t="s">
        <v>225</v>
      </c>
      <c r="C928" s="190" t="s">
        <v>225</v>
      </c>
      <c r="D928" s="190" t="s">
        <v>225</v>
      </c>
      <c r="E928" s="190" t="s">
        <v>225</v>
      </c>
    </row>
    <row r="929" spans="1:5" ht="15.75" x14ac:dyDescent="0.25">
      <c r="A929" s="191">
        <v>62955</v>
      </c>
      <c r="B929" s="190" t="s">
        <v>225</v>
      </c>
      <c r="C929" s="190" t="s">
        <v>225</v>
      </c>
      <c r="D929" s="190" t="s">
        <v>226</v>
      </c>
      <c r="E929" s="190" t="s">
        <v>226</v>
      </c>
    </row>
    <row r="930" spans="1:5" ht="15.75" x14ac:dyDescent="0.25">
      <c r="A930" s="191">
        <v>62956</v>
      </c>
      <c r="B930" s="190" t="s">
        <v>226</v>
      </c>
      <c r="C930" s="190" t="s">
        <v>226</v>
      </c>
      <c r="D930" s="190" t="s">
        <v>226</v>
      </c>
      <c r="E930" s="190" t="s">
        <v>226</v>
      </c>
    </row>
    <row r="931" spans="1:5" ht="15.75" x14ac:dyDescent="0.25">
      <c r="A931" s="191">
        <v>62957</v>
      </c>
      <c r="B931" s="190" t="s">
        <v>226</v>
      </c>
      <c r="C931" s="190" t="s">
        <v>226</v>
      </c>
      <c r="D931" s="190" t="s">
        <v>226</v>
      </c>
      <c r="E931" s="190" t="s">
        <v>226</v>
      </c>
    </row>
    <row r="932" spans="1:5" ht="15.75" x14ac:dyDescent="0.25">
      <c r="A932" s="191">
        <v>62958</v>
      </c>
      <c r="B932" s="190" t="s">
        <v>225</v>
      </c>
      <c r="C932" s="190" t="s">
        <v>225</v>
      </c>
      <c r="D932" s="190" t="s">
        <v>225</v>
      </c>
      <c r="E932" s="190" t="s">
        <v>225</v>
      </c>
    </row>
    <row r="933" spans="1:5" ht="15.75" x14ac:dyDescent="0.25">
      <c r="A933" s="191">
        <v>62959</v>
      </c>
      <c r="B933" s="190" t="s">
        <v>225</v>
      </c>
      <c r="C933" s="190" t="s">
        <v>225</v>
      </c>
      <c r="D933" s="190" t="s">
        <v>225</v>
      </c>
      <c r="E933" s="190" t="s">
        <v>225</v>
      </c>
    </row>
    <row r="934" spans="1:5" ht="15.75" x14ac:dyDescent="0.25">
      <c r="A934" s="191">
        <v>62960</v>
      </c>
      <c r="B934" s="190" t="s">
        <v>226</v>
      </c>
      <c r="C934" s="190" t="s">
        <v>226</v>
      </c>
      <c r="D934" s="190" t="s">
        <v>226</v>
      </c>
      <c r="E934" s="190" t="s">
        <v>226</v>
      </c>
    </row>
    <row r="935" spans="1:5" ht="15.75" x14ac:dyDescent="0.25">
      <c r="A935" s="191">
        <v>62963</v>
      </c>
      <c r="B935" s="190" t="s">
        <v>226</v>
      </c>
      <c r="C935" s="190" t="s">
        <v>226</v>
      </c>
      <c r="D935" s="190" t="s">
        <v>226</v>
      </c>
      <c r="E935" s="190" t="s">
        <v>226</v>
      </c>
    </row>
    <row r="936" spans="1:5" ht="15.75" x14ac:dyDescent="0.25">
      <c r="A936" s="191">
        <v>62964</v>
      </c>
      <c r="B936" s="190" t="s">
        <v>226</v>
      </c>
      <c r="C936" s="190" t="s">
        <v>226</v>
      </c>
      <c r="D936" s="190" t="s">
        <v>226</v>
      </c>
      <c r="E936" s="190" t="s">
        <v>226</v>
      </c>
    </row>
    <row r="937" spans="1:5" ht="15.75" x14ac:dyDescent="0.25">
      <c r="A937" s="191">
        <v>62965</v>
      </c>
      <c r="B937" s="190" t="s">
        <v>225</v>
      </c>
      <c r="C937" s="190" t="s">
        <v>225</v>
      </c>
      <c r="D937" s="190" t="s">
        <v>225</v>
      </c>
      <c r="E937" s="190" t="s">
        <v>225</v>
      </c>
    </row>
    <row r="938" spans="1:5" ht="15.75" x14ac:dyDescent="0.25">
      <c r="A938" s="191">
        <v>62966</v>
      </c>
      <c r="B938" s="190" t="s">
        <v>225</v>
      </c>
      <c r="C938" s="190" t="s">
        <v>225</v>
      </c>
      <c r="D938" s="190" t="s">
        <v>225</v>
      </c>
      <c r="E938" s="190" t="s">
        <v>225</v>
      </c>
    </row>
    <row r="939" spans="1:5" ht="15.75" x14ac:dyDescent="0.25">
      <c r="A939" s="191">
        <v>62967</v>
      </c>
      <c r="B939" s="190" t="s">
        <v>225</v>
      </c>
      <c r="C939" s="190" t="s">
        <v>225</v>
      </c>
      <c r="D939" s="190" t="s">
        <v>226</v>
      </c>
      <c r="E939" s="190" t="s">
        <v>226</v>
      </c>
    </row>
    <row r="940" spans="1:5" ht="15.75" x14ac:dyDescent="0.25">
      <c r="A940" s="191">
        <v>62969</v>
      </c>
      <c r="B940" s="190" t="s">
        <v>226</v>
      </c>
      <c r="C940" s="190" t="s">
        <v>226</v>
      </c>
      <c r="D940" s="190" t="s">
        <v>226</v>
      </c>
      <c r="E940" s="190" t="s">
        <v>226</v>
      </c>
    </row>
    <row r="941" spans="1:5" ht="15.75" x14ac:dyDescent="0.25">
      <c r="A941" s="191">
        <v>62970</v>
      </c>
      <c r="B941" s="190" t="s">
        <v>226</v>
      </c>
      <c r="C941" s="190" t="s">
        <v>226</v>
      </c>
      <c r="D941" s="190" t="s">
        <v>226</v>
      </c>
      <c r="E941" s="190" t="s">
        <v>226</v>
      </c>
    </row>
    <row r="942" spans="1:5" ht="15.75" x14ac:dyDescent="0.25">
      <c r="A942" s="191">
        <v>62972</v>
      </c>
      <c r="B942" s="190" t="s">
        <v>225</v>
      </c>
      <c r="C942" s="190" t="s">
        <v>225</v>
      </c>
      <c r="D942" s="190" t="s">
        <v>226</v>
      </c>
      <c r="E942" s="190" t="s">
        <v>226</v>
      </c>
    </row>
    <row r="943" spans="1:5" ht="15.75" x14ac:dyDescent="0.25">
      <c r="A943" s="191">
        <v>62973</v>
      </c>
      <c r="B943" s="190" t="s">
        <v>226</v>
      </c>
      <c r="C943" s="190" t="s">
        <v>226</v>
      </c>
      <c r="D943" s="190" t="s">
        <v>226</v>
      </c>
      <c r="E943" s="190" t="s">
        <v>226</v>
      </c>
    </row>
    <row r="944" spans="1:5" ht="15.75" x14ac:dyDescent="0.25">
      <c r="A944" s="191">
        <v>62974</v>
      </c>
      <c r="B944" s="190" t="s">
        <v>225</v>
      </c>
      <c r="C944" s="190" t="s">
        <v>225</v>
      </c>
      <c r="D944" s="190" t="s">
        <v>225</v>
      </c>
      <c r="E944" s="190" t="s">
        <v>225</v>
      </c>
    </row>
    <row r="945" spans="1:5" ht="15.75" x14ac:dyDescent="0.25">
      <c r="A945" s="191">
        <v>62975</v>
      </c>
      <c r="B945" s="190" t="s">
        <v>225</v>
      </c>
      <c r="C945" s="190" t="s">
        <v>225</v>
      </c>
      <c r="D945" s="190" t="s">
        <v>225</v>
      </c>
      <c r="E945" s="190" t="s">
        <v>225</v>
      </c>
    </row>
    <row r="946" spans="1:5" ht="15.75" x14ac:dyDescent="0.25">
      <c r="A946" s="191">
        <v>62976</v>
      </c>
      <c r="B946" s="190" t="s">
        <v>226</v>
      </c>
      <c r="C946" s="190" t="s">
        <v>226</v>
      </c>
      <c r="D946" s="190" t="s">
        <v>226</v>
      </c>
      <c r="E946" s="190" t="s">
        <v>226</v>
      </c>
    </row>
    <row r="947" spans="1:5" ht="15.75" x14ac:dyDescent="0.25">
      <c r="A947" s="191">
        <v>62977</v>
      </c>
      <c r="B947" s="190" t="s">
        <v>225</v>
      </c>
      <c r="C947" s="190" t="s">
        <v>225</v>
      </c>
      <c r="D947" s="190" t="s">
        <v>225</v>
      </c>
      <c r="E947" s="190" t="s">
        <v>225</v>
      </c>
    </row>
    <row r="948" spans="1:5" ht="15.75" x14ac:dyDescent="0.25">
      <c r="A948" s="191">
        <v>62979</v>
      </c>
      <c r="B948" s="190" t="s">
        <v>225</v>
      </c>
      <c r="C948" s="190" t="s">
        <v>225</v>
      </c>
      <c r="D948" s="190" t="s">
        <v>225</v>
      </c>
      <c r="E948" s="190" t="s">
        <v>225</v>
      </c>
    </row>
    <row r="949" spans="1:5" ht="15.75" x14ac:dyDescent="0.25">
      <c r="A949" s="191">
        <v>62982</v>
      </c>
      <c r="B949" s="190" t="s">
        <v>225</v>
      </c>
      <c r="C949" s="190" t="s">
        <v>225</v>
      </c>
      <c r="D949" s="190" t="s">
        <v>226</v>
      </c>
      <c r="E949" s="190" t="s">
        <v>226</v>
      </c>
    </row>
    <row r="950" spans="1:5" ht="15.75" x14ac:dyDescent="0.25">
      <c r="A950" s="191">
        <v>62983</v>
      </c>
      <c r="B950" s="190" t="s">
        <v>225</v>
      </c>
      <c r="C950" s="190" t="s">
        <v>225</v>
      </c>
      <c r="D950" s="190" t="s">
        <v>225</v>
      </c>
      <c r="E950" s="190" t="s">
        <v>225</v>
      </c>
    </row>
    <row r="951" spans="1:5" ht="15.75" x14ac:dyDescent="0.25">
      <c r="A951" s="191">
        <v>62984</v>
      </c>
      <c r="B951" s="190" t="s">
        <v>225</v>
      </c>
      <c r="C951" s="190" t="s">
        <v>225</v>
      </c>
      <c r="D951" s="190" t="s">
        <v>225</v>
      </c>
      <c r="E951" s="190" t="s">
        <v>225</v>
      </c>
    </row>
    <row r="952" spans="1:5" ht="15.75" x14ac:dyDescent="0.25">
      <c r="A952" s="191">
        <v>62985</v>
      </c>
      <c r="B952" s="190" t="s">
        <v>225</v>
      </c>
      <c r="C952" s="190" t="s">
        <v>225</v>
      </c>
      <c r="D952" s="190" t="s">
        <v>226</v>
      </c>
      <c r="E952" s="190" t="s">
        <v>226</v>
      </c>
    </row>
    <row r="953" spans="1:5" ht="15.75" x14ac:dyDescent="0.25">
      <c r="A953" s="191">
        <v>62987</v>
      </c>
      <c r="B953" s="190" t="s">
        <v>225</v>
      </c>
      <c r="C953" s="190" t="s">
        <v>225</v>
      </c>
      <c r="D953" s="190" t="s">
        <v>225</v>
      </c>
      <c r="E953" s="190" t="s">
        <v>225</v>
      </c>
    </row>
    <row r="954" spans="1:5" ht="15.75" x14ac:dyDescent="0.25">
      <c r="A954" s="191">
        <v>62988</v>
      </c>
      <c r="B954" s="190" t="s">
        <v>226</v>
      </c>
      <c r="C954" s="190" t="s">
        <v>226</v>
      </c>
      <c r="D954" s="190" t="s">
        <v>226</v>
      </c>
      <c r="E954" s="190" t="s">
        <v>226</v>
      </c>
    </row>
    <row r="955" spans="1:5" ht="15.75" x14ac:dyDescent="0.25">
      <c r="A955" s="191">
        <v>62990</v>
      </c>
      <c r="B955" s="190" t="s">
        <v>226</v>
      </c>
      <c r="C955" s="190" t="s">
        <v>226</v>
      </c>
      <c r="D955" s="190" t="s">
        <v>226</v>
      </c>
      <c r="E955" s="190" t="s">
        <v>226</v>
      </c>
    </row>
    <row r="956" spans="1:5" ht="15.75" x14ac:dyDescent="0.25">
      <c r="A956" s="191">
        <v>62992</v>
      </c>
      <c r="B956" s="190" t="s">
        <v>226</v>
      </c>
      <c r="C956" s="190" t="s">
        <v>226</v>
      </c>
      <c r="D956" s="190" t="s">
        <v>226</v>
      </c>
      <c r="E956" s="190" t="s">
        <v>226</v>
      </c>
    </row>
    <row r="957" spans="1:5" ht="15.75" x14ac:dyDescent="0.25">
      <c r="A957" s="191">
        <v>62994</v>
      </c>
      <c r="B957" s="190" t="s">
        <v>225</v>
      </c>
      <c r="C957" s="190" t="s">
        <v>225</v>
      </c>
      <c r="D957" s="190" t="s">
        <v>225</v>
      </c>
      <c r="E957" s="190" t="s">
        <v>225</v>
      </c>
    </row>
    <row r="958" spans="1:5" ht="15.75" x14ac:dyDescent="0.25">
      <c r="A958" s="191">
        <v>62995</v>
      </c>
      <c r="B958" s="190" t="s">
        <v>225</v>
      </c>
      <c r="C958" s="190" t="s">
        <v>225</v>
      </c>
      <c r="D958" s="190" t="s">
        <v>226</v>
      </c>
      <c r="E958" s="190" t="s">
        <v>226</v>
      </c>
    </row>
    <row r="959" spans="1:5" ht="15.75" x14ac:dyDescent="0.25">
      <c r="A959" s="191">
        <v>62996</v>
      </c>
      <c r="B959" s="190" t="s">
        <v>226</v>
      </c>
      <c r="C959" s="190" t="s">
        <v>226</v>
      </c>
      <c r="D959" s="190" t="s">
        <v>226</v>
      </c>
      <c r="E959" s="190" t="s">
        <v>226</v>
      </c>
    </row>
    <row r="960" spans="1:5" ht="15.75" x14ac:dyDescent="0.25">
      <c r="A960" s="191">
        <v>62997</v>
      </c>
      <c r="B960" s="190" t="s">
        <v>225</v>
      </c>
      <c r="C960" s="190" t="s">
        <v>225</v>
      </c>
      <c r="D960" s="190" t="s">
        <v>225</v>
      </c>
      <c r="E960" s="190" t="s">
        <v>225</v>
      </c>
    </row>
    <row r="961" spans="1:5" ht="15.75" x14ac:dyDescent="0.25">
      <c r="A961" s="191">
        <v>62998</v>
      </c>
      <c r="B961" s="190" t="s">
        <v>226</v>
      </c>
      <c r="C961" s="190" t="s">
        <v>226</v>
      </c>
      <c r="D961" s="190" t="s">
        <v>226</v>
      </c>
      <c r="E961" s="190" t="s">
        <v>226</v>
      </c>
    </row>
    <row r="962" spans="1:5" ht="15.75" x14ac:dyDescent="0.25">
      <c r="A962" s="191">
        <v>62999</v>
      </c>
      <c r="B962" s="190" t="s">
        <v>225</v>
      </c>
      <c r="C962" s="190" t="s">
        <v>225</v>
      </c>
      <c r="D962" s="190" t="s">
        <v>225</v>
      </c>
      <c r="E962" s="190" t="s">
        <v>225</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8B96-8763-4BD5-9755-2F94298FFA8A}">
  <sheetPr>
    <tabColor rgb="FF00B0F0"/>
  </sheetPr>
  <dimension ref="A1:Q910"/>
  <sheetViews>
    <sheetView zoomScaleNormal="100" workbookViewId="0">
      <pane ySplit="1" topLeftCell="A2" activePane="bottomLeft" state="frozen"/>
      <selection pane="bottomLeft" activeCell="E207" sqref="E207"/>
    </sheetView>
  </sheetViews>
  <sheetFormatPr defaultRowHeight="15" x14ac:dyDescent="0.25"/>
  <cols>
    <col min="1" max="1" width="2.85546875" style="12" customWidth="1"/>
    <col min="2" max="2" width="10.42578125" bestFit="1" customWidth="1"/>
    <col min="3" max="3" width="12.5703125" bestFit="1" customWidth="1"/>
    <col min="4" max="4" width="44.5703125" customWidth="1"/>
    <col min="5" max="5" width="36.85546875" style="112" bestFit="1" customWidth="1"/>
    <col min="6" max="6" width="14.5703125" customWidth="1"/>
    <col min="7" max="7" width="25.140625" style="12" customWidth="1"/>
    <col min="8" max="8" width="100.42578125" style="12" bestFit="1" customWidth="1"/>
    <col min="9" max="9" width="24.28515625" style="12" customWidth="1"/>
    <col min="10" max="10" width="15.42578125" style="12" customWidth="1"/>
    <col min="11" max="17" width="8.5703125" style="12"/>
  </cols>
  <sheetData>
    <row r="1" spans="1:10" x14ac:dyDescent="0.25">
      <c r="A1" s="22" t="s">
        <v>115</v>
      </c>
      <c r="B1" s="1" t="s">
        <v>145</v>
      </c>
      <c r="C1" s="1" t="s">
        <v>146</v>
      </c>
      <c r="D1" s="1" t="s">
        <v>227</v>
      </c>
      <c r="E1" s="110" t="s">
        <v>228</v>
      </c>
      <c r="F1" s="1" t="s">
        <v>229</v>
      </c>
      <c r="G1" s="22" t="s">
        <v>230</v>
      </c>
      <c r="H1" s="22" t="s">
        <v>231</v>
      </c>
      <c r="I1" s="22" t="s">
        <v>232</v>
      </c>
      <c r="J1" s="22" t="s">
        <v>233</v>
      </c>
    </row>
    <row r="2" spans="1:10" x14ac:dyDescent="0.25">
      <c r="A2" s="12" t="str">
        <f>B2&amp;"_"&amp;C2&amp;"_"&amp;D2&amp;"_"&amp;E2</f>
        <v>Residential_HVAC_Furnace_EFLH</v>
      </c>
      <c r="B2" t="s">
        <v>162</v>
      </c>
      <c r="C2" t="s">
        <v>163</v>
      </c>
      <c r="D2" t="s">
        <v>54</v>
      </c>
      <c r="E2" s="114" t="s">
        <v>234</v>
      </c>
      <c r="F2" s="115" t="e">
        <f>INDEX('CZ Inputs'!$G:$G,MATCH($A2&amp;"_"&amp;Dashboard_FS!$K$3,'CZ Inputs'!$A:$A,0))</f>
        <v>#N/A</v>
      </c>
      <c r="G2" s="12" t="s">
        <v>235</v>
      </c>
      <c r="H2" s="12" t="s">
        <v>236</v>
      </c>
      <c r="I2" s="12" t="s">
        <v>237</v>
      </c>
      <c r="J2" s="12" t="b">
        <f>_xlfn.ISFORMULA(F2)</f>
        <v>1</v>
      </c>
    </row>
    <row r="3" spans="1:10" x14ac:dyDescent="0.25">
      <c r="A3" s="12" t="str">
        <f t="shared" ref="A3:A73" si="0">B3&amp;"_"&amp;C3&amp;"_"&amp;D3&amp;"_"&amp;E3</f>
        <v>Residential_HVAC_Air-Source Heat Pump_Capacity_ASHPheat (Btuh_Existing)</v>
      </c>
      <c r="B3" t="s">
        <v>162</v>
      </c>
      <c r="C3" t="s">
        <v>163</v>
      </c>
      <c r="D3" t="s">
        <v>238</v>
      </c>
      <c r="E3" s="114" t="s">
        <v>239</v>
      </c>
      <c r="F3" s="115">
        <f>Dashboard_FS!$K$10</f>
        <v>0</v>
      </c>
      <c r="G3" s="12" t="s">
        <v>240</v>
      </c>
      <c r="H3" s="12" t="s">
        <v>236</v>
      </c>
      <c r="I3" s="12" t="s">
        <v>237</v>
      </c>
      <c r="J3" s="12" t="b">
        <f t="shared" ref="J3:J80" si="1">_xlfn.ISFORMULA(F3)</f>
        <v>1</v>
      </c>
    </row>
    <row r="4" spans="1:10" x14ac:dyDescent="0.25">
      <c r="A4" s="12" t="str">
        <f t="shared" ref="A4" si="2">B4&amp;"_"&amp;C4&amp;"_"&amp;D4&amp;"_"&amp;E4</f>
        <v>Residential_HVAC_Air-Source Heat Pump_Heat Load Factor</v>
      </c>
      <c r="B4" t="s">
        <v>162</v>
      </c>
      <c r="C4" t="s">
        <v>163</v>
      </c>
      <c r="D4" t="s">
        <v>238</v>
      </c>
      <c r="E4" s="114" t="s">
        <v>241</v>
      </c>
      <c r="F4" s="221">
        <f>IF(Dashboard_FS!E25="Propane",IF(Dashboard_FS!$G$11="Partial",INDEX('CZ Inputs'!$G:$G,MATCH(A4&amp;"_"&amp;Dashboard_FS!$K$3,'CZ Inputs'!$A:$A,0)),1),IF(Dashboard_FS!$G$10="Partial",INDEX('CZ Inputs'!$G:$G,MATCH(A4&amp;"_"&amp;Dashboard_FS!$K$3,'CZ Inputs'!$A:$A,0)),1))</f>
        <v>1</v>
      </c>
      <c r="G4" s="12" t="s">
        <v>242</v>
      </c>
      <c r="H4" s="12" t="s">
        <v>236</v>
      </c>
      <c r="I4" s="12" t="s">
        <v>237</v>
      </c>
      <c r="J4" s="12" t="b">
        <f t="shared" ref="J4" si="3">_xlfn.ISFORMULA(F4)</f>
        <v>1</v>
      </c>
    </row>
    <row r="5" spans="1:10" x14ac:dyDescent="0.25">
      <c r="A5" s="12" t="str">
        <f t="shared" si="0"/>
        <v>Residential_HVAC_Air-Source Heat Pump_HeatLoad_Disp</v>
      </c>
      <c r="B5" t="s">
        <v>162</v>
      </c>
      <c r="C5" t="s">
        <v>163</v>
      </c>
      <c r="D5" t="s">
        <v>238</v>
      </c>
      <c r="E5" s="114" t="s">
        <v>243</v>
      </c>
      <c r="F5" s="115" t="e">
        <f xml:space="preserve"> F2 * F3 * F4</f>
        <v>#N/A</v>
      </c>
      <c r="H5" s="12" t="s">
        <v>236</v>
      </c>
      <c r="I5" s="12" t="s">
        <v>237</v>
      </c>
      <c r="J5" s="12" t="b">
        <f t="shared" si="1"/>
        <v>1</v>
      </c>
    </row>
    <row r="6" spans="1:10" x14ac:dyDescent="0.25">
      <c r="A6" s="12" t="str">
        <f t="shared" ref="A6" si="4">B6&amp;"_"&amp;C6&amp;"_"&amp;D6&amp;"_"&amp;E6</f>
        <v>Residential_HVAC_Air-Source Heat Pump_DuctlessSave</v>
      </c>
      <c r="B6" t="s">
        <v>162</v>
      </c>
      <c r="C6" t="s">
        <v>163</v>
      </c>
      <c r="D6" t="s">
        <v>238</v>
      </c>
      <c r="E6" s="102" t="s">
        <v>244</v>
      </c>
      <c r="F6" s="103">
        <v>1</v>
      </c>
      <c r="G6" s="12" t="s">
        <v>245</v>
      </c>
      <c r="H6" s="12" t="s">
        <v>236</v>
      </c>
      <c r="I6" s="12" t="s">
        <v>237</v>
      </c>
      <c r="J6" s="12" t="b">
        <f t="shared" ref="J6" si="5">_xlfn.ISFORMULA(F6)</f>
        <v>0</v>
      </c>
    </row>
    <row r="7" spans="1:10" x14ac:dyDescent="0.25">
      <c r="A7" s="12" t="str">
        <f t="shared" si="0"/>
        <v>Residential_HVAC_Air-Source Heat Pump_AFUEbase</v>
      </c>
      <c r="B7" t="s">
        <v>162</v>
      </c>
      <c r="C7" t="s">
        <v>163</v>
      </c>
      <c r="D7" t="s">
        <v>238</v>
      </c>
      <c r="E7" s="114" t="s">
        <v>246</v>
      </c>
      <c r="F7" s="115">
        <f>Dashboard_FS!$K$8</f>
        <v>0</v>
      </c>
      <c r="G7" s="12" t="s">
        <v>240</v>
      </c>
      <c r="H7" s="12" t="s">
        <v>236</v>
      </c>
      <c r="I7" s="12" t="s">
        <v>237</v>
      </c>
      <c r="J7" s="12" t="b">
        <f t="shared" si="1"/>
        <v>1</v>
      </c>
    </row>
    <row r="8" spans="1:10" x14ac:dyDescent="0.25">
      <c r="A8" s="12" t="str">
        <f t="shared" si="0"/>
        <v>Residential_HVAC_Air-Source Heat Pump_1000000</v>
      </c>
      <c r="B8" t="s">
        <v>162</v>
      </c>
      <c r="C8" t="s">
        <v>163</v>
      </c>
      <c r="D8" t="s">
        <v>238</v>
      </c>
      <c r="E8" s="102">
        <v>1000000</v>
      </c>
      <c r="F8" s="103">
        <v>1000000</v>
      </c>
      <c r="H8" s="12" t="s">
        <v>236</v>
      </c>
      <c r="I8" s="12" t="s">
        <v>237</v>
      </c>
      <c r="J8" s="12" t="b">
        <f t="shared" si="1"/>
        <v>0</v>
      </c>
    </row>
    <row r="9" spans="1:10" x14ac:dyDescent="0.25">
      <c r="A9" s="12" t="str">
        <f t="shared" si="0"/>
        <v>Residential_HVAC_Air-Source Heat Pump_GasHeatReplaced</v>
      </c>
      <c r="B9" t="s">
        <v>162</v>
      </c>
      <c r="C9" t="s">
        <v>163</v>
      </c>
      <c r="D9" t="s">
        <v>238</v>
      </c>
      <c r="E9" s="114" t="s">
        <v>247</v>
      </c>
      <c r="F9" s="115" t="e">
        <f xml:space="preserve"> ( F5 / F6 * 1 / F7 ) / F8</f>
        <v>#N/A</v>
      </c>
      <c r="H9" s="12" t="s">
        <v>236</v>
      </c>
      <c r="I9" s="12" t="s">
        <v>237</v>
      </c>
      <c r="J9" s="12" t="b">
        <f t="shared" si="1"/>
        <v>1</v>
      </c>
    </row>
    <row r="10" spans="1:10" x14ac:dyDescent="0.25">
      <c r="A10" s="12" t="str">
        <f t="shared" si="0"/>
        <v>Residential_HVAC_Air-Source Heat Pump_FurnaceFlag</v>
      </c>
      <c r="B10" t="s">
        <v>162</v>
      </c>
      <c r="C10" t="s">
        <v>163</v>
      </c>
      <c r="D10" t="s">
        <v>238</v>
      </c>
      <c r="E10" s="102" t="s">
        <v>248</v>
      </c>
      <c r="F10" s="103">
        <v>1</v>
      </c>
      <c r="G10" s="12" t="s">
        <v>249</v>
      </c>
      <c r="H10" s="12" t="s">
        <v>236</v>
      </c>
      <c r="I10" s="12" t="s">
        <v>237</v>
      </c>
      <c r="J10" s="12" t="b">
        <f t="shared" si="1"/>
        <v>0</v>
      </c>
    </row>
    <row r="11" spans="1:10" x14ac:dyDescent="0.25">
      <c r="A11" s="12" t="str">
        <f t="shared" si="0"/>
        <v>Residential_HVAC_Furnace_EFLH</v>
      </c>
      <c r="B11" t="s">
        <v>162</v>
      </c>
      <c r="C11" t="s">
        <v>163</v>
      </c>
      <c r="D11" t="s">
        <v>54</v>
      </c>
      <c r="E11" s="114" t="s">
        <v>234</v>
      </c>
      <c r="F11" s="115" t="e">
        <f>INDEX('CZ Inputs'!$G:$G,MATCH($A11&amp;"_"&amp;Dashboard_FS!$K$3,'CZ Inputs'!$A:$A,0))</f>
        <v>#N/A</v>
      </c>
      <c r="G11" s="12" t="s">
        <v>235</v>
      </c>
      <c r="H11" s="12" t="s">
        <v>236</v>
      </c>
      <c r="I11" s="12" t="s">
        <v>237</v>
      </c>
      <c r="J11" s="12" t="b">
        <f t="shared" si="1"/>
        <v>1</v>
      </c>
    </row>
    <row r="12" spans="1:10" x14ac:dyDescent="0.25">
      <c r="A12" s="12" t="str">
        <f t="shared" si="0"/>
        <v>Residential_HVAC_Air-Source Heat Pump_Capacity_ASHPheat</v>
      </c>
      <c r="B12" t="s">
        <v>162</v>
      </c>
      <c r="C12" t="s">
        <v>163</v>
      </c>
      <c r="D12" t="s">
        <v>238</v>
      </c>
      <c r="E12" s="114" t="s">
        <v>250</v>
      </c>
      <c r="F12" s="115">
        <f>Dashboard_FS!$K$9</f>
        <v>0</v>
      </c>
      <c r="G12" s="12" t="s">
        <v>240</v>
      </c>
      <c r="H12" s="12" t="s">
        <v>236</v>
      </c>
      <c r="I12" s="12" t="s">
        <v>237</v>
      </c>
      <c r="J12" s="12" t="b">
        <f t="shared" si="1"/>
        <v>1</v>
      </c>
    </row>
    <row r="13" spans="1:10" x14ac:dyDescent="0.25">
      <c r="A13" s="12" t="str">
        <f t="shared" si="0"/>
        <v>Residential_HVAC_Air-Source Heat Pump_Heat Load Factor</v>
      </c>
      <c r="B13" t="s">
        <v>162</v>
      </c>
      <c r="C13" t="s">
        <v>163</v>
      </c>
      <c r="D13" t="s">
        <v>238</v>
      </c>
      <c r="E13" s="114" t="s">
        <v>241</v>
      </c>
      <c r="F13" s="221">
        <f>IF(Dashboard_FS!E25="Propane",IF(Dashboard_FS!$G$11="Partial",INDEX('CZ Inputs'!$G:$G,MATCH(A13&amp;"_"&amp;Dashboard_FS!$K$3,'CZ Inputs'!$A:$A,0)),1),IF(Dashboard_FS!$G$10="Partial",INDEX('CZ Inputs'!$G:$G,MATCH(A13&amp;"_"&amp;Dashboard_FS!$K$3,'CZ Inputs'!$A:$A,0)),1))</f>
        <v>1</v>
      </c>
      <c r="G13" s="12" t="s">
        <v>242</v>
      </c>
      <c r="H13" s="12" t="s">
        <v>236</v>
      </c>
      <c r="I13" s="12" t="s">
        <v>237</v>
      </c>
      <c r="J13" s="12" t="b">
        <f t="shared" si="1"/>
        <v>1</v>
      </c>
    </row>
    <row r="14" spans="1:10" x14ac:dyDescent="0.25">
      <c r="A14" s="12" t="str">
        <f t="shared" si="0"/>
        <v>Residential_HVAC_Air-Source Heat Pump_HeatLoad_Disp</v>
      </c>
      <c r="B14" t="s">
        <v>162</v>
      </c>
      <c r="C14" t="s">
        <v>163</v>
      </c>
      <c r="D14" t="s">
        <v>238</v>
      </c>
      <c r="E14" s="114" t="s">
        <v>243</v>
      </c>
      <c r="F14" s="115" t="e">
        <f xml:space="preserve"> F11 * F12 * F13</f>
        <v>#N/A</v>
      </c>
      <c r="H14" s="12" t="s">
        <v>236</v>
      </c>
      <c r="I14" s="12" t="s">
        <v>237</v>
      </c>
      <c r="J14" s="12" t="b">
        <f t="shared" si="1"/>
        <v>1</v>
      </c>
    </row>
    <row r="15" spans="1:10" x14ac:dyDescent="0.25">
      <c r="A15" s="12" t="str">
        <f t="shared" si="0"/>
        <v>Residential_HVAC_Air-Source Heat Pump_DuctlessSave</v>
      </c>
      <c r="B15" t="s">
        <v>162</v>
      </c>
      <c r="C15" t="s">
        <v>163</v>
      </c>
      <c r="D15" t="s">
        <v>238</v>
      </c>
      <c r="E15" s="102" t="s">
        <v>244</v>
      </c>
      <c r="F15" s="103">
        <v>1</v>
      </c>
      <c r="G15" s="12" t="s">
        <v>245</v>
      </c>
      <c r="H15" s="12" t="s">
        <v>236</v>
      </c>
      <c r="I15" s="12" t="s">
        <v>237</v>
      </c>
      <c r="J15" s="12" t="b">
        <f t="shared" si="1"/>
        <v>0</v>
      </c>
    </row>
    <row r="16" spans="1:10" x14ac:dyDescent="0.25">
      <c r="A16" s="12" t="str">
        <f t="shared" si="0"/>
        <v>Residential_HVAC_Air-Source Heat Pump_AFUEbase</v>
      </c>
      <c r="B16" t="s">
        <v>162</v>
      </c>
      <c r="C16" t="s">
        <v>163</v>
      </c>
      <c r="D16" t="s">
        <v>238</v>
      </c>
      <c r="E16" s="114" t="s">
        <v>246</v>
      </c>
      <c r="F16" s="115">
        <f>Dashboard_FS!$K$8</f>
        <v>0</v>
      </c>
      <c r="G16" s="12" t="s">
        <v>240</v>
      </c>
      <c r="H16" s="12" t="s">
        <v>236</v>
      </c>
      <c r="I16" s="12" t="s">
        <v>237</v>
      </c>
      <c r="J16" s="12" t="b">
        <f t="shared" si="1"/>
        <v>1</v>
      </c>
    </row>
    <row r="17" spans="1:10" x14ac:dyDescent="0.25">
      <c r="A17" s="12" t="str">
        <f t="shared" si="0"/>
        <v>Residential_HVAC_Air-Source Heat Pump_Fe</v>
      </c>
      <c r="B17" t="s">
        <v>162</v>
      </c>
      <c r="C17" t="s">
        <v>163</v>
      </c>
      <c r="D17" t="s">
        <v>238</v>
      </c>
      <c r="E17" s="102" t="s">
        <v>251</v>
      </c>
      <c r="F17" s="103">
        <v>1.8799999999999997E-2</v>
      </c>
      <c r="H17" s="12" t="s">
        <v>236</v>
      </c>
      <c r="I17" s="12" t="s">
        <v>237</v>
      </c>
      <c r="J17" s="12" t="b">
        <f t="shared" si="1"/>
        <v>0</v>
      </c>
    </row>
    <row r="18" spans="1:10" x14ac:dyDescent="0.25">
      <c r="A18" s="12" t="str">
        <f t="shared" si="0"/>
        <v>Residential_HVAC_Air-Source Heat Pump_1000000</v>
      </c>
      <c r="B18" t="s">
        <v>162</v>
      </c>
      <c r="C18" t="s">
        <v>163</v>
      </c>
      <c r="D18" t="s">
        <v>238</v>
      </c>
      <c r="E18" s="102">
        <v>1000000</v>
      </c>
      <c r="F18" s="103">
        <v>1000000</v>
      </c>
      <c r="H18" s="12" t="s">
        <v>236</v>
      </c>
      <c r="I18" s="12" t="s">
        <v>237</v>
      </c>
      <c r="J18" s="12" t="b">
        <f t="shared" si="1"/>
        <v>0</v>
      </c>
    </row>
    <row r="19" spans="1:10" x14ac:dyDescent="0.25">
      <c r="A19" s="12" t="str">
        <f t="shared" si="0"/>
        <v>Residential_HVAC_Air-Source Heat Pump_FurnaceFanSavings</v>
      </c>
      <c r="B19" t="s">
        <v>162</v>
      </c>
      <c r="C19" t="s">
        <v>163</v>
      </c>
      <c r="D19" t="s">
        <v>238</v>
      </c>
      <c r="E19" s="114" t="s">
        <v>252</v>
      </c>
      <c r="F19" s="115" t="e">
        <f xml:space="preserve"> ( F10 * F14 / F15 * 1 / F16 * F17 ) / F18</f>
        <v>#N/A</v>
      </c>
      <c r="G19" s="12" t="s">
        <v>253</v>
      </c>
      <c r="H19" s="12" t="s">
        <v>236</v>
      </c>
      <c r="I19" s="12" t="s">
        <v>237</v>
      </c>
      <c r="J19" s="12" t="b">
        <f t="shared" si="1"/>
        <v>1</v>
      </c>
    </row>
    <row r="20" spans="1:10" x14ac:dyDescent="0.25">
      <c r="A20" s="12" t="str">
        <f t="shared" si="0"/>
        <v>Residential_HVAC_Air-Source Heat Pump_FLH_ASHPheat</v>
      </c>
      <c r="B20" t="s">
        <v>162</v>
      </c>
      <c r="C20" t="s">
        <v>163</v>
      </c>
      <c r="D20" t="s">
        <v>238</v>
      </c>
      <c r="E20" s="114" t="s">
        <v>254</v>
      </c>
      <c r="F20" s="115" t="e">
        <f>INDEX('CZ Inputs'!$G:$G,MATCH($A20&amp;"_"&amp;Dashboard_FS!$K$3,'CZ Inputs'!$A:$A,0))</f>
        <v>#N/A</v>
      </c>
      <c r="G20" s="12" t="s">
        <v>235</v>
      </c>
      <c r="H20" s="12" t="s">
        <v>236</v>
      </c>
      <c r="I20" s="12" t="s">
        <v>237</v>
      </c>
      <c r="J20" s="12" t="b">
        <f t="shared" si="1"/>
        <v>1</v>
      </c>
    </row>
    <row r="21" spans="1:10" x14ac:dyDescent="0.25">
      <c r="A21" s="12" t="str">
        <f t="shared" si="0"/>
        <v>Residential_HVAC_Air-Source Heat Pump_Capacity_ASHPheat</v>
      </c>
      <c r="B21" t="s">
        <v>162</v>
      </c>
      <c r="C21" t="s">
        <v>163</v>
      </c>
      <c r="D21" t="s">
        <v>238</v>
      </c>
      <c r="E21" s="114" t="s">
        <v>250</v>
      </c>
      <c r="F21" s="115">
        <f>Dashboard_FS!$K$9</f>
        <v>0</v>
      </c>
      <c r="G21" s="12" t="s">
        <v>240</v>
      </c>
      <c r="H21" s="12" t="s">
        <v>236</v>
      </c>
      <c r="I21" s="12" t="s">
        <v>237</v>
      </c>
      <c r="J21" s="12" t="b">
        <f t="shared" si="1"/>
        <v>1</v>
      </c>
    </row>
    <row r="22" spans="1:10" x14ac:dyDescent="0.25">
      <c r="A22" s="12" t="str">
        <f t="shared" ref="A22" si="6">B22&amp;"_"&amp;C22&amp;"_"&amp;D22&amp;"_"&amp;E22</f>
        <v>Residential_HVAC_Air-Source Heat Pump_Heat Load Factor</v>
      </c>
      <c r="B22" t="s">
        <v>162</v>
      </c>
      <c r="C22" t="s">
        <v>163</v>
      </c>
      <c r="D22" t="s">
        <v>238</v>
      </c>
      <c r="E22" s="114" t="s">
        <v>241</v>
      </c>
      <c r="F22" s="221">
        <f>IF(Dashboard_FS!E25="Propane",IF(Dashboard_FS!$G$11="Partial",INDEX('CZ Inputs'!$G:$G,MATCH(A22&amp;"_"&amp;Dashboard_FS!$K$3,'CZ Inputs'!$A:$A,0)),1),IF(Dashboard_FS!$G$10="Partial",INDEX('CZ Inputs'!$G:$G,MATCH(A22&amp;"_"&amp;Dashboard_FS!$K$3,'CZ Inputs'!$A:$A,0)),1))</f>
        <v>1</v>
      </c>
      <c r="G22" s="12" t="s">
        <v>242</v>
      </c>
      <c r="H22" s="12" t="s">
        <v>236</v>
      </c>
      <c r="I22" s="12" t="s">
        <v>237</v>
      </c>
      <c r="J22" s="12" t="b">
        <f t="shared" ref="J22" si="7">_xlfn.ISFORMULA(F22)</f>
        <v>1</v>
      </c>
    </row>
    <row r="23" spans="1:10" x14ac:dyDescent="0.25">
      <c r="A23" s="12" t="str">
        <f t="shared" si="0"/>
        <v>Residential_HVAC_Air-Source Heat Pump_HeatLoad_Disp</v>
      </c>
      <c r="B23" t="s">
        <v>162</v>
      </c>
      <c r="C23" t="s">
        <v>163</v>
      </c>
      <c r="D23" t="s">
        <v>238</v>
      </c>
      <c r="E23" s="114" t="s">
        <v>243</v>
      </c>
      <c r="F23" s="115" t="e">
        <f xml:space="preserve"> F20 * F21 * F22</f>
        <v>#N/A</v>
      </c>
      <c r="H23" s="12" t="s">
        <v>236</v>
      </c>
      <c r="I23" s="12" t="s">
        <v>237</v>
      </c>
      <c r="J23" s="12" t="b">
        <f t="shared" si="1"/>
        <v>1</v>
      </c>
    </row>
    <row r="24" spans="1:10" x14ac:dyDescent="0.25">
      <c r="A24" s="12" t="str">
        <f t="shared" si="0"/>
        <v>Residential_HVAC_Air-Source Heat Pump_HSPF2_ee</v>
      </c>
      <c r="B24" t="s">
        <v>162</v>
      </c>
      <c r="C24" t="s">
        <v>163</v>
      </c>
      <c r="D24" t="s">
        <v>238</v>
      </c>
      <c r="E24" s="114" t="s">
        <v>255</v>
      </c>
      <c r="F24" s="115">
        <f>Dashboard_FS!$K$6</f>
        <v>0</v>
      </c>
      <c r="G24" s="12" t="s">
        <v>240</v>
      </c>
      <c r="H24" s="12" t="s">
        <v>236</v>
      </c>
      <c r="I24" s="12" t="s">
        <v>237</v>
      </c>
      <c r="J24" s="12" t="b">
        <f t="shared" si="1"/>
        <v>1</v>
      </c>
    </row>
    <row r="25" spans="1:10" x14ac:dyDescent="0.25">
      <c r="A25" s="12" t="str">
        <f t="shared" si="0"/>
        <v>Residential_HVAC_Air-Source Heat Pump_HSPF2_ClimateAdj</v>
      </c>
      <c r="B25" t="s">
        <v>162</v>
      </c>
      <c r="C25" t="s">
        <v>163</v>
      </c>
      <c r="D25" t="s">
        <v>238</v>
      </c>
      <c r="E25" s="114" t="s">
        <v>256</v>
      </c>
      <c r="F25" s="233" t="e">
        <f>IF(Dashboard_FS!E25="Propane",IF(Dashboard_FS!$G$11="Partial",1,INDEX('CZ Inputs'!$G:$G,MATCH(A25&amp;"_"&amp;Dashboard_FS!$K$3,'CZ Inputs'!$A:$A,0))),IF(Dashboard_FS!$G$10="Partial",1,INDEX('CZ Inputs'!$G:$G,MATCH(A25&amp;"_"&amp;Dashboard_FS!$K$3,'CZ Inputs'!$A:$A,0))))</f>
        <v>#N/A</v>
      </c>
      <c r="G25" s="12" t="s">
        <v>257</v>
      </c>
      <c r="H25" s="12" t="s">
        <v>236</v>
      </c>
      <c r="I25" s="12" t="s">
        <v>237</v>
      </c>
      <c r="J25" s="12" t="b">
        <f t="shared" ref="J25" si="8">_xlfn.ISFORMULA(F25)</f>
        <v>1</v>
      </c>
    </row>
    <row r="26" spans="1:10" x14ac:dyDescent="0.25">
      <c r="A26" s="12" t="str">
        <f t="shared" si="0"/>
        <v>Residential_HVAC_Air-Source Heat Pump_PD_Adj</v>
      </c>
      <c r="B26" t="s">
        <v>162</v>
      </c>
      <c r="C26" t="s">
        <v>163</v>
      </c>
      <c r="D26" t="s">
        <v>238</v>
      </c>
      <c r="E26" s="102" t="s">
        <v>258</v>
      </c>
      <c r="F26" s="226">
        <f>IF(Dashboard_FS!E25="Propane",IF(Dashboard_FS!$G$11="Partial",INDEX('CZ Inputs'!$G:$G,MATCH(A26&amp;"_"&amp;Dashboard_FS!$K$3,'CZ Inputs'!$A:$A,0)),1),IF(Dashboard_FS!$G$10="Partial",INDEX('CZ Inputs'!$G:$G,MATCH(A26&amp;"_"&amp;Dashboard_FS!$K$3,'CZ Inputs'!$A:$A,0)),1))</f>
        <v>1</v>
      </c>
      <c r="G26" s="12" t="s">
        <v>242</v>
      </c>
      <c r="H26" s="12" t="s">
        <v>236</v>
      </c>
      <c r="I26" s="12" t="s">
        <v>237</v>
      </c>
      <c r="J26" s="12" t="b">
        <f t="shared" si="1"/>
        <v>1</v>
      </c>
    </row>
    <row r="27" spans="1:10" x14ac:dyDescent="0.25">
      <c r="A27" s="12" t="str">
        <f t="shared" si="0"/>
        <v>Residential_HVAC_Air-Source Heat Pump_DeratingHeatEff</v>
      </c>
      <c r="B27" t="s">
        <v>162</v>
      </c>
      <c r="C27" t="s">
        <v>163</v>
      </c>
      <c r="D27" t="s">
        <v>238</v>
      </c>
      <c r="E27" s="102" t="s">
        <v>259</v>
      </c>
      <c r="F27" s="103">
        <v>0.1</v>
      </c>
      <c r="G27" s="12" t="s">
        <v>260</v>
      </c>
      <c r="H27" s="12" t="s">
        <v>236</v>
      </c>
      <c r="I27" s="12" t="s">
        <v>237</v>
      </c>
      <c r="J27" s="12" t="b">
        <f t="shared" si="1"/>
        <v>0</v>
      </c>
    </row>
    <row r="28" spans="1:10" x14ac:dyDescent="0.25">
      <c r="A28" s="12" t="str">
        <f t="shared" si="0"/>
        <v>Residential_HVAC_Air-Source Heat Pump_1000</v>
      </c>
      <c r="B28" t="s">
        <v>162</v>
      </c>
      <c r="C28" t="s">
        <v>163</v>
      </c>
      <c r="D28" t="s">
        <v>238</v>
      </c>
      <c r="E28" s="102">
        <v>1000</v>
      </c>
      <c r="F28" s="103">
        <v>1000</v>
      </c>
      <c r="H28" s="12" t="s">
        <v>236</v>
      </c>
      <c r="I28" s="12" t="s">
        <v>237</v>
      </c>
      <c r="J28" s="12" t="b">
        <f t="shared" si="1"/>
        <v>0</v>
      </c>
    </row>
    <row r="29" spans="1:10" x14ac:dyDescent="0.25">
      <c r="A29" s="12" t="str">
        <f t="shared" si="0"/>
        <v>Residential_HVAC_Air-Source Heat Pump_3412</v>
      </c>
      <c r="B29" t="s">
        <v>162</v>
      </c>
      <c r="C29" t="s">
        <v>163</v>
      </c>
      <c r="D29" t="s">
        <v>238</v>
      </c>
      <c r="E29" s="102">
        <v>3412</v>
      </c>
      <c r="F29" s="103">
        <v>3412</v>
      </c>
      <c r="H29" s="12" t="s">
        <v>236</v>
      </c>
      <c r="I29" s="12" t="s">
        <v>237</v>
      </c>
      <c r="J29" s="12" t="b">
        <f t="shared" si="1"/>
        <v>0</v>
      </c>
    </row>
    <row r="30" spans="1:10" x14ac:dyDescent="0.25">
      <c r="A30" s="12" t="str">
        <f t="shared" si="0"/>
        <v>Residential_HVAC_Air-Source Heat Pump_1000000</v>
      </c>
      <c r="B30" t="s">
        <v>162</v>
      </c>
      <c r="C30" t="s">
        <v>163</v>
      </c>
      <c r="D30" t="s">
        <v>238</v>
      </c>
      <c r="E30" s="102">
        <v>1000000</v>
      </c>
      <c r="F30" s="103">
        <v>1000000</v>
      </c>
      <c r="H30" s="12" t="s">
        <v>236</v>
      </c>
      <c r="I30" s="12" t="s">
        <v>237</v>
      </c>
      <c r="J30" s="12" t="b">
        <f t="shared" si="1"/>
        <v>0</v>
      </c>
    </row>
    <row r="31" spans="1:10" x14ac:dyDescent="0.25">
      <c r="A31" s="12" t="str">
        <f t="shared" si="0"/>
        <v>Residential_HVAC_Air-Source Heat Pump_ASHPSiteHeatConsumed</v>
      </c>
      <c r="B31" t="s">
        <v>162</v>
      </c>
      <c r="C31" t="s">
        <v>163</v>
      </c>
      <c r="D31" t="s">
        <v>238</v>
      </c>
      <c r="E31" s="114" t="s">
        <v>261</v>
      </c>
      <c r="F31" s="115" t="e">
        <f xml:space="preserve"> -(( F23 * (1/( F24 * F25 * F26 * (1 - F27 )))) / F28 * F29 )/ F30</f>
        <v>#N/A</v>
      </c>
      <c r="H31" s="12" t="s">
        <v>236</v>
      </c>
      <c r="I31" s="12" t="s">
        <v>237</v>
      </c>
      <c r="J31" s="12" t="b">
        <f t="shared" si="1"/>
        <v>1</v>
      </c>
    </row>
    <row r="32" spans="1:10" x14ac:dyDescent="0.25">
      <c r="A32" s="12" t="str">
        <f t="shared" si="0"/>
        <v>Residential_HVAC_Air-Source Heat Pump_FLHcool</v>
      </c>
      <c r="B32" t="s">
        <v>162</v>
      </c>
      <c r="C32" t="s">
        <v>163</v>
      </c>
      <c r="D32" t="s">
        <v>238</v>
      </c>
      <c r="E32" s="114" t="s">
        <v>262</v>
      </c>
      <c r="F32" s="115" t="e">
        <f>INDEX('CZ Inputs'!$G:$G,MATCH($A32&amp;"_"&amp;Dashboard_FS!$K$3,'CZ Inputs'!$A:$A,0))</f>
        <v>#N/A</v>
      </c>
      <c r="G32" s="12" t="s">
        <v>235</v>
      </c>
      <c r="H32" s="12" t="s">
        <v>236</v>
      </c>
      <c r="I32" s="12" t="s">
        <v>237</v>
      </c>
      <c r="J32" s="12" t="b">
        <f t="shared" si="1"/>
        <v>1</v>
      </c>
    </row>
    <row r="33" spans="1:10" x14ac:dyDescent="0.25">
      <c r="A33" s="12" t="str">
        <f t="shared" si="0"/>
        <v>Residential_HVAC_Air-Source Heat Pump_Capacity_ASHPcool</v>
      </c>
      <c r="B33" t="s">
        <v>162</v>
      </c>
      <c r="C33" t="s">
        <v>163</v>
      </c>
      <c r="D33" t="s">
        <v>238</v>
      </c>
      <c r="E33" s="114" t="s">
        <v>263</v>
      </c>
      <c r="F33" s="115">
        <f>Dashboard_FS!$K$16</f>
        <v>0</v>
      </c>
      <c r="H33" s="12" t="s">
        <v>236</v>
      </c>
      <c r="I33" s="12" t="s">
        <v>237</v>
      </c>
      <c r="J33" s="12" t="b">
        <f t="shared" si="1"/>
        <v>1</v>
      </c>
    </row>
    <row r="34" spans="1:10" x14ac:dyDescent="0.25">
      <c r="A34" s="12" t="str">
        <f t="shared" si="0"/>
        <v>Residential_HVAC_Air-Source Heat Pump_CoolingLoad</v>
      </c>
      <c r="B34" t="s">
        <v>162</v>
      </c>
      <c r="C34" t="s">
        <v>163</v>
      </c>
      <c r="D34" t="s">
        <v>238</v>
      </c>
      <c r="E34" s="114" t="s">
        <v>264</v>
      </c>
      <c r="F34" s="115" t="e">
        <f>F32*F33</f>
        <v>#N/A</v>
      </c>
      <c r="H34" s="12" t="s">
        <v>236</v>
      </c>
      <c r="I34" s="12" t="s">
        <v>237</v>
      </c>
      <c r="J34" s="12" t="b">
        <f t="shared" ref="J34:J35" si="9">_xlfn.ISFORMULA(F34)</f>
        <v>1</v>
      </c>
    </row>
    <row r="35" spans="1:10" x14ac:dyDescent="0.25">
      <c r="A35" s="12" t="str">
        <f t="shared" ref="A35" si="10">B35&amp;"_"&amp;C35&amp;"_"&amp;D35&amp;"_"&amp;E35</f>
        <v>Residential_HVAC_Air-Source Heat Pump_DuctlessSave</v>
      </c>
      <c r="B35" t="s">
        <v>162</v>
      </c>
      <c r="C35" t="s">
        <v>163</v>
      </c>
      <c r="D35" t="s">
        <v>238</v>
      </c>
      <c r="E35" s="102" t="s">
        <v>244</v>
      </c>
      <c r="F35" s="103">
        <v>1</v>
      </c>
      <c r="G35" s="12" t="s">
        <v>245</v>
      </c>
      <c r="H35" s="12" t="s">
        <v>236</v>
      </c>
      <c r="I35" s="12" t="s">
        <v>237</v>
      </c>
      <c r="J35" s="12" t="b">
        <f t="shared" si="9"/>
        <v>0</v>
      </c>
    </row>
    <row r="36" spans="1:10" x14ac:dyDescent="0.25">
      <c r="A36" s="12" t="str">
        <f t="shared" si="0"/>
        <v>Residential_HVAC_Air-Source Heat Pump_SEER2_base</v>
      </c>
      <c r="B36" t="s">
        <v>162</v>
      </c>
      <c r="C36" t="s">
        <v>163</v>
      </c>
      <c r="D36" t="s">
        <v>238</v>
      </c>
      <c r="E36" s="114" t="s">
        <v>265</v>
      </c>
      <c r="F36" s="115">
        <f>Dashboard_FS!$K$15</f>
        <v>0</v>
      </c>
      <c r="G36" s="12" t="s">
        <v>240</v>
      </c>
      <c r="H36" s="12" t="s">
        <v>236</v>
      </c>
      <c r="I36" s="12" t="s">
        <v>237</v>
      </c>
      <c r="J36" s="12" t="b">
        <f t="shared" si="1"/>
        <v>1</v>
      </c>
    </row>
    <row r="37" spans="1:10" x14ac:dyDescent="0.25">
      <c r="A37" s="12" t="str">
        <f t="shared" si="0"/>
        <v>Residential_HVAC_Air-Source Heat Pump_DeratingCoolBase</v>
      </c>
      <c r="B37" t="s">
        <v>162</v>
      </c>
      <c r="C37" t="s">
        <v>163</v>
      </c>
      <c r="D37" t="s">
        <v>238</v>
      </c>
      <c r="E37" s="102" t="s">
        <v>266</v>
      </c>
      <c r="F37" s="103">
        <v>0.1</v>
      </c>
      <c r="H37" s="12" t="s">
        <v>236</v>
      </c>
      <c r="I37" s="12" t="s">
        <v>237</v>
      </c>
      <c r="J37" s="12" t="b">
        <f t="shared" si="1"/>
        <v>0</v>
      </c>
    </row>
    <row r="38" spans="1:10" x14ac:dyDescent="0.25">
      <c r="A38" s="12" t="str">
        <f t="shared" si="0"/>
        <v>Residential_HVAC_Air-Source Heat Pump_SEER2_ee</v>
      </c>
      <c r="B38" t="s">
        <v>162</v>
      </c>
      <c r="C38" t="s">
        <v>163</v>
      </c>
      <c r="D38" t="s">
        <v>238</v>
      </c>
      <c r="E38" s="114" t="s">
        <v>267</v>
      </c>
      <c r="F38" s="115">
        <f>Dashboard_FS!$K$14</f>
        <v>0</v>
      </c>
      <c r="G38" s="12" t="s">
        <v>240</v>
      </c>
      <c r="H38" s="12" t="s">
        <v>236</v>
      </c>
      <c r="I38" s="12" t="s">
        <v>237</v>
      </c>
      <c r="J38" s="12" t="b">
        <f t="shared" si="1"/>
        <v>1</v>
      </c>
    </row>
    <row r="39" spans="1:10" x14ac:dyDescent="0.25">
      <c r="A39" s="12" t="str">
        <f t="shared" si="0"/>
        <v>Residential_HVAC_Air-Source Heat Pump_DeratingCoolEff</v>
      </c>
      <c r="B39" t="s">
        <v>162</v>
      </c>
      <c r="C39" t="s">
        <v>163</v>
      </c>
      <c r="D39" t="s">
        <v>238</v>
      </c>
      <c r="E39" s="102" t="s">
        <v>268</v>
      </c>
      <c r="F39" s="103">
        <v>0.1</v>
      </c>
      <c r="G39" s="12" t="s">
        <v>260</v>
      </c>
      <c r="H39" s="12" t="s">
        <v>236</v>
      </c>
      <c r="I39" s="12" t="s">
        <v>237</v>
      </c>
      <c r="J39" s="12" t="b">
        <f t="shared" si="1"/>
        <v>0</v>
      </c>
    </row>
    <row r="40" spans="1:10" x14ac:dyDescent="0.25">
      <c r="A40" s="12" t="str">
        <f t="shared" si="0"/>
        <v>Residential_HVAC_Air-Source Heat Pump_1000</v>
      </c>
      <c r="B40" t="s">
        <v>162</v>
      </c>
      <c r="C40" t="s">
        <v>163</v>
      </c>
      <c r="D40" t="s">
        <v>238</v>
      </c>
      <c r="E40" s="102">
        <v>1000</v>
      </c>
      <c r="F40" s="103">
        <v>1000</v>
      </c>
      <c r="H40" s="12" t="s">
        <v>236</v>
      </c>
      <c r="I40" s="12" t="s">
        <v>237</v>
      </c>
      <c r="J40" s="12" t="b">
        <f t="shared" si="1"/>
        <v>0</v>
      </c>
    </row>
    <row r="41" spans="1:10" x14ac:dyDescent="0.25">
      <c r="A41" s="12" t="str">
        <f t="shared" si="0"/>
        <v>Residential_HVAC_Air-Source Heat Pump_3412</v>
      </c>
      <c r="B41" t="s">
        <v>162</v>
      </c>
      <c r="C41" t="s">
        <v>163</v>
      </c>
      <c r="D41" t="s">
        <v>238</v>
      </c>
      <c r="E41" s="102">
        <v>3412</v>
      </c>
      <c r="F41" s="103">
        <v>3412</v>
      </c>
      <c r="H41" s="12" t="s">
        <v>236</v>
      </c>
      <c r="I41" s="12" t="s">
        <v>237</v>
      </c>
      <c r="J41" s="12" t="b">
        <f t="shared" si="1"/>
        <v>0</v>
      </c>
    </row>
    <row r="42" spans="1:10" x14ac:dyDescent="0.25">
      <c r="A42" s="12" t="str">
        <f t="shared" si="0"/>
        <v>Residential_HVAC_Air-Source Heat Pump_1000000</v>
      </c>
      <c r="B42" t="s">
        <v>162</v>
      </c>
      <c r="C42" t="s">
        <v>163</v>
      </c>
      <c r="D42" t="s">
        <v>238</v>
      </c>
      <c r="E42" s="102">
        <v>1000000</v>
      </c>
      <c r="F42" s="103">
        <v>1000000</v>
      </c>
      <c r="H42" s="12" t="s">
        <v>236</v>
      </c>
      <c r="I42" s="12" t="s">
        <v>237</v>
      </c>
      <c r="J42" s="12" t="b">
        <f t="shared" si="1"/>
        <v>0</v>
      </c>
    </row>
    <row r="43" spans="1:10" x14ac:dyDescent="0.25">
      <c r="A43" s="12" t="str">
        <f t="shared" si="0"/>
        <v>Residential_HVAC_Air-Source Heat Pump_ASHPSiteCoolingImpact</v>
      </c>
      <c r="B43" t="s">
        <v>162</v>
      </c>
      <c r="C43" t="s">
        <v>163</v>
      </c>
      <c r="D43" t="s">
        <v>238</v>
      </c>
      <c r="E43" s="114" t="s">
        <v>269</v>
      </c>
      <c r="F43" s="119" t="e">
        <f xml:space="preserve"> (( F34 / F35 * (IF(Dashboard_FS!$K$17="Yes",1/(F36 * (1 - F37)),0) - 1/( F38 * (1 - F39 ))))/ F40 * F41 ) / F42</f>
        <v>#N/A</v>
      </c>
      <c r="H43" s="12" t="s">
        <v>236</v>
      </c>
      <c r="I43" s="12" t="s">
        <v>237</v>
      </c>
      <c r="J43" s="12" t="b">
        <f t="shared" si="1"/>
        <v>1</v>
      </c>
    </row>
    <row r="44" spans="1:10" x14ac:dyDescent="0.25">
      <c r="A44" s="12" t="str">
        <f t="shared" si="0"/>
        <v>Residential_HVAC_Air-Source Heat Pump_BTU_NewSiteCoolingImpact</v>
      </c>
      <c r="B44" t="s">
        <v>162</v>
      </c>
      <c r="C44" t="s">
        <v>163</v>
      </c>
      <c r="D44" t="s">
        <v>238</v>
      </c>
      <c r="E44" s="114" t="s">
        <v>270</v>
      </c>
      <c r="F44" s="119" t="e">
        <f xml:space="preserve"> - ((( F34 / F35 * (0 - 1 / (F38 * (1 - F39 ))))/ F40 * F41 ) / F42)*10^6</f>
        <v>#N/A</v>
      </c>
      <c r="H44" s="12" t="s">
        <v>236</v>
      </c>
      <c r="I44" s="12" t="s">
        <v>237</v>
      </c>
      <c r="J44" s="12" t="b">
        <f t="shared" ref="J44" si="11">_xlfn.ISFORMULA(F44)</f>
        <v>1</v>
      </c>
    </row>
    <row r="45" spans="1:10" x14ac:dyDescent="0.25">
      <c r="A45" s="12" t="str">
        <f t="shared" si="0"/>
        <v>Residential_HVAC_Air-Source Heat Pump_SiteEnergySavings (MMBTUs)</v>
      </c>
      <c r="B45" t="s">
        <v>162</v>
      </c>
      <c r="C45" t="s">
        <v>163</v>
      </c>
      <c r="D45" t="s">
        <v>238</v>
      </c>
      <c r="E45" s="117" t="s">
        <v>271</v>
      </c>
      <c r="F45" s="115" t="e">
        <f xml:space="preserve"> F9 + F19 + F31 + F43</f>
        <v>#N/A</v>
      </c>
      <c r="H45" s="12" t="s">
        <v>236</v>
      </c>
      <c r="I45" s="12" t="s">
        <v>237</v>
      </c>
      <c r="J45" s="12" t="b">
        <f t="shared" si="1"/>
        <v>1</v>
      </c>
    </row>
    <row r="46" spans="1:10" x14ac:dyDescent="0.25">
      <c r="A46" s="12" t="str">
        <f t="shared" si="0"/>
        <v>Residential_HVAC_Air-Source Heat Pump_Capacity_cooling</v>
      </c>
      <c r="B46" t="s">
        <v>162</v>
      </c>
      <c r="C46" t="s">
        <v>163</v>
      </c>
      <c r="D46" t="s">
        <v>238</v>
      </c>
      <c r="E46" s="102" t="s">
        <v>272</v>
      </c>
      <c r="F46" s="103">
        <v>36000</v>
      </c>
      <c r="G46" s="12" t="s">
        <v>273</v>
      </c>
      <c r="H46" s="12" t="s">
        <v>236</v>
      </c>
      <c r="I46" s="12" t="s">
        <v>237</v>
      </c>
      <c r="J46" s="12" t="b">
        <f t="shared" si="1"/>
        <v>0</v>
      </c>
    </row>
    <row r="47" spans="1:10" x14ac:dyDescent="0.25">
      <c r="A47" s="12" t="str">
        <f t="shared" si="0"/>
        <v>Residential_HVAC_Air-Source Heat Pump_EER_base</v>
      </c>
      <c r="B47" t="s">
        <v>162</v>
      </c>
      <c r="C47" t="s">
        <v>163</v>
      </c>
      <c r="D47" t="s">
        <v>238</v>
      </c>
      <c r="E47" s="102" t="s">
        <v>274</v>
      </c>
      <c r="F47" s="103">
        <v>10.5</v>
      </c>
      <c r="G47" s="12" t="s">
        <v>275</v>
      </c>
      <c r="H47" s="12" t="s">
        <v>236</v>
      </c>
      <c r="I47" s="12" t="s">
        <v>237</v>
      </c>
      <c r="J47" s="12" t="b">
        <f t="shared" si="1"/>
        <v>0</v>
      </c>
    </row>
    <row r="48" spans="1:10" x14ac:dyDescent="0.25">
      <c r="A48" s="12" t="str">
        <f t="shared" si="0"/>
        <v>Residential_HVAC_Air-Source Heat Pump_DeratingCoolBase</v>
      </c>
      <c r="B48" t="s">
        <v>162</v>
      </c>
      <c r="C48" t="s">
        <v>163</v>
      </c>
      <c r="D48" t="s">
        <v>238</v>
      </c>
      <c r="E48" s="102" t="s">
        <v>266</v>
      </c>
      <c r="F48" s="103">
        <v>0.1</v>
      </c>
      <c r="H48" s="12" t="s">
        <v>236</v>
      </c>
      <c r="I48" s="12" t="s">
        <v>237</v>
      </c>
      <c r="J48" s="12" t="b">
        <f t="shared" si="1"/>
        <v>0</v>
      </c>
    </row>
    <row r="49" spans="1:10" x14ac:dyDescent="0.25">
      <c r="A49" s="12" t="str">
        <f t="shared" si="0"/>
        <v>Residential_HVAC_Air-Source Heat Pump_EER_ee</v>
      </c>
      <c r="B49" t="s">
        <v>162</v>
      </c>
      <c r="C49" t="s">
        <v>163</v>
      </c>
      <c r="D49" t="s">
        <v>238</v>
      </c>
      <c r="E49" s="102" t="s">
        <v>276</v>
      </c>
      <c r="F49" s="103">
        <v>12.5</v>
      </c>
      <c r="H49" s="12" t="s">
        <v>236</v>
      </c>
      <c r="I49" s="12" t="s">
        <v>237</v>
      </c>
      <c r="J49" s="12" t="b">
        <f t="shared" si="1"/>
        <v>0</v>
      </c>
    </row>
    <row r="50" spans="1:10" x14ac:dyDescent="0.25">
      <c r="A50" s="12" t="str">
        <f t="shared" si="0"/>
        <v>Residential_HVAC_Air-Source Heat Pump_DeratingCoolEff</v>
      </c>
      <c r="B50" t="s">
        <v>162</v>
      </c>
      <c r="C50" t="s">
        <v>163</v>
      </c>
      <c r="D50" t="s">
        <v>238</v>
      </c>
      <c r="E50" s="102" t="s">
        <v>268</v>
      </c>
      <c r="F50" s="103">
        <v>0.1</v>
      </c>
      <c r="H50" s="12" t="s">
        <v>236</v>
      </c>
      <c r="I50" s="12" t="s">
        <v>237</v>
      </c>
      <c r="J50" s="12" t="b">
        <f t="shared" si="1"/>
        <v>0</v>
      </c>
    </row>
    <row r="51" spans="1:10" x14ac:dyDescent="0.25">
      <c r="A51" s="12" t="str">
        <f t="shared" si="0"/>
        <v>Residential_HVAC_Air-Source Heat Pump_1000</v>
      </c>
      <c r="B51" t="s">
        <v>162</v>
      </c>
      <c r="C51" t="s">
        <v>163</v>
      </c>
      <c r="D51" t="s">
        <v>238</v>
      </c>
      <c r="E51" s="102">
        <v>1000</v>
      </c>
      <c r="F51" s="103">
        <v>1000</v>
      </c>
      <c r="H51" s="12" t="s">
        <v>236</v>
      </c>
      <c r="I51" s="12" t="s">
        <v>237</v>
      </c>
      <c r="J51" s="12" t="b">
        <f t="shared" si="1"/>
        <v>0</v>
      </c>
    </row>
    <row r="52" spans="1:10" x14ac:dyDescent="0.25">
      <c r="A52" s="12" t="str">
        <f t="shared" si="0"/>
        <v>Residential_HVAC_Air-Source Heat Pump_CF</v>
      </c>
      <c r="B52" t="s">
        <v>162</v>
      </c>
      <c r="C52" t="s">
        <v>163</v>
      </c>
      <c r="D52" t="s">
        <v>238</v>
      </c>
      <c r="E52" s="102" t="s">
        <v>277</v>
      </c>
      <c r="F52" s="103">
        <v>0.72</v>
      </c>
      <c r="G52" s="12" t="s">
        <v>278</v>
      </c>
      <c r="H52" s="12" t="s">
        <v>236</v>
      </c>
      <c r="I52" s="12" t="s">
        <v>237</v>
      </c>
      <c r="J52" s="12" t="b">
        <f t="shared" si="1"/>
        <v>0</v>
      </c>
    </row>
    <row r="53" spans="1:10" x14ac:dyDescent="0.25">
      <c r="A53" s="12" t="str">
        <f t="shared" si="0"/>
        <v>Residential_HVAC_Air-Source Heat Pump_Delta_kW</v>
      </c>
      <c r="B53" t="s">
        <v>162</v>
      </c>
      <c r="C53" t="s">
        <v>163</v>
      </c>
      <c r="D53" t="s">
        <v>238</v>
      </c>
      <c r="E53" s="114" t="s">
        <v>279</v>
      </c>
      <c r="F53" s="115">
        <f xml:space="preserve"> ( F46 * (1/( F47 * (1 - F48 )) - 1/( F49 * (1 - F50 )))) / F51 * F52</f>
        <v>0.43885714285714256</v>
      </c>
      <c r="H53" s="12" t="s">
        <v>236</v>
      </c>
      <c r="I53" s="12" t="s">
        <v>237</v>
      </c>
      <c r="J53" s="12" t="b">
        <f t="shared" si="1"/>
        <v>1</v>
      </c>
    </row>
    <row r="54" spans="1:10" x14ac:dyDescent="0.25">
      <c r="A54" s="12" t="str">
        <f t="shared" si="0"/>
        <v>Residential_HVAC_Air-Source Heat Pump_kWh Saved per Unit</v>
      </c>
      <c r="B54" t="s">
        <v>162</v>
      </c>
      <c r="C54" t="s">
        <v>163</v>
      </c>
      <c r="D54" t="s">
        <v>238</v>
      </c>
      <c r="E54" s="111" t="s">
        <v>280</v>
      </c>
      <c r="F54" s="99" t="e">
        <f>((F19+F31+F43)*10^6)/3412</f>
        <v>#N/A</v>
      </c>
      <c r="H54" s="12" t="s">
        <v>236</v>
      </c>
      <c r="I54" s="12" t="s">
        <v>237</v>
      </c>
      <c r="J54" s="12" t="b">
        <f t="shared" si="1"/>
        <v>1</v>
      </c>
    </row>
    <row r="55" spans="1:10" x14ac:dyDescent="0.25">
      <c r="A55" s="12" t="str">
        <f t="shared" si="0"/>
        <v>Residential_HVAC_Air-Source Heat Pump_Coincident Peak kW Saved per Unit</v>
      </c>
      <c r="B55" t="s">
        <v>162</v>
      </c>
      <c r="C55" t="s">
        <v>163</v>
      </c>
      <c r="D55" t="s">
        <v>238</v>
      </c>
      <c r="E55" s="111" t="s">
        <v>281</v>
      </c>
      <c r="F55" s="99">
        <f>F53</f>
        <v>0.43885714285714256</v>
      </c>
      <c r="H55" s="12" t="s">
        <v>236</v>
      </c>
      <c r="I55" s="12" t="s">
        <v>237</v>
      </c>
      <c r="J55" s="12" t="b">
        <f t="shared" si="1"/>
        <v>1</v>
      </c>
    </row>
    <row r="56" spans="1:10" x14ac:dyDescent="0.25">
      <c r="A56" s="12" t="str">
        <f t="shared" si="0"/>
        <v>Residential_HVAC_Air-Source Heat Pump_Propane Gal Saved per Unit</v>
      </c>
      <c r="B56" t="s">
        <v>162</v>
      </c>
      <c r="C56" t="s">
        <v>163</v>
      </c>
      <c r="D56" t="s">
        <v>238</v>
      </c>
      <c r="E56" s="111" t="s">
        <v>282</v>
      </c>
      <c r="F56" s="99" t="e">
        <f>(F9*10^6)/91333</f>
        <v>#N/A</v>
      </c>
      <c r="G56" s="12" t="s">
        <v>283</v>
      </c>
      <c r="H56" s="12" t="s">
        <v>236</v>
      </c>
      <c r="I56" s="12" t="s">
        <v>237</v>
      </c>
      <c r="J56" s="12" t="b">
        <f t="shared" si="1"/>
        <v>1</v>
      </c>
    </row>
    <row r="57" spans="1:10" x14ac:dyDescent="0.25">
      <c r="A57" s="12" t="str">
        <f t="shared" si="0"/>
        <v>Residential_HVAC_Air-Source Heat Pump_Lifetime (years)</v>
      </c>
      <c r="B57" t="s">
        <v>162</v>
      </c>
      <c r="C57" t="s">
        <v>163</v>
      </c>
      <c r="D57" t="s">
        <v>238</v>
      </c>
      <c r="E57" s="111" t="s">
        <v>284</v>
      </c>
      <c r="F57" s="99">
        <v>16</v>
      </c>
      <c r="H57" s="12" t="s">
        <v>236</v>
      </c>
      <c r="I57" s="12" t="s">
        <v>237</v>
      </c>
      <c r="J57" s="12" t="b">
        <f t="shared" si="1"/>
        <v>0</v>
      </c>
    </row>
    <row r="58" spans="1:10" x14ac:dyDescent="0.25">
      <c r="A58" s="12" t="str">
        <f t="shared" si="0"/>
        <v>Residential_HVAC_Air-Source Heat Pump_Incremental Cost</v>
      </c>
      <c r="B58" t="s">
        <v>162</v>
      </c>
      <c r="C58" t="s">
        <v>163</v>
      </c>
      <c r="D58" t="s">
        <v>238</v>
      </c>
      <c r="E58" s="111" t="s">
        <v>285</v>
      </c>
      <c r="F58" s="100">
        <f xml:space="preserve"> 8750 + 3750</f>
        <v>12500</v>
      </c>
      <c r="G58" s="12" t="s">
        <v>286</v>
      </c>
      <c r="H58" s="12" t="s">
        <v>236</v>
      </c>
      <c r="I58" s="12" t="s">
        <v>237</v>
      </c>
      <c r="J58" s="12" t="b">
        <f t="shared" si="1"/>
        <v>1</v>
      </c>
    </row>
    <row r="59" spans="1:10" x14ac:dyDescent="0.25">
      <c r="A59" s="12" t="str">
        <f t="shared" si="0"/>
        <v>Residential_HVAC_Air-Source Heat Pump_BTU Impact_Existing_Fossil Fuel</v>
      </c>
      <c r="B59" t="s">
        <v>162</v>
      </c>
      <c r="C59" t="s">
        <v>163</v>
      </c>
      <c r="D59" t="s">
        <v>238</v>
      </c>
      <c r="E59" s="111" t="s">
        <v>287</v>
      </c>
      <c r="F59" s="99" t="e">
        <f>-F9*10^6</f>
        <v>#N/A</v>
      </c>
      <c r="H59" s="12" t="s">
        <v>236</v>
      </c>
      <c r="I59" s="12" t="s">
        <v>237</v>
      </c>
      <c r="J59" s="12" t="b">
        <f t="shared" si="1"/>
        <v>1</v>
      </c>
    </row>
    <row r="60" spans="1:10" x14ac:dyDescent="0.25">
      <c r="A60" s="12" t="str">
        <f t="shared" si="0"/>
        <v>Residential_HVAC_Air-Source Heat Pump_BTU Impact_Existing_Winter Electricity</v>
      </c>
      <c r="B60" t="s">
        <v>162</v>
      </c>
      <c r="C60" t="s">
        <v>163</v>
      </c>
      <c r="D60" t="s">
        <v>238</v>
      </c>
      <c r="E60" s="111" t="s">
        <v>288</v>
      </c>
      <c r="F60" s="99" t="e">
        <f>-F19*10^6</f>
        <v>#N/A</v>
      </c>
      <c r="H60" s="12" t="s">
        <v>236</v>
      </c>
      <c r="I60" s="12" t="s">
        <v>237</v>
      </c>
      <c r="J60" s="12" t="b">
        <f t="shared" ref="J60:J61" si="12">_xlfn.ISFORMULA(F60)</f>
        <v>1</v>
      </c>
    </row>
    <row r="61" spans="1:10" x14ac:dyDescent="0.25">
      <c r="A61" s="12" t="str">
        <f t="shared" si="0"/>
        <v>Residential_HVAC_Air-Source Heat Pump_BTU Impact_Existing_Summer Electricity</v>
      </c>
      <c r="B61" t="s">
        <v>162</v>
      </c>
      <c r="C61" t="s">
        <v>163</v>
      </c>
      <c r="D61" t="s">
        <v>238</v>
      </c>
      <c r="E61" s="111" t="s">
        <v>289</v>
      </c>
      <c r="F61" s="99" t="e">
        <f xml:space="preserve"> -((( F34 / F35 * (IF(Dashboard_FS!$K$17="Yes",1/(F36 * (1 - F37)),0) - 0))/ F40 * F41 ) / F42)*10^6</f>
        <v>#N/A</v>
      </c>
      <c r="H61" s="12" t="s">
        <v>236</v>
      </c>
      <c r="I61" s="12" t="s">
        <v>237</v>
      </c>
      <c r="J61" s="12" t="b">
        <f t="shared" si="12"/>
        <v>1</v>
      </c>
    </row>
    <row r="62" spans="1:10" x14ac:dyDescent="0.25">
      <c r="A62" s="12" t="str">
        <f t="shared" si="0"/>
        <v>Residential_HVAC_Air-Source Heat Pump_BTU Impact_New_Fossil Fuel</v>
      </c>
      <c r="B62" t="s">
        <v>162</v>
      </c>
      <c r="C62" t="s">
        <v>163</v>
      </c>
      <c r="D62" t="s">
        <v>238</v>
      </c>
      <c r="E62" s="111" t="s">
        <v>290</v>
      </c>
      <c r="F62" s="99">
        <v>0</v>
      </c>
      <c r="H62" s="12" t="s">
        <v>236</v>
      </c>
      <c r="I62" s="12" t="s">
        <v>237</v>
      </c>
      <c r="J62" s="12" t="b">
        <f t="shared" si="1"/>
        <v>0</v>
      </c>
    </row>
    <row r="63" spans="1:10" x14ac:dyDescent="0.25">
      <c r="A63" s="12" t="str">
        <f t="shared" si="0"/>
        <v>Residential_HVAC_Air-Source Heat Pump_BTU Impact_New_Winter Electricity</v>
      </c>
      <c r="B63" t="s">
        <v>162</v>
      </c>
      <c r="C63" t="s">
        <v>163</v>
      </c>
      <c r="D63" t="s">
        <v>238</v>
      </c>
      <c r="E63" s="111" t="s">
        <v>291</v>
      </c>
      <c r="F63" s="99" t="e">
        <f>-F31*10^6</f>
        <v>#N/A</v>
      </c>
      <c r="H63" s="12" t="s">
        <v>236</v>
      </c>
      <c r="I63" s="12" t="s">
        <v>237</v>
      </c>
      <c r="J63" s="12" t="b">
        <f t="shared" si="1"/>
        <v>1</v>
      </c>
    </row>
    <row r="64" spans="1:10" x14ac:dyDescent="0.25">
      <c r="A64" s="12" t="str">
        <f t="shared" si="0"/>
        <v>Residential_HVAC_Air-Source Heat Pump_BTU Impact_New_Summer Electricity</v>
      </c>
      <c r="B64" t="s">
        <v>162</v>
      </c>
      <c r="C64" t="s">
        <v>163</v>
      </c>
      <c r="D64" t="s">
        <v>238</v>
      </c>
      <c r="E64" s="111" t="s">
        <v>292</v>
      </c>
      <c r="F64" s="99" t="e">
        <f xml:space="preserve"> - ((( F34 / F35 * (0 - 1/( F38 * (1 - F39 ))))/ F40 * F41 ) / F42)*10^6</f>
        <v>#N/A</v>
      </c>
      <c r="H64" s="12" t="s">
        <v>236</v>
      </c>
      <c r="I64" s="12" t="s">
        <v>237</v>
      </c>
      <c r="J64" s="12" t="b">
        <f t="shared" si="1"/>
        <v>1</v>
      </c>
    </row>
    <row r="65" spans="1:10" x14ac:dyDescent="0.25">
      <c r="A65" s="12" t="str">
        <f t="shared" si="0"/>
        <v>Residential_HVAC_Air-Source Heat Pump_</v>
      </c>
      <c r="B65" t="s">
        <v>162</v>
      </c>
      <c r="C65" t="s">
        <v>163</v>
      </c>
      <c r="D65" t="s">
        <v>238</v>
      </c>
      <c r="J65" s="12" t="b">
        <f t="shared" si="1"/>
        <v>0</v>
      </c>
    </row>
    <row r="66" spans="1:10" x14ac:dyDescent="0.25">
      <c r="A66" s="12" t="str">
        <f t="shared" si="0"/>
        <v>Residential_HVAC_Boiler_EFLH</v>
      </c>
      <c r="B66" t="s">
        <v>162</v>
      </c>
      <c r="C66" t="s">
        <v>163</v>
      </c>
      <c r="D66" t="s">
        <v>293</v>
      </c>
      <c r="E66" s="114" t="s">
        <v>234</v>
      </c>
      <c r="F66" s="115" t="e">
        <f>INDEX('CZ Inputs'!$G:$G,MATCH($A66&amp;"_"&amp;Dashboard_FS!$K$3,'CZ Inputs'!$A:$A,0))</f>
        <v>#N/A</v>
      </c>
      <c r="G66" s="12" t="s">
        <v>294</v>
      </c>
      <c r="H66" s="12" t="s">
        <v>236</v>
      </c>
      <c r="I66" s="12" t="s">
        <v>237</v>
      </c>
      <c r="J66" s="12" t="b">
        <f t="shared" si="1"/>
        <v>1</v>
      </c>
    </row>
    <row r="67" spans="1:10" x14ac:dyDescent="0.25">
      <c r="A67" s="12" t="str">
        <f t="shared" si="0"/>
        <v>Residential_HVAC_Ductless Heat Pump_Capacity_DMSHPheat (Btuh_Existing)</v>
      </c>
      <c r="B67" t="s">
        <v>162</v>
      </c>
      <c r="C67" t="s">
        <v>163</v>
      </c>
      <c r="D67" t="s">
        <v>295</v>
      </c>
      <c r="E67" s="114" t="s">
        <v>296</v>
      </c>
      <c r="F67" s="115">
        <f>Dashboard_FS!$K$10</f>
        <v>0</v>
      </c>
      <c r="G67" s="12" t="s">
        <v>240</v>
      </c>
      <c r="H67" s="12" t="s">
        <v>236</v>
      </c>
      <c r="I67" s="12" t="s">
        <v>237</v>
      </c>
      <c r="J67" s="12" t="b">
        <f t="shared" si="1"/>
        <v>1</v>
      </c>
    </row>
    <row r="68" spans="1:10" x14ac:dyDescent="0.25">
      <c r="A68" s="12" t="str">
        <f t="shared" ref="A68" si="13">B68&amp;"_"&amp;C68&amp;"_"&amp;D68&amp;"_"&amp;E68</f>
        <v>Residential_HVAC_Ductless Heat Pump_Heat Load Factor</v>
      </c>
      <c r="B68" t="s">
        <v>162</v>
      </c>
      <c r="C68" t="s">
        <v>163</v>
      </c>
      <c r="D68" t="s">
        <v>295</v>
      </c>
      <c r="E68" s="114" t="s">
        <v>241</v>
      </c>
      <c r="F68" s="221">
        <f>IF(Dashboard_FS!E25="Propane",IF(Dashboard_FS!$G$11="Partial",INDEX('CZ Inputs'!$G:$G,MATCH(A68&amp;"_"&amp;Dashboard_FS!$K$3,'CZ Inputs'!$A:$A,0)),1),IF(Dashboard_FS!$G$10="Partial",INDEX('CZ Inputs'!$G:$G,MATCH(A68&amp;"_"&amp;Dashboard_FS!$K$3,'CZ Inputs'!$A:$A,0)),1))</f>
        <v>1</v>
      </c>
      <c r="G68" s="12" t="s">
        <v>242</v>
      </c>
      <c r="H68" s="12" t="s">
        <v>236</v>
      </c>
      <c r="I68" s="12" t="s">
        <v>237</v>
      </c>
      <c r="J68" s="12" t="b">
        <f t="shared" ref="J68" si="14">_xlfn.ISFORMULA(F68)</f>
        <v>1</v>
      </c>
    </row>
    <row r="69" spans="1:10" x14ac:dyDescent="0.25">
      <c r="A69" s="12" t="str">
        <f t="shared" si="0"/>
        <v>Residential_HVAC_Ductless Heat Pump_HeatLoad_Disp</v>
      </c>
      <c r="B69" t="s">
        <v>162</v>
      </c>
      <c r="C69" t="s">
        <v>163</v>
      </c>
      <c r="D69" t="s">
        <v>295</v>
      </c>
      <c r="E69" s="114" t="s">
        <v>243</v>
      </c>
      <c r="F69" s="116" t="e">
        <f xml:space="preserve"> F66 * F67 * F68</f>
        <v>#N/A</v>
      </c>
      <c r="G69" s="12" t="s">
        <v>240</v>
      </c>
      <c r="H69" s="12" t="s">
        <v>236</v>
      </c>
      <c r="I69" s="12" t="s">
        <v>237</v>
      </c>
      <c r="J69" s="12" t="b">
        <f t="shared" si="1"/>
        <v>1</v>
      </c>
    </row>
    <row r="70" spans="1:10" x14ac:dyDescent="0.25">
      <c r="A70" s="12" t="str">
        <f t="shared" ref="A70" si="15">B70&amp;"_"&amp;C70&amp;"_"&amp;D70&amp;"_"&amp;E70</f>
        <v>Residential_HVAC_Ductless Heat Pump_DuctlessSave</v>
      </c>
      <c r="B70" t="s">
        <v>162</v>
      </c>
      <c r="C70" t="s">
        <v>163</v>
      </c>
      <c r="D70" t="s">
        <v>295</v>
      </c>
      <c r="E70" s="102" t="s">
        <v>244</v>
      </c>
      <c r="F70" s="105">
        <v>1</v>
      </c>
      <c r="G70" s="12" t="s">
        <v>297</v>
      </c>
      <c r="H70" s="12" t="s">
        <v>236</v>
      </c>
      <c r="I70" s="12" t="s">
        <v>237</v>
      </c>
      <c r="J70" s="12" t="b">
        <f t="shared" ref="J70" si="16">_xlfn.ISFORMULA(F70)</f>
        <v>0</v>
      </c>
    </row>
    <row r="71" spans="1:10" x14ac:dyDescent="0.25">
      <c r="A71" s="12" t="str">
        <f t="shared" si="0"/>
        <v>Residential_HVAC_Ductless Heat Pump_AFUEbase</v>
      </c>
      <c r="B71" t="s">
        <v>162</v>
      </c>
      <c r="C71" t="s">
        <v>163</v>
      </c>
      <c r="D71" t="s">
        <v>295</v>
      </c>
      <c r="E71" s="114" t="s">
        <v>246</v>
      </c>
      <c r="F71" s="116">
        <f>Dashboard_FS!$K$8</f>
        <v>0</v>
      </c>
      <c r="G71" s="12" t="s">
        <v>240</v>
      </c>
      <c r="H71" s="12" t="s">
        <v>236</v>
      </c>
      <c r="I71" s="12" t="s">
        <v>237</v>
      </c>
      <c r="J71" s="12" t="b">
        <f t="shared" si="1"/>
        <v>1</v>
      </c>
    </row>
    <row r="72" spans="1:10" x14ac:dyDescent="0.25">
      <c r="A72" s="12" t="str">
        <f t="shared" si="0"/>
        <v>Residential_HVAC_Ductless Heat Pump_1000000</v>
      </c>
      <c r="B72" t="s">
        <v>162</v>
      </c>
      <c r="C72" t="s">
        <v>163</v>
      </c>
      <c r="D72" t="s">
        <v>295</v>
      </c>
      <c r="E72" s="102">
        <v>1000000</v>
      </c>
      <c r="F72" s="105">
        <v>1000000</v>
      </c>
      <c r="H72" s="12" t="s">
        <v>236</v>
      </c>
      <c r="I72" s="12" t="s">
        <v>237</v>
      </c>
      <c r="J72" s="12" t="b">
        <f t="shared" si="1"/>
        <v>0</v>
      </c>
    </row>
    <row r="73" spans="1:10" x14ac:dyDescent="0.25">
      <c r="A73" s="12" t="str">
        <f t="shared" si="0"/>
        <v>Residential_HVAC_Ductless Heat Pump_GasHeatReplaced</v>
      </c>
      <c r="B73" t="s">
        <v>162</v>
      </c>
      <c r="C73" t="s">
        <v>163</v>
      </c>
      <c r="D73" t="s">
        <v>295</v>
      </c>
      <c r="E73" s="114" t="s">
        <v>247</v>
      </c>
      <c r="F73" s="116" t="e">
        <f xml:space="preserve"> ( F69 * F70 * 1 / F71 ) / F72</f>
        <v>#N/A</v>
      </c>
      <c r="H73" s="12" t="s">
        <v>236</v>
      </c>
      <c r="I73" s="12" t="s">
        <v>237</v>
      </c>
      <c r="J73" s="12" t="b">
        <f t="shared" si="1"/>
        <v>1</v>
      </c>
    </row>
    <row r="74" spans="1:10" x14ac:dyDescent="0.25">
      <c r="A74" s="12" t="str">
        <f t="shared" ref="A74:A208" si="17">B74&amp;"_"&amp;C74&amp;"_"&amp;D74&amp;"_"&amp;E74</f>
        <v>Residential_HVAC_Ductless Heat Pump_FurnaceFlag</v>
      </c>
      <c r="B74" t="s">
        <v>162</v>
      </c>
      <c r="C74" t="s">
        <v>163</v>
      </c>
      <c r="D74" t="s">
        <v>295</v>
      </c>
      <c r="E74" s="102" t="s">
        <v>248</v>
      </c>
      <c r="F74" s="105">
        <v>0</v>
      </c>
      <c r="G74" s="12" t="s">
        <v>298</v>
      </c>
      <c r="H74" s="12" t="s">
        <v>236</v>
      </c>
      <c r="I74" s="12" t="s">
        <v>237</v>
      </c>
      <c r="J74" s="12" t="b">
        <f t="shared" si="1"/>
        <v>0</v>
      </c>
    </row>
    <row r="75" spans="1:10" x14ac:dyDescent="0.25">
      <c r="A75" s="12" t="str">
        <f t="shared" si="17"/>
        <v>Residential_HVAC_Furnace_EFLH</v>
      </c>
      <c r="B75" t="s">
        <v>162</v>
      </c>
      <c r="C75" t="s">
        <v>163</v>
      </c>
      <c r="D75" t="s">
        <v>54</v>
      </c>
      <c r="E75" s="114" t="s">
        <v>234</v>
      </c>
      <c r="F75" s="115" t="e">
        <f>INDEX('CZ Inputs'!$G:$G,MATCH($A75&amp;"_"&amp;Dashboard_FS!$K$3,'CZ Inputs'!$A:$A,0))</f>
        <v>#N/A</v>
      </c>
      <c r="G75" s="12" t="s">
        <v>235</v>
      </c>
      <c r="H75" s="12" t="s">
        <v>236</v>
      </c>
      <c r="I75" s="12" t="s">
        <v>237</v>
      </c>
      <c r="J75" s="12" t="b">
        <f t="shared" si="1"/>
        <v>1</v>
      </c>
    </row>
    <row r="76" spans="1:10" x14ac:dyDescent="0.25">
      <c r="A76" s="12" t="str">
        <f t="shared" si="17"/>
        <v>Residential_HVAC_Ductless Heat Pump_Capacity_DMSHPheat</v>
      </c>
      <c r="B76" t="s">
        <v>162</v>
      </c>
      <c r="C76" t="s">
        <v>163</v>
      </c>
      <c r="D76" t="s">
        <v>295</v>
      </c>
      <c r="E76" s="114" t="s">
        <v>299</v>
      </c>
      <c r="F76" s="116">
        <f>Dashboard_FS!$K$9</f>
        <v>0</v>
      </c>
      <c r="G76" s="12" t="s">
        <v>240</v>
      </c>
      <c r="H76" s="12" t="s">
        <v>236</v>
      </c>
      <c r="I76" s="12" t="s">
        <v>237</v>
      </c>
      <c r="J76" s="12" t="b">
        <f t="shared" si="1"/>
        <v>1</v>
      </c>
    </row>
    <row r="77" spans="1:10" x14ac:dyDescent="0.25">
      <c r="A77" s="12" t="str">
        <f t="shared" ref="A77" si="18">B77&amp;"_"&amp;C77&amp;"_"&amp;D77&amp;"_"&amp;E77</f>
        <v>Residential_HVAC_Ductless Heat Pump_Heat Load Factor</v>
      </c>
      <c r="B77" t="s">
        <v>162</v>
      </c>
      <c r="C77" t="s">
        <v>163</v>
      </c>
      <c r="D77" t="s">
        <v>295</v>
      </c>
      <c r="E77" s="114" t="s">
        <v>241</v>
      </c>
      <c r="F77" s="221">
        <f>IF(Dashboard_FS!E25="Propane",IF(Dashboard_FS!$G$11="Partial",INDEX('CZ Inputs'!$G:$G,MATCH(A77&amp;"_"&amp;Dashboard_FS!$K$3,'CZ Inputs'!$A:$A,0)),1),IF(Dashboard_FS!$G$10="Partial",INDEX('CZ Inputs'!$G:$G,MATCH(A77&amp;"_"&amp;Dashboard_FS!$K$3,'CZ Inputs'!$A:$A,0)),1))</f>
        <v>1</v>
      </c>
      <c r="G77" s="12" t="s">
        <v>242</v>
      </c>
      <c r="H77" s="12" t="s">
        <v>236</v>
      </c>
      <c r="I77" s="12" t="s">
        <v>237</v>
      </c>
      <c r="J77" s="12" t="b">
        <f t="shared" ref="J77" si="19">_xlfn.ISFORMULA(F77)</f>
        <v>1</v>
      </c>
    </row>
    <row r="78" spans="1:10" x14ac:dyDescent="0.25">
      <c r="A78" s="12" t="str">
        <f t="shared" si="17"/>
        <v>Residential_HVAC_Ductless Heat Pump_HeatLoad_Disp</v>
      </c>
      <c r="B78" t="s">
        <v>162</v>
      </c>
      <c r="C78" t="s">
        <v>163</v>
      </c>
      <c r="D78" t="s">
        <v>295</v>
      </c>
      <c r="E78" s="114" t="s">
        <v>243</v>
      </c>
      <c r="F78" s="116" t="e">
        <f xml:space="preserve"> F75 * F76 * F77</f>
        <v>#N/A</v>
      </c>
      <c r="H78" s="12" t="s">
        <v>236</v>
      </c>
      <c r="I78" s="12" t="s">
        <v>237</v>
      </c>
      <c r="J78" s="12" t="b">
        <f t="shared" si="1"/>
        <v>1</v>
      </c>
    </row>
    <row r="79" spans="1:10" x14ac:dyDescent="0.25">
      <c r="A79" s="12" t="str">
        <f t="shared" si="17"/>
        <v>Residential_HVAC_Ductless Heat Pump_DuctlessSave</v>
      </c>
      <c r="B79" t="s">
        <v>162</v>
      </c>
      <c r="C79" t="s">
        <v>163</v>
      </c>
      <c r="D79" t="s">
        <v>295</v>
      </c>
      <c r="E79" s="102" t="s">
        <v>244</v>
      </c>
      <c r="F79" s="105">
        <v>1</v>
      </c>
      <c r="G79" s="12" t="s">
        <v>297</v>
      </c>
      <c r="H79" s="12" t="s">
        <v>236</v>
      </c>
      <c r="I79" s="12" t="s">
        <v>237</v>
      </c>
      <c r="J79" s="12" t="b">
        <f t="shared" si="1"/>
        <v>0</v>
      </c>
    </row>
    <row r="80" spans="1:10" x14ac:dyDescent="0.25">
      <c r="A80" s="12" t="str">
        <f t="shared" si="17"/>
        <v>Residential_HVAC_Ductless Heat Pump_AFUEbase</v>
      </c>
      <c r="B80" t="s">
        <v>162</v>
      </c>
      <c r="C80" t="s">
        <v>163</v>
      </c>
      <c r="D80" t="s">
        <v>295</v>
      </c>
      <c r="E80" s="114" t="s">
        <v>246</v>
      </c>
      <c r="F80" s="116">
        <f>Dashboard_FS!$K$8</f>
        <v>0</v>
      </c>
      <c r="G80" s="12" t="s">
        <v>240</v>
      </c>
      <c r="H80" s="12" t="s">
        <v>236</v>
      </c>
      <c r="I80" s="12" t="s">
        <v>237</v>
      </c>
      <c r="J80" s="12" t="b">
        <f t="shared" si="1"/>
        <v>1</v>
      </c>
    </row>
    <row r="81" spans="1:10" x14ac:dyDescent="0.25">
      <c r="A81" s="12" t="str">
        <f t="shared" si="17"/>
        <v>Residential_HVAC_Ductless Heat Pump_Fe</v>
      </c>
      <c r="B81" t="s">
        <v>162</v>
      </c>
      <c r="C81" t="s">
        <v>163</v>
      </c>
      <c r="D81" t="s">
        <v>295</v>
      </c>
      <c r="E81" s="102" t="s">
        <v>251</v>
      </c>
      <c r="F81" s="106">
        <v>1.8799999999999997E-2</v>
      </c>
      <c r="H81" s="12" t="s">
        <v>236</v>
      </c>
      <c r="I81" s="12" t="s">
        <v>237</v>
      </c>
      <c r="J81" s="12" t="b">
        <f t="shared" ref="J81:J213" si="20">_xlfn.ISFORMULA(F81)</f>
        <v>0</v>
      </c>
    </row>
    <row r="82" spans="1:10" x14ac:dyDescent="0.25">
      <c r="A82" s="12" t="str">
        <f t="shared" si="17"/>
        <v>Residential_HVAC_Ductless Heat Pump_1000000</v>
      </c>
      <c r="B82" t="s">
        <v>162</v>
      </c>
      <c r="C82" t="s">
        <v>163</v>
      </c>
      <c r="D82" t="s">
        <v>295</v>
      </c>
      <c r="E82" s="102">
        <v>1000000</v>
      </c>
      <c r="F82" s="105">
        <v>1000000</v>
      </c>
      <c r="H82" s="12" t="s">
        <v>236</v>
      </c>
      <c r="I82" s="12" t="s">
        <v>237</v>
      </c>
      <c r="J82" s="12" t="b">
        <f t="shared" si="20"/>
        <v>0</v>
      </c>
    </row>
    <row r="83" spans="1:10" x14ac:dyDescent="0.25">
      <c r="A83" s="12" t="str">
        <f t="shared" si="17"/>
        <v>Residential_HVAC_Ductless Heat Pump_FurnaceFanSavings</v>
      </c>
      <c r="B83" t="s">
        <v>162</v>
      </c>
      <c r="C83" t="s">
        <v>163</v>
      </c>
      <c r="D83" t="s">
        <v>295</v>
      </c>
      <c r="E83" s="114" t="s">
        <v>252</v>
      </c>
      <c r="F83" s="116" t="e">
        <f xml:space="preserve"> ( F74 * F78 / F79 * 1 / F80 * F81 ) / F82</f>
        <v>#N/A</v>
      </c>
      <c r="H83" s="12" t="s">
        <v>236</v>
      </c>
      <c r="I83" s="12" t="s">
        <v>237</v>
      </c>
      <c r="J83" s="12" t="b">
        <f t="shared" si="20"/>
        <v>1</v>
      </c>
    </row>
    <row r="84" spans="1:10" x14ac:dyDescent="0.25">
      <c r="A84" s="12" t="str">
        <f t="shared" si="17"/>
        <v>Residential_HVAC_Ductless Heat Pump_EFLHheat_DMSHP</v>
      </c>
      <c r="B84" t="s">
        <v>162</v>
      </c>
      <c r="C84" t="s">
        <v>163</v>
      </c>
      <c r="D84" t="s">
        <v>295</v>
      </c>
      <c r="E84" s="114" t="s">
        <v>300</v>
      </c>
      <c r="F84" s="221" t="e">
        <f>IF(Dashboard_FS!K16&lt;18000,INDEX('CZ Inputs'!$G:$G,MATCH(B84&amp;"_"&amp;C84&amp;"_"&amp;D84&amp;"_"&amp;"EFLHheat_DMSHP_suppl"&amp;"_"&amp;Dashboard_FS!$K$3,'CZ Inputs'!$A:$A,0)),INDEX('CZ Inputs'!$G:$G,MATCH($A84&amp;"_"&amp;Dashboard_FS!$K$3,'CZ Inputs'!$A:$A,0)))</f>
        <v>#N/A</v>
      </c>
      <c r="G84" s="12" t="s">
        <v>235</v>
      </c>
      <c r="H84" s="12" t="s">
        <v>236</v>
      </c>
      <c r="I84" s="12" t="s">
        <v>237</v>
      </c>
      <c r="J84" s="12" t="b">
        <f t="shared" si="20"/>
        <v>1</v>
      </c>
    </row>
    <row r="85" spans="1:10" x14ac:dyDescent="0.25">
      <c r="A85" s="12" t="str">
        <f t="shared" si="17"/>
        <v>Residential_HVAC_Ductless Heat Pump_Capacity_DMSHPheat</v>
      </c>
      <c r="B85" t="s">
        <v>162</v>
      </c>
      <c r="C85" t="s">
        <v>163</v>
      </c>
      <c r="D85" t="s">
        <v>295</v>
      </c>
      <c r="E85" s="114" t="s">
        <v>299</v>
      </c>
      <c r="F85" s="116">
        <f>Dashboard_FS!$K$9</f>
        <v>0</v>
      </c>
      <c r="G85" s="12" t="s">
        <v>240</v>
      </c>
      <c r="H85" s="12" t="s">
        <v>236</v>
      </c>
      <c r="I85" s="12" t="s">
        <v>237</v>
      </c>
      <c r="J85" s="12" t="b">
        <f t="shared" si="20"/>
        <v>1</v>
      </c>
    </row>
    <row r="86" spans="1:10" x14ac:dyDescent="0.25">
      <c r="A86" s="12" t="str">
        <f t="shared" ref="A86" si="21">B86&amp;"_"&amp;C86&amp;"_"&amp;D86&amp;"_"&amp;E86</f>
        <v>Residential_HVAC_Ductless Heat Pump_Heat Load Factor</v>
      </c>
      <c r="B86" t="s">
        <v>162</v>
      </c>
      <c r="C86" t="s">
        <v>163</v>
      </c>
      <c r="D86" t="s">
        <v>295</v>
      </c>
      <c r="E86" s="114" t="s">
        <v>241</v>
      </c>
      <c r="F86" s="221">
        <f>IF(Dashboard_FS!E25="Propane",IF(Dashboard_FS!$G$11="Partial",INDEX('CZ Inputs'!$G:$G,MATCH(A86&amp;"_"&amp;Dashboard_FS!$K$3,'CZ Inputs'!$A:$A,0)),1),IF(Dashboard_FS!$G$10="Partial",INDEX('CZ Inputs'!$G:$G,MATCH(A86&amp;"_"&amp;Dashboard_FS!$K$3,'CZ Inputs'!$A:$A,0)),1))</f>
        <v>1</v>
      </c>
      <c r="G86" s="12" t="s">
        <v>242</v>
      </c>
      <c r="H86" s="12" t="s">
        <v>236</v>
      </c>
      <c r="I86" s="12" t="s">
        <v>237</v>
      </c>
      <c r="J86" s="12" t="b">
        <f t="shared" ref="J86" si="22">_xlfn.ISFORMULA(F86)</f>
        <v>1</v>
      </c>
    </row>
    <row r="87" spans="1:10" x14ac:dyDescent="0.25">
      <c r="A87" s="12" t="str">
        <f t="shared" si="17"/>
        <v>Residential_HVAC_Ductless Heat Pump_HeatLoad_Disp</v>
      </c>
      <c r="B87" t="s">
        <v>162</v>
      </c>
      <c r="C87" t="s">
        <v>163</v>
      </c>
      <c r="D87" t="s">
        <v>295</v>
      </c>
      <c r="E87" s="114" t="s">
        <v>243</v>
      </c>
      <c r="F87" s="116" t="e">
        <f xml:space="preserve"> F84 * F85 * F86</f>
        <v>#N/A</v>
      </c>
      <c r="G87" s="12" t="s">
        <v>240</v>
      </c>
      <c r="H87" s="12" t="s">
        <v>236</v>
      </c>
      <c r="I87" s="12" t="s">
        <v>237</v>
      </c>
      <c r="J87" s="12" t="b">
        <f t="shared" si="20"/>
        <v>1</v>
      </c>
    </row>
    <row r="88" spans="1:10" x14ac:dyDescent="0.25">
      <c r="A88" s="12" t="str">
        <f t="shared" ref="A88" si="23">B88&amp;"_"&amp;C88&amp;"_"&amp;D88&amp;"_"&amp;E88</f>
        <v>Residential_HVAC_Ductless Heat Pump_HeatLoadFactorelec</v>
      </c>
      <c r="B88" t="s">
        <v>162</v>
      </c>
      <c r="C88" t="s">
        <v>163</v>
      </c>
      <c r="D88" t="s">
        <v>295</v>
      </c>
      <c r="E88" s="102" t="s">
        <v>301</v>
      </c>
      <c r="F88" s="105">
        <v>1</v>
      </c>
      <c r="H88" s="12" t="s">
        <v>236</v>
      </c>
      <c r="I88" s="12" t="s">
        <v>237</v>
      </c>
      <c r="J88" s="12" t="b">
        <f t="shared" ref="J88" si="24">_xlfn.ISFORMULA(F88)</f>
        <v>0</v>
      </c>
    </row>
    <row r="89" spans="1:10" x14ac:dyDescent="0.25">
      <c r="A89" s="12" t="str">
        <f t="shared" si="17"/>
        <v>Residential_HVAC_Ductless Heat Pump_HSPF2_ee</v>
      </c>
      <c r="B89" t="s">
        <v>162</v>
      </c>
      <c r="C89" t="s">
        <v>163</v>
      </c>
      <c r="D89" t="s">
        <v>295</v>
      </c>
      <c r="E89" s="114" t="s">
        <v>255</v>
      </c>
      <c r="F89" s="115">
        <f>Dashboard_FS!$K$6</f>
        <v>0</v>
      </c>
      <c r="G89" s="12" t="s">
        <v>240</v>
      </c>
      <c r="H89" s="12" t="s">
        <v>236</v>
      </c>
      <c r="I89" s="12" t="s">
        <v>237</v>
      </c>
      <c r="J89" s="12" t="b">
        <f t="shared" si="20"/>
        <v>1</v>
      </c>
    </row>
    <row r="90" spans="1:10" x14ac:dyDescent="0.25">
      <c r="A90" s="12" t="str">
        <f t="shared" si="17"/>
        <v>Residential_HVAC_Ductless Heat Pump_HSPF2_ClimateAdj</v>
      </c>
      <c r="B90" t="s">
        <v>162</v>
      </c>
      <c r="C90" t="s">
        <v>163</v>
      </c>
      <c r="D90" t="s">
        <v>295</v>
      </c>
      <c r="E90" s="114" t="s">
        <v>256</v>
      </c>
      <c r="F90" s="233" t="e">
        <f>IF(Dashboard_FS!E25="Propane",IF(Dashboard_FS!$G$11="Partial",1,INDEX('CZ Inputs'!$G:$G,MATCH(A90&amp;"_"&amp;Dashboard_FS!$K$3,'CZ Inputs'!$A:$A,0))),IF(Dashboard_FS!$G$10="Partial",1,INDEX('CZ Inputs'!$G:$G,MATCH(A90&amp;"_"&amp;Dashboard_FS!$K$3,'CZ Inputs'!$A:$A,0))))</f>
        <v>#N/A</v>
      </c>
      <c r="G90" s="12" t="s">
        <v>257</v>
      </c>
      <c r="H90" s="12" t="s">
        <v>236</v>
      </c>
      <c r="I90" s="12" t="s">
        <v>237</v>
      </c>
      <c r="J90" s="12" t="b">
        <f t="shared" si="20"/>
        <v>1</v>
      </c>
    </row>
    <row r="91" spans="1:10" x14ac:dyDescent="0.25">
      <c r="A91" s="12" t="str">
        <f t="shared" si="17"/>
        <v>Residential_HVAC_Ductless Heat Pump_PD_Adj</v>
      </c>
      <c r="B91" t="s">
        <v>162</v>
      </c>
      <c r="C91" t="s">
        <v>163</v>
      </c>
      <c r="D91" t="s">
        <v>295</v>
      </c>
      <c r="E91" s="102" t="s">
        <v>258</v>
      </c>
      <c r="F91" s="226">
        <f>IF(Dashboard_FS!E25="Propane",IF(Dashboard_FS!$G$11="Partial",INDEX('CZ Inputs'!$G:$G,MATCH(A91&amp;"_"&amp;Dashboard_FS!$K$3,'CZ Inputs'!$A:$A,0)),1),IF(Dashboard_FS!$G$10="Partial",INDEX('CZ Inputs'!$G:$G,MATCH(A91&amp;"_"&amp;Dashboard_FS!$K$3,'CZ Inputs'!$A:$A,0)),1))</f>
        <v>1</v>
      </c>
      <c r="G91" s="12" t="s">
        <v>242</v>
      </c>
      <c r="H91" s="12" t="s">
        <v>236</v>
      </c>
      <c r="I91" s="12" t="s">
        <v>237</v>
      </c>
      <c r="J91" s="12" t="b">
        <f t="shared" si="20"/>
        <v>1</v>
      </c>
    </row>
    <row r="92" spans="1:10" x14ac:dyDescent="0.25">
      <c r="A92" s="12" t="str">
        <f t="shared" si="17"/>
        <v>Residential_HVAC_Ductless Heat Pump_DeratingHeatEff</v>
      </c>
      <c r="B92" t="s">
        <v>162</v>
      </c>
      <c r="C92" t="s">
        <v>163</v>
      </c>
      <c r="D92" t="s">
        <v>295</v>
      </c>
      <c r="E92" s="102" t="s">
        <v>259</v>
      </c>
      <c r="F92" s="103">
        <v>0.1</v>
      </c>
      <c r="G92" s="12" t="s">
        <v>260</v>
      </c>
      <c r="H92" s="12" t="s">
        <v>236</v>
      </c>
      <c r="I92" s="12" t="s">
        <v>237</v>
      </c>
      <c r="J92" s="12" t="b">
        <f t="shared" si="20"/>
        <v>0</v>
      </c>
    </row>
    <row r="93" spans="1:10" x14ac:dyDescent="0.25">
      <c r="A93" s="12" t="str">
        <f t="shared" si="17"/>
        <v>Residential_HVAC_Ductless Heat Pump_1000</v>
      </c>
      <c r="B93" t="s">
        <v>162</v>
      </c>
      <c r="C93" t="s">
        <v>163</v>
      </c>
      <c r="D93" t="s">
        <v>295</v>
      </c>
      <c r="E93" s="102">
        <v>1000</v>
      </c>
      <c r="F93" s="105">
        <v>1000</v>
      </c>
      <c r="H93" s="12" t="s">
        <v>236</v>
      </c>
      <c r="I93" s="12" t="s">
        <v>237</v>
      </c>
      <c r="J93" s="12" t="b">
        <f t="shared" si="20"/>
        <v>0</v>
      </c>
    </row>
    <row r="94" spans="1:10" x14ac:dyDescent="0.25">
      <c r="A94" s="12" t="str">
        <f t="shared" si="17"/>
        <v>Residential_HVAC_Ductless Heat Pump_3412</v>
      </c>
      <c r="B94" t="s">
        <v>162</v>
      </c>
      <c r="C94" t="s">
        <v>163</v>
      </c>
      <c r="D94" t="s">
        <v>295</v>
      </c>
      <c r="E94" s="102">
        <v>3412</v>
      </c>
      <c r="F94" s="105">
        <v>3412</v>
      </c>
      <c r="H94" s="12" t="s">
        <v>236</v>
      </c>
      <c r="I94" s="12" t="s">
        <v>237</v>
      </c>
      <c r="J94" s="12" t="b">
        <f t="shared" si="20"/>
        <v>0</v>
      </c>
    </row>
    <row r="95" spans="1:10" x14ac:dyDescent="0.25">
      <c r="A95" s="12" t="str">
        <f t="shared" si="17"/>
        <v>Residential_HVAC_Ductless Heat Pump_1000000</v>
      </c>
      <c r="B95" t="s">
        <v>162</v>
      </c>
      <c r="C95" t="s">
        <v>163</v>
      </c>
      <c r="D95" t="s">
        <v>295</v>
      </c>
      <c r="E95" s="102">
        <v>1000000</v>
      </c>
      <c r="F95" s="105">
        <v>1000000</v>
      </c>
      <c r="H95" s="12" t="s">
        <v>236</v>
      </c>
      <c r="I95" s="12" t="s">
        <v>237</v>
      </c>
      <c r="J95" s="12" t="b">
        <f t="shared" si="20"/>
        <v>0</v>
      </c>
    </row>
    <row r="96" spans="1:10" x14ac:dyDescent="0.25">
      <c r="A96" s="12" t="str">
        <f t="shared" si="17"/>
        <v>Residential_HVAC_Ductless Heat Pump_DMSHPSiteHeatConsumed</v>
      </c>
      <c r="B96" t="s">
        <v>162</v>
      </c>
      <c r="C96" t="s">
        <v>163</v>
      </c>
      <c r="D96" t="s">
        <v>295</v>
      </c>
      <c r="E96" s="114" t="s">
        <v>302</v>
      </c>
      <c r="F96" s="116" t="e">
        <f xml:space="preserve"> -((F87 * (1/(F89 * F90 * F91 * (1 - F92)))) /F93 * F94)/ F95</f>
        <v>#N/A</v>
      </c>
      <c r="H96" s="12" t="s">
        <v>236</v>
      </c>
      <c r="I96" s="12" t="s">
        <v>237</v>
      </c>
      <c r="J96" s="12" t="b">
        <f t="shared" si="20"/>
        <v>1</v>
      </c>
    </row>
    <row r="97" spans="1:10" x14ac:dyDescent="0.25">
      <c r="A97" s="12" t="str">
        <f t="shared" si="17"/>
        <v>Residential_HVAC_Ductless Heat Pump_EFLHcool</v>
      </c>
      <c r="B97" t="s">
        <v>162</v>
      </c>
      <c r="C97" t="s">
        <v>163</v>
      </c>
      <c r="D97" t="s">
        <v>295</v>
      </c>
      <c r="E97" s="114" t="s">
        <v>303</v>
      </c>
      <c r="F97" s="221" t="e">
        <f>IF(Dashboard_FS!K9&lt;18000,IF(Dashboard_FS!K20="Yes",INDEX('CZ Inputs'!$G:$G,MATCH(B97&amp;"_"&amp;C97&amp;"_"&amp;D97&amp;"_"&amp;"EFLHcool_suppl_IQ"&amp;"_"&amp;Dashboard_FS!$K$3,'CZ Inputs'!$A:$A,0)),INDEX('CZ Inputs'!$G:$G,MATCH(B97&amp;"_"&amp;C97&amp;"_"&amp;D97&amp;"_"&amp;"EFLHcool_suppl_non-IQ"&amp;"_"&amp;Dashboard_FS!$K$3,'CZ Inputs'!$A:$A,0))),INDEX('CZ Inputs'!$G:$G,MATCH($A97&amp;"_"&amp;Dashboard_FS!$K$3,'CZ Inputs'!$A:$A,0)))</f>
        <v>#N/A</v>
      </c>
      <c r="G97" s="12" t="s">
        <v>235</v>
      </c>
      <c r="H97" s="12" t="s">
        <v>236</v>
      </c>
      <c r="I97" s="12" t="s">
        <v>237</v>
      </c>
      <c r="J97" s="12" t="b">
        <f t="shared" si="20"/>
        <v>1</v>
      </c>
    </row>
    <row r="98" spans="1:10" x14ac:dyDescent="0.25">
      <c r="A98" s="12" t="str">
        <f t="shared" si="17"/>
        <v>Residential_HVAC_Ductless Heat Pump_Capacity_DMSHPcool</v>
      </c>
      <c r="B98" t="s">
        <v>162</v>
      </c>
      <c r="C98" t="s">
        <v>163</v>
      </c>
      <c r="D98" t="s">
        <v>295</v>
      </c>
      <c r="E98" s="114" t="s">
        <v>304</v>
      </c>
      <c r="F98" s="115">
        <f>Dashboard_FS!$K$16</f>
        <v>0</v>
      </c>
      <c r="G98" s="12" t="s">
        <v>273</v>
      </c>
      <c r="H98" s="12" t="s">
        <v>236</v>
      </c>
      <c r="I98" s="12" t="s">
        <v>237</v>
      </c>
      <c r="J98" s="12" t="b">
        <f t="shared" si="20"/>
        <v>1</v>
      </c>
    </row>
    <row r="99" spans="1:10" x14ac:dyDescent="0.25">
      <c r="A99" s="12" t="str">
        <f t="shared" si="17"/>
        <v>Residential_HVAC_Ductless Heat Pump_CoolingLoad</v>
      </c>
      <c r="B99" t="s">
        <v>162</v>
      </c>
      <c r="C99" t="s">
        <v>163</v>
      </c>
      <c r="D99" t="s">
        <v>295</v>
      </c>
      <c r="E99" s="114" t="s">
        <v>264</v>
      </c>
      <c r="F99" s="115" t="e">
        <f>F97*F98</f>
        <v>#N/A</v>
      </c>
      <c r="H99" s="12" t="s">
        <v>236</v>
      </c>
      <c r="I99" s="12" t="s">
        <v>237</v>
      </c>
      <c r="J99" s="12" t="b">
        <f t="shared" si="20"/>
        <v>1</v>
      </c>
    </row>
    <row r="100" spans="1:10" x14ac:dyDescent="0.25">
      <c r="A100" s="12" t="str">
        <f t="shared" ref="A100" si="25">B100&amp;"_"&amp;C100&amp;"_"&amp;D100&amp;"_"&amp;E100</f>
        <v>Residential_HVAC_Ductless Heat Pump_DuctlessSave</v>
      </c>
      <c r="B100" t="s">
        <v>162</v>
      </c>
      <c r="C100" t="s">
        <v>163</v>
      </c>
      <c r="D100" t="s">
        <v>295</v>
      </c>
      <c r="E100" s="102" t="s">
        <v>244</v>
      </c>
      <c r="F100" s="105">
        <v>1</v>
      </c>
      <c r="G100" s="12" t="s">
        <v>297</v>
      </c>
      <c r="H100" s="12" t="s">
        <v>236</v>
      </c>
      <c r="I100" s="12" t="s">
        <v>237</v>
      </c>
      <c r="J100" s="12" t="b">
        <f t="shared" ref="J100" si="26">_xlfn.ISFORMULA(F100)</f>
        <v>0</v>
      </c>
    </row>
    <row r="101" spans="1:10" x14ac:dyDescent="0.25">
      <c r="A101" s="12" t="str">
        <f t="shared" si="17"/>
        <v>Residential_HVAC_Ductless Heat Pump_SEER2_base</v>
      </c>
      <c r="B101" t="s">
        <v>162</v>
      </c>
      <c r="C101" t="s">
        <v>163</v>
      </c>
      <c r="D101" t="s">
        <v>295</v>
      </c>
      <c r="E101" s="114" t="s">
        <v>265</v>
      </c>
      <c r="F101" s="115">
        <f>Dashboard_FS!$K$15</f>
        <v>0</v>
      </c>
      <c r="G101" s="12" t="s">
        <v>240</v>
      </c>
      <c r="H101" s="12" t="s">
        <v>236</v>
      </c>
      <c r="I101" s="12" t="s">
        <v>237</v>
      </c>
      <c r="J101" s="12" t="b">
        <f t="shared" si="20"/>
        <v>1</v>
      </c>
    </row>
    <row r="102" spans="1:10" x14ac:dyDescent="0.25">
      <c r="A102" s="12" t="str">
        <f t="shared" ref="A102" si="27">B102&amp;"_"&amp;C102&amp;"_"&amp;D102&amp;"_"&amp;E102</f>
        <v>Residential_HVAC_Ductless Heat Pump_DeratingCoolBase</v>
      </c>
      <c r="B102" t="s">
        <v>162</v>
      </c>
      <c r="C102" t="s">
        <v>163</v>
      </c>
      <c r="D102" t="s">
        <v>295</v>
      </c>
      <c r="E102" s="102" t="s">
        <v>266</v>
      </c>
      <c r="F102" s="103">
        <v>0.1</v>
      </c>
      <c r="H102" s="12" t="s">
        <v>236</v>
      </c>
      <c r="I102" s="12" t="s">
        <v>237</v>
      </c>
      <c r="J102" s="12" t="b">
        <f t="shared" ref="J102" si="28">_xlfn.ISFORMULA(F102)</f>
        <v>0</v>
      </c>
    </row>
    <row r="103" spans="1:10" x14ac:dyDescent="0.25">
      <c r="A103" s="12" t="str">
        <f t="shared" si="17"/>
        <v>Residential_HVAC_Ductless Heat Pump_SEER2_ee</v>
      </c>
      <c r="B103" t="s">
        <v>162</v>
      </c>
      <c r="C103" t="s">
        <v>163</v>
      </c>
      <c r="D103" t="s">
        <v>295</v>
      </c>
      <c r="E103" s="114" t="s">
        <v>267</v>
      </c>
      <c r="F103" s="115">
        <f>Dashboard_FS!$K$14</f>
        <v>0</v>
      </c>
      <c r="G103" s="12" t="s">
        <v>240</v>
      </c>
      <c r="H103" s="12" t="s">
        <v>236</v>
      </c>
      <c r="I103" s="12" t="s">
        <v>237</v>
      </c>
      <c r="J103" s="12" t="b">
        <f t="shared" si="20"/>
        <v>1</v>
      </c>
    </row>
    <row r="104" spans="1:10" x14ac:dyDescent="0.25">
      <c r="A104" s="12" t="str">
        <f t="shared" ref="A104" si="29">B104&amp;"_"&amp;C104&amp;"_"&amp;D104&amp;"_"&amp;E104</f>
        <v>Residential_HVAC_Ductless Heat Pump_DeratingCoolEff</v>
      </c>
      <c r="B104" t="s">
        <v>162</v>
      </c>
      <c r="C104" t="s">
        <v>163</v>
      </c>
      <c r="D104" t="s">
        <v>295</v>
      </c>
      <c r="E104" s="102" t="s">
        <v>268</v>
      </c>
      <c r="F104" s="103">
        <v>0.1</v>
      </c>
      <c r="G104" s="12" t="s">
        <v>260</v>
      </c>
      <c r="H104" s="12" t="s">
        <v>236</v>
      </c>
      <c r="I104" s="12" t="s">
        <v>237</v>
      </c>
      <c r="J104" s="12" t="b">
        <f t="shared" ref="J104" si="30">_xlfn.ISFORMULA(F104)</f>
        <v>0</v>
      </c>
    </row>
    <row r="105" spans="1:10" x14ac:dyDescent="0.25">
      <c r="A105" s="12" t="str">
        <f t="shared" si="17"/>
        <v>Residential_HVAC_Ductless Heat Pump_1000</v>
      </c>
      <c r="B105" t="s">
        <v>162</v>
      </c>
      <c r="C105" t="s">
        <v>163</v>
      </c>
      <c r="D105" t="s">
        <v>295</v>
      </c>
      <c r="E105" s="102">
        <v>1000</v>
      </c>
      <c r="F105" s="105">
        <v>1000</v>
      </c>
      <c r="H105" s="12" t="s">
        <v>236</v>
      </c>
      <c r="I105" s="12" t="s">
        <v>237</v>
      </c>
      <c r="J105" s="12" t="b">
        <f t="shared" si="20"/>
        <v>0</v>
      </c>
    </row>
    <row r="106" spans="1:10" x14ac:dyDescent="0.25">
      <c r="A106" s="12" t="str">
        <f t="shared" si="17"/>
        <v>Residential_HVAC_Ductless Heat Pump_3412</v>
      </c>
      <c r="B106" t="s">
        <v>162</v>
      </c>
      <c r="C106" t="s">
        <v>163</v>
      </c>
      <c r="D106" t="s">
        <v>295</v>
      </c>
      <c r="E106" s="102">
        <v>3412</v>
      </c>
      <c r="F106" s="105">
        <v>3412</v>
      </c>
      <c r="H106" s="12" t="s">
        <v>236</v>
      </c>
      <c r="I106" s="12" t="s">
        <v>237</v>
      </c>
      <c r="J106" s="12" t="b">
        <f t="shared" si="20"/>
        <v>0</v>
      </c>
    </row>
    <row r="107" spans="1:10" x14ac:dyDescent="0.25">
      <c r="A107" s="12" t="str">
        <f t="shared" si="17"/>
        <v>Residential_HVAC_Ductless Heat Pump_1000000</v>
      </c>
      <c r="B107" t="s">
        <v>162</v>
      </c>
      <c r="C107" t="s">
        <v>163</v>
      </c>
      <c r="D107" t="s">
        <v>295</v>
      </c>
      <c r="E107" s="102">
        <v>1000000</v>
      </c>
      <c r="F107" s="105">
        <v>1000000</v>
      </c>
      <c r="H107" s="12" t="s">
        <v>236</v>
      </c>
      <c r="I107" s="12" t="s">
        <v>237</v>
      </c>
      <c r="J107" s="12" t="b">
        <f t="shared" si="20"/>
        <v>0</v>
      </c>
    </row>
    <row r="108" spans="1:10" x14ac:dyDescent="0.25">
      <c r="A108" s="12" t="str">
        <f t="shared" si="17"/>
        <v>Residential_HVAC_Ductless Heat Pump_DMSHPSiteCoolingImpact</v>
      </c>
      <c r="B108" t="s">
        <v>162</v>
      </c>
      <c r="C108" t="s">
        <v>163</v>
      </c>
      <c r="D108" t="s">
        <v>295</v>
      </c>
      <c r="E108" s="114" t="s">
        <v>305</v>
      </c>
      <c r="F108" s="119" t="e">
        <f xml:space="preserve"> (( F99 / F100 * (IF(Dashboard_FS!$K$17="Yes",1/(F101 * (1 - F102)),0) - 1/( F103 * (1 - F104 ))))/ F105 * F106 ) / F107</f>
        <v>#N/A</v>
      </c>
      <c r="G108" s="12" t="s">
        <v>306</v>
      </c>
      <c r="H108" s="12" t="s">
        <v>236</v>
      </c>
      <c r="I108" s="12" t="s">
        <v>237</v>
      </c>
      <c r="J108" s="12" t="b">
        <f t="shared" si="20"/>
        <v>1</v>
      </c>
    </row>
    <row r="109" spans="1:10" x14ac:dyDescent="0.25">
      <c r="A109" s="12" t="str">
        <f t="shared" si="17"/>
        <v>Residential_HVAC_Ductless Heat Pump_SiteEnergySavings (MMBTUs)</v>
      </c>
      <c r="B109" t="s">
        <v>162</v>
      </c>
      <c r="C109" t="s">
        <v>163</v>
      </c>
      <c r="D109" t="s">
        <v>295</v>
      </c>
      <c r="E109" s="117" t="s">
        <v>271</v>
      </c>
      <c r="F109" s="116" t="e">
        <f xml:space="preserve"> F73 + F83 + F96 + F108</f>
        <v>#N/A</v>
      </c>
      <c r="H109" s="12" t="s">
        <v>236</v>
      </c>
      <c r="I109" s="12" t="s">
        <v>237</v>
      </c>
      <c r="J109" s="12" t="b">
        <f t="shared" si="20"/>
        <v>1</v>
      </c>
    </row>
    <row r="110" spans="1:10" x14ac:dyDescent="0.25">
      <c r="A110" s="12" t="str">
        <f t="shared" si="17"/>
        <v>Residential_HVAC_Ductless Heat Pump_Capacitycool</v>
      </c>
      <c r="B110" t="s">
        <v>162</v>
      </c>
      <c r="C110" t="s">
        <v>163</v>
      </c>
      <c r="D110" t="s">
        <v>295</v>
      </c>
      <c r="E110" s="102" t="s">
        <v>307</v>
      </c>
      <c r="F110" s="105">
        <v>36000</v>
      </c>
      <c r="G110" s="12" t="s">
        <v>273</v>
      </c>
      <c r="H110" s="12" t="s">
        <v>236</v>
      </c>
      <c r="I110" s="12" t="s">
        <v>237</v>
      </c>
      <c r="J110" s="12" t="b">
        <f t="shared" si="20"/>
        <v>0</v>
      </c>
    </row>
    <row r="111" spans="1:10" x14ac:dyDescent="0.25">
      <c r="A111" s="12" t="str">
        <f t="shared" si="17"/>
        <v>Residential_HVAC_Ductless Heat Pump_EER_base</v>
      </c>
      <c r="B111" t="s">
        <v>162</v>
      </c>
      <c r="C111" t="s">
        <v>163</v>
      </c>
      <c r="D111" t="s">
        <v>295</v>
      </c>
      <c r="E111" s="102" t="s">
        <v>274</v>
      </c>
      <c r="F111" s="105">
        <v>10.5</v>
      </c>
      <c r="G111" s="12" t="s">
        <v>275</v>
      </c>
      <c r="H111" s="12" t="s">
        <v>236</v>
      </c>
      <c r="I111" s="12" t="s">
        <v>237</v>
      </c>
      <c r="J111" s="12" t="b">
        <f t="shared" si="20"/>
        <v>0</v>
      </c>
    </row>
    <row r="112" spans="1:10" x14ac:dyDescent="0.25">
      <c r="A112" s="12" t="str">
        <f t="shared" si="17"/>
        <v>Residential_HVAC_Ductless Heat Pump_EER_ee</v>
      </c>
      <c r="B112" t="s">
        <v>162</v>
      </c>
      <c r="C112" t="s">
        <v>163</v>
      </c>
      <c r="D112" t="s">
        <v>295</v>
      </c>
      <c r="E112" s="102" t="s">
        <v>276</v>
      </c>
      <c r="F112" s="105">
        <v>12.5</v>
      </c>
      <c r="H112" s="12" t="s">
        <v>236</v>
      </c>
      <c r="I112" s="12" t="s">
        <v>237</v>
      </c>
      <c r="J112" s="12" t="b">
        <f t="shared" si="20"/>
        <v>0</v>
      </c>
    </row>
    <row r="113" spans="1:10" x14ac:dyDescent="0.25">
      <c r="A113" s="12" t="str">
        <f t="shared" si="17"/>
        <v>Residential_HVAC_Ductless Heat Pump_1000</v>
      </c>
      <c r="B113" t="s">
        <v>162</v>
      </c>
      <c r="C113" t="s">
        <v>163</v>
      </c>
      <c r="D113" t="s">
        <v>295</v>
      </c>
      <c r="E113" s="102">
        <v>1000</v>
      </c>
      <c r="F113" s="105">
        <v>1000</v>
      </c>
      <c r="H113" s="12" t="s">
        <v>236</v>
      </c>
      <c r="I113" s="12" t="s">
        <v>237</v>
      </c>
      <c r="J113" s="12" t="b">
        <f t="shared" si="20"/>
        <v>0</v>
      </c>
    </row>
    <row r="114" spans="1:10" x14ac:dyDescent="0.25">
      <c r="A114" s="12" t="str">
        <f t="shared" si="17"/>
        <v>Residential_HVAC_Ductless Heat Pump_CF</v>
      </c>
      <c r="B114" t="s">
        <v>162</v>
      </c>
      <c r="C114" t="s">
        <v>163</v>
      </c>
      <c r="D114" t="s">
        <v>295</v>
      </c>
      <c r="E114" s="102" t="s">
        <v>277</v>
      </c>
      <c r="F114" s="105">
        <v>0.72</v>
      </c>
      <c r="G114" s="12" t="s">
        <v>278</v>
      </c>
      <c r="H114" s="12" t="s">
        <v>236</v>
      </c>
      <c r="I114" s="12" t="s">
        <v>237</v>
      </c>
      <c r="J114" s="12" t="b">
        <f t="shared" si="20"/>
        <v>0</v>
      </c>
    </row>
    <row r="115" spans="1:10" x14ac:dyDescent="0.25">
      <c r="A115" s="12" t="str">
        <f t="shared" si="17"/>
        <v>Residential_HVAC_Ductless Heat Pump_Delta_kW</v>
      </c>
      <c r="B115" t="s">
        <v>162</v>
      </c>
      <c r="C115" t="s">
        <v>163</v>
      </c>
      <c r="D115" t="s">
        <v>295</v>
      </c>
      <c r="E115" s="114" t="s">
        <v>279</v>
      </c>
      <c r="F115" s="116">
        <f>((F110 * (1/F111 - 1/F112)) / F113) * F114</f>
        <v>0.39497142857142842</v>
      </c>
      <c r="H115" s="12" t="s">
        <v>236</v>
      </c>
      <c r="I115" s="12" t="s">
        <v>237</v>
      </c>
      <c r="J115" s="12" t="b">
        <f t="shared" si="20"/>
        <v>1</v>
      </c>
    </row>
    <row r="116" spans="1:10" x14ac:dyDescent="0.25">
      <c r="A116" s="12" t="str">
        <f t="shared" si="17"/>
        <v>Residential_HVAC_Ductless Heat Pump_kWh Saved per Unit</v>
      </c>
      <c r="B116" t="s">
        <v>162</v>
      </c>
      <c r="C116" t="s">
        <v>163</v>
      </c>
      <c r="D116" t="s">
        <v>295</v>
      </c>
      <c r="E116" s="111" t="s">
        <v>280</v>
      </c>
      <c r="F116" s="101" t="e">
        <f>((F83+F96+F108)*10^6)/3412</f>
        <v>#N/A</v>
      </c>
      <c r="H116" s="12" t="s">
        <v>236</v>
      </c>
      <c r="I116" s="12" t="s">
        <v>237</v>
      </c>
      <c r="J116" s="12" t="b">
        <f t="shared" si="20"/>
        <v>1</v>
      </c>
    </row>
    <row r="117" spans="1:10" x14ac:dyDescent="0.25">
      <c r="A117" s="12" t="str">
        <f t="shared" si="17"/>
        <v>Residential_HVAC_Ductless Heat Pump_Coincident Peak kW Saved per Unit</v>
      </c>
      <c r="B117" t="s">
        <v>162</v>
      </c>
      <c r="C117" t="s">
        <v>163</v>
      </c>
      <c r="D117" t="s">
        <v>295</v>
      </c>
      <c r="E117" s="111" t="s">
        <v>281</v>
      </c>
      <c r="F117" s="101">
        <f>F115</f>
        <v>0.39497142857142842</v>
      </c>
      <c r="H117" s="12" t="s">
        <v>236</v>
      </c>
      <c r="I117" s="12" t="s">
        <v>237</v>
      </c>
      <c r="J117" s="12" t="b">
        <f t="shared" si="20"/>
        <v>1</v>
      </c>
    </row>
    <row r="118" spans="1:10" x14ac:dyDescent="0.25">
      <c r="A118" s="12" t="str">
        <f t="shared" si="17"/>
        <v>Residential_HVAC_Ductless Heat Pump_Propane Gal Saved per Unit</v>
      </c>
      <c r="B118" t="s">
        <v>162</v>
      </c>
      <c r="C118" t="s">
        <v>163</v>
      </c>
      <c r="D118" t="s">
        <v>295</v>
      </c>
      <c r="E118" s="111" t="s">
        <v>282</v>
      </c>
      <c r="F118" s="101" t="e">
        <f>(F73*10^6)/91333</f>
        <v>#N/A</v>
      </c>
      <c r="G118" s="12" t="s">
        <v>283</v>
      </c>
      <c r="H118" s="12" t="s">
        <v>236</v>
      </c>
      <c r="I118" s="12" t="s">
        <v>237</v>
      </c>
      <c r="J118" s="12" t="b">
        <f t="shared" si="20"/>
        <v>1</v>
      </c>
    </row>
    <row r="119" spans="1:10" x14ac:dyDescent="0.25">
      <c r="A119" s="12" t="str">
        <f t="shared" si="17"/>
        <v>Residential_HVAC_Ductless Heat Pump_Lifetime (years)</v>
      </c>
      <c r="B119" t="s">
        <v>162</v>
      </c>
      <c r="C119" t="s">
        <v>163</v>
      </c>
      <c r="D119" t="s">
        <v>295</v>
      </c>
      <c r="E119" s="111" t="s">
        <v>284</v>
      </c>
      <c r="F119" s="236">
        <f>IF(Dashboard_FS!K16&lt;18000,12,16)</f>
        <v>12</v>
      </c>
      <c r="H119" s="12" t="s">
        <v>236</v>
      </c>
      <c r="I119" s="12" t="s">
        <v>237</v>
      </c>
      <c r="J119" s="12" t="b">
        <f t="shared" si="20"/>
        <v>1</v>
      </c>
    </row>
    <row r="120" spans="1:10" x14ac:dyDescent="0.25">
      <c r="A120" s="12" t="str">
        <f t="shared" si="17"/>
        <v>Residential_HVAC_Ductless Heat Pump_Incremental Cost</v>
      </c>
      <c r="B120" t="s">
        <v>162</v>
      </c>
      <c r="C120" t="s">
        <v>163</v>
      </c>
      <c r="D120" t="s">
        <v>295</v>
      </c>
      <c r="E120" s="111" t="s">
        <v>285</v>
      </c>
      <c r="F120" s="235">
        <f>IF(Dashboard_FS!K16&lt;18000,645+IF(Dashboard_FS!E25="Propane",IF(Dashboard_FS!G11="Partial",300,2000),IF(Dashboard_FS!G10="Partial",300,2000))+150,2041*(Dashboard_FS!K16/12000))</f>
        <v>2795</v>
      </c>
      <c r="H120" s="12" t="s">
        <v>236</v>
      </c>
      <c r="I120" s="12" t="s">
        <v>237</v>
      </c>
      <c r="J120" s="12" t="b">
        <f t="shared" si="20"/>
        <v>1</v>
      </c>
    </row>
    <row r="121" spans="1:10" x14ac:dyDescent="0.25">
      <c r="A121" s="12" t="str">
        <f t="shared" si="17"/>
        <v>Residential_HVAC_Ductless Heat Pump_BTU Impact_Existing_Fossil Fuel</v>
      </c>
      <c r="B121" t="s">
        <v>162</v>
      </c>
      <c r="C121" t="s">
        <v>163</v>
      </c>
      <c r="D121" t="s">
        <v>295</v>
      </c>
      <c r="E121" s="111" t="s">
        <v>287</v>
      </c>
      <c r="F121" s="99" t="e">
        <f>-F73*10^6</f>
        <v>#N/A</v>
      </c>
      <c r="G121" s="237"/>
      <c r="H121" s="12" t="s">
        <v>236</v>
      </c>
      <c r="I121" s="12" t="s">
        <v>237</v>
      </c>
      <c r="J121" s="12" t="b">
        <f t="shared" si="20"/>
        <v>1</v>
      </c>
    </row>
    <row r="122" spans="1:10" x14ac:dyDescent="0.25">
      <c r="A122" s="12" t="str">
        <f t="shared" si="17"/>
        <v>Residential_HVAC_Ductless Heat Pump_BTU Impact_Existing_Winter Electricity</v>
      </c>
      <c r="B122" t="s">
        <v>162</v>
      </c>
      <c r="C122" t="s">
        <v>163</v>
      </c>
      <c r="D122" t="s">
        <v>295</v>
      </c>
      <c r="E122" s="111" t="s">
        <v>288</v>
      </c>
      <c r="F122" s="99" t="e">
        <f>-F83*10^6</f>
        <v>#N/A</v>
      </c>
      <c r="H122" s="12" t="s">
        <v>236</v>
      </c>
      <c r="I122" s="12" t="s">
        <v>237</v>
      </c>
      <c r="J122" s="12" t="b">
        <f t="shared" si="20"/>
        <v>1</v>
      </c>
    </row>
    <row r="123" spans="1:10" x14ac:dyDescent="0.25">
      <c r="A123" s="12" t="str">
        <f t="shared" si="17"/>
        <v>Residential_HVAC_Ductless Heat Pump_BTU Impact_Existing_Summer Electricity</v>
      </c>
      <c r="B123" t="s">
        <v>162</v>
      </c>
      <c r="C123" t="s">
        <v>163</v>
      </c>
      <c r="D123" t="s">
        <v>295</v>
      </c>
      <c r="E123" s="111" t="s">
        <v>289</v>
      </c>
      <c r="F123" s="99" t="e">
        <f xml:space="preserve"> -(((F99 / F100 * (IF(Dashboard_FS!$K$17="Yes",1/F101,0) - 0))/F105 * F106) / F107)*10^6</f>
        <v>#N/A</v>
      </c>
      <c r="H123" s="12" t="s">
        <v>236</v>
      </c>
      <c r="I123" s="12" t="s">
        <v>237</v>
      </c>
      <c r="J123" s="12" t="b">
        <f t="shared" si="20"/>
        <v>1</v>
      </c>
    </row>
    <row r="124" spans="1:10" x14ac:dyDescent="0.25">
      <c r="A124" s="12" t="str">
        <f t="shared" si="17"/>
        <v>Residential_HVAC_Ductless Heat Pump_BTU Impact_New_Fossil Fuel</v>
      </c>
      <c r="B124" t="s">
        <v>162</v>
      </c>
      <c r="C124" t="s">
        <v>163</v>
      </c>
      <c r="D124" t="s">
        <v>295</v>
      </c>
      <c r="E124" s="111" t="s">
        <v>290</v>
      </c>
      <c r="F124" s="99">
        <v>0</v>
      </c>
      <c r="H124" s="12" t="s">
        <v>236</v>
      </c>
      <c r="I124" s="12" t="s">
        <v>237</v>
      </c>
      <c r="J124" s="12" t="b">
        <f t="shared" si="20"/>
        <v>0</v>
      </c>
    </row>
    <row r="125" spans="1:10" x14ac:dyDescent="0.25">
      <c r="A125" s="12" t="str">
        <f t="shared" si="17"/>
        <v>Residential_HVAC_Ductless Heat Pump_BTU Impact_New_Winter Electricity</v>
      </c>
      <c r="B125" t="s">
        <v>162</v>
      </c>
      <c r="C125" t="s">
        <v>163</v>
      </c>
      <c r="D125" t="s">
        <v>295</v>
      </c>
      <c r="E125" s="111" t="s">
        <v>291</v>
      </c>
      <c r="F125" s="99" t="e">
        <f>-F96*10^6</f>
        <v>#N/A</v>
      </c>
      <c r="H125" s="12" t="s">
        <v>236</v>
      </c>
      <c r="I125" s="12" t="s">
        <v>237</v>
      </c>
      <c r="J125" s="12" t="b">
        <f t="shared" si="20"/>
        <v>1</v>
      </c>
    </row>
    <row r="126" spans="1:10" x14ac:dyDescent="0.25">
      <c r="A126" s="12" t="str">
        <f t="shared" si="17"/>
        <v>Residential_HVAC_Ductless Heat Pump_BTU Impact_New_Summer Electricity</v>
      </c>
      <c r="B126" t="s">
        <v>162</v>
      </c>
      <c r="C126" t="s">
        <v>163</v>
      </c>
      <c r="D126" t="s">
        <v>295</v>
      </c>
      <c r="E126" s="111" t="s">
        <v>292</v>
      </c>
      <c r="F126" s="99" t="e">
        <f xml:space="preserve"> -(((F99 / F100 * (0 - 1/F103))/F105 * F106) / F107)*10^6</f>
        <v>#N/A</v>
      </c>
      <c r="H126" s="12" t="s">
        <v>236</v>
      </c>
      <c r="I126" s="12" t="s">
        <v>237</v>
      </c>
      <c r="J126" s="12" t="b">
        <f t="shared" si="20"/>
        <v>1</v>
      </c>
    </row>
    <row r="127" spans="1:10" x14ac:dyDescent="0.25">
      <c r="A127" s="12" t="str">
        <f t="shared" si="17"/>
        <v>Residential_HVAC_Ductless Heat Pump_</v>
      </c>
      <c r="B127" t="s">
        <v>162</v>
      </c>
      <c r="C127" t="s">
        <v>163</v>
      </c>
      <c r="D127" t="s">
        <v>295</v>
      </c>
      <c r="J127" s="12" t="b">
        <f t="shared" si="20"/>
        <v>0</v>
      </c>
    </row>
    <row r="128" spans="1:10" x14ac:dyDescent="0.25">
      <c r="A128" s="12" t="str">
        <f>B128&amp;"_"&amp;C128&amp;"_"&amp;D128&amp;"_"&amp;E128</f>
        <v>Residential_HVAC_Furnace_EFLH</v>
      </c>
      <c r="B128" t="s">
        <v>162</v>
      </c>
      <c r="C128" t="s">
        <v>163</v>
      </c>
      <c r="D128" t="s">
        <v>54</v>
      </c>
      <c r="E128" s="114" t="s">
        <v>234</v>
      </c>
      <c r="F128" s="115" t="e">
        <f>INDEX('CZ Inputs'!$G:$G,MATCH($A128&amp;"_"&amp;Dashboard_FS!$K$3,'CZ Inputs'!$A:$A,0))</f>
        <v>#N/A</v>
      </c>
      <c r="G128" s="12" t="s">
        <v>235</v>
      </c>
      <c r="H128" s="12" t="s">
        <v>308</v>
      </c>
      <c r="I128" s="12" t="s">
        <v>309</v>
      </c>
      <c r="J128" s="12" t="b">
        <f>_xlfn.ISFORMULA(F128)</f>
        <v>1</v>
      </c>
    </row>
    <row r="129" spans="1:10" x14ac:dyDescent="0.25">
      <c r="A129" s="12" t="str">
        <f t="shared" ref="A129:A192" si="31">B129&amp;"_"&amp;C129&amp;"_"&amp;D129&amp;"_"&amp;E129</f>
        <v>Residential_HVAC_Ground Source Heat Pump_Capacity_ASHPheat (Btuh_Existing)</v>
      </c>
      <c r="B129" t="s">
        <v>162</v>
      </c>
      <c r="C129" t="s">
        <v>163</v>
      </c>
      <c r="D129" t="s">
        <v>207</v>
      </c>
      <c r="E129" s="114" t="s">
        <v>239</v>
      </c>
      <c r="F129" s="115">
        <f>Dashboard_FS!$K$10</f>
        <v>0</v>
      </c>
      <c r="G129" s="12" t="s">
        <v>240</v>
      </c>
      <c r="H129" s="12" t="s">
        <v>308</v>
      </c>
      <c r="I129" s="12" t="s">
        <v>309</v>
      </c>
      <c r="J129" s="12" t="b">
        <f t="shared" ref="J129:J192" si="32">_xlfn.ISFORMULA(F129)</f>
        <v>1</v>
      </c>
    </row>
    <row r="130" spans="1:10" x14ac:dyDescent="0.25">
      <c r="A130" s="12" t="str">
        <f t="shared" si="31"/>
        <v>Residential_HVAC_Ground Source Heat Pump_HeatLoad</v>
      </c>
      <c r="B130" t="s">
        <v>162</v>
      </c>
      <c r="C130" t="s">
        <v>163</v>
      </c>
      <c r="D130" t="s">
        <v>207</v>
      </c>
      <c r="E130" s="114" t="s">
        <v>310</v>
      </c>
      <c r="F130" s="115" t="e">
        <f xml:space="preserve"> F128 * F129</f>
        <v>#N/A</v>
      </c>
      <c r="H130" s="12" t="s">
        <v>308</v>
      </c>
      <c r="I130" s="12" t="s">
        <v>309</v>
      </c>
      <c r="J130" s="12" t="b">
        <f t="shared" si="32"/>
        <v>1</v>
      </c>
    </row>
    <row r="131" spans="1:10" x14ac:dyDescent="0.25">
      <c r="A131" s="12" t="str">
        <f t="shared" si="31"/>
        <v>Residential_HVAC_Ground Source Heat Pump_AFUEbase</v>
      </c>
      <c r="B131" t="s">
        <v>162</v>
      </c>
      <c r="C131" t="s">
        <v>163</v>
      </c>
      <c r="D131" t="s">
        <v>207</v>
      </c>
      <c r="E131" s="114" t="s">
        <v>246</v>
      </c>
      <c r="F131" s="115">
        <f>Dashboard_FS!$K$8</f>
        <v>0</v>
      </c>
      <c r="G131" s="12" t="s">
        <v>240</v>
      </c>
      <c r="H131" s="12" t="s">
        <v>308</v>
      </c>
      <c r="I131" s="12" t="s">
        <v>309</v>
      </c>
      <c r="J131" s="12" t="b">
        <f t="shared" si="32"/>
        <v>1</v>
      </c>
    </row>
    <row r="132" spans="1:10" x14ac:dyDescent="0.25">
      <c r="A132" s="12" t="str">
        <f t="shared" si="31"/>
        <v>Residential_HVAC_Ground Source Heat Pump_1000000</v>
      </c>
      <c r="B132" t="s">
        <v>162</v>
      </c>
      <c r="C132" t="s">
        <v>163</v>
      </c>
      <c r="D132" t="s">
        <v>207</v>
      </c>
      <c r="E132" s="102">
        <v>1000000</v>
      </c>
      <c r="F132" s="103">
        <v>1000000</v>
      </c>
      <c r="H132" s="12" t="s">
        <v>308</v>
      </c>
      <c r="I132" s="12" t="s">
        <v>309</v>
      </c>
      <c r="J132" s="12" t="b">
        <f t="shared" si="32"/>
        <v>0</v>
      </c>
    </row>
    <row r="133" spans="1:10" x14ac:dyDescent="0.25">
      <c r="A133" s="12" t="str">
        <f t="shared" si="31"/>
        <v>Residential_HVAC_Ground Source Heat Pump_GasHeatReplaced</v>
      </c>
      <c r="B133" t="s">
        <v>162</v>
      </c>
      <c r="C133" t="s">
        <v>163</v>
      </c>
      <c r="D133" t="s">
        <v>207</v>
      </c>
      <c r="E133" s="114" t="s">
        <v>247</v>
      </c>
      <c r="F133" s="115" t="e">
        <f xml:space="preserve"> ( F130 * 1 / F131 ) / F132</f>
        <v>#N/A</v>
      </c>
      <c r="H133" s="12" t="s">
        <v>308</v>
      </c>
      <c r="I133" s="12" t="s">
        <v>309</v>
      </c>
      <c r="J133" s="12" t="b">
        <f t="shared" si="32"/>
        <v>1</v>
      </c>
    </row>
    <row r="134" spans="1:10" x14ac:dyDescent="0.25">
      <c r="A134" s="12" t="str">
        <f t="shared" si="31"/>
        <v>Residential_HVAC_Ground Source Heat Pump_FurnaceFlag</v>
      </c>
      <c r="B134" t="s">
        <v>162</v>
      </c>
      <c r="C134" t="s">
        <v>163</v>
      </c>
      <c r="D134" t="s">
        <v>207</v>
      </c>
      <c r="E134" s="102" t="s">
        <v>248</v>
      </c>
      <c r="F134" s="103">
        <v>1</v>
      </c>
      <c r="G134" s="12" t="s">
        <v>249</v>
      </c>
      <c r="H134" s="12" t="s">
        <v>308</v>
      </c>
      <c r="I134" s="12" t="s">
        <v>309</v>
      </c>
      <c r="J134" s="12" t="b">
        <f t="shared" si="32"/>
        <v>0</v>
      </c>
    </row>
    <row r="135" spans="1:10" x14ac:dyDescent="0.25">
      <c r="A135" s="12" t="str">
        <f t="shared" si="31"/>
        <v>Residential_HVAC_Furnace_EFLH</v>
      </c>
      <c r="B135" t="s">
        <v>162</v>
      </c>
      <c r="C135" t="s">
        <v>163</v>
      </c>
      <c r="D135" t="s">
        <v>54</v>
      </c>
      <c r="E135" s="114" t="s">
        <v>234</v>
      </c>
      <c r="F135" s="115" t="e">
        <f>INDEX('CZ Inputs'!$G:$G,MATCH($A135&amp;"_"&amp;Dashboard_FS!$K$3,'CZ Inputs'!$A:$A,0))</f>
        <v>#N/A</v>
      </c>
      <c r="G135" s="12" t="s">
        <v>235</v>
      </c>
      <c r="H135" s="12" t="s">
        <v>308</v>
      </c>
      <c r="I135" s="12" t="s">
        <v>309</v>
      </c>
      <c r="J135" s="12" t="b">
        <f t="shared" si="32"/>
        <v>1</v>
      </c>
    </row>
    <row r="136" spans="1:10" x14ac:dyDescent="0.25">
      <c r="A136" s="12" t="str">
        <f t="shared" si="31"/>
        <v>Residential_HVAC_Ground Source Heat Pump_Capacity_ASHPheat</v>
      </c>
      <c r="B136" t="s">
        <v>162</v>
      </c>
      <c r="C136" t="s">
        <v>163</v>
      </c>
      <c r="D136" t="s">
        <v>207</v>
      </c>
      <c r="E136" s="114" t="s">
        <v>250</v>
      </c>
      <c r="F136" s="115">
        <f>Dashboard_FS!$K$9</f>
        <v>0</v>
      </c>
      <c r="G136" s="12" t="s">
        <v>240</v>
      </c>
      <c r="H136" s="12" t="s">
        <v>308</v>
      </c>
      <c r="I136" s="12" t="s">
        <v>309</v>
      </c>
      <c r="J136" s="12" t="b">
        <f t="shared" si="32"/>
        <v>1</v>
      </c>
    </row>
    <row r="137" spans="1:10" x14ac:dyDescent="0.25">
      <c r="A137" s="12" t="str">
        <f t="shared" si="31"/>
        <v>Residential_HVAC_Ground Source Heat Pump_HeatLoad</v>
      </c>
      <c r="B137" t="s">
        <v>162</v>
      </c>
      <c r="C137" t="s">
        <v>163</v>
      </c>
      <c r="D137" t="s">
        <v>207</v>
      </c>
      <c r="E137" s="114" t="s">
        <v>310</v>
      </c>
      <c r="F137" s="115" t="e">
        <f xml:space="preserve"> F135 * F136</f>
        <v>#N/A</v>
      </c>
      <c r="H137" s="12" t="s">
        <v>308</v>
      </c>
      <c r="I137" s="12" t="s">
        <v>309</v>
      </c>
      <c r="J137" s="12" t="b">
        <f t="shared" si="32"/>
        <v>1</v>
      </c>
    </row>
    <row r="138" spans="1:10" x14ac:dyDescent="0.25">
      <c r="A138" s="12" t="str">
        <f t="shared" si="31"/>
        <v>Residential_HVAC_Ground Source Heat Pump_AFUEbase</v>
      </c>
      <c r="B138" t="s">
        <v>162</v>
      </c>
      <c r="C138" t="s">
        <v>163</v>
      </c>
      <c r="D138" t="s">
        <v>207</v>
      </c>
      <c r="E138" s="114" t="s">
        <v>246</v>
      </c>
      <c r="F138" s="115">
        <f>Dashboard_FS!$K$8</f>
        <v>0</v>
      </c>
      <c r="G138" s="12" t="s">
        <v>240</v>
      </c>
      <c r="H138" s="12" t="s">
        <v>308</v>
      </c>
      <c r="I138" s="12" t="s">
        <v>309</v>
      </c>
      <c r="J138" s="12" t="b">
        <f t="shared" si="32"/>
        <v>1</v>
      </c>
    </row>
    <row r="139" spans="1:10" x14ac:dyDescent="0.25">
      <c r="A139" s="12" t="str">
        <f t="shared" si="31"/>
        <v>Residential_HVAC_Ground Source Heat Pump_Fe</v>
      </c>
      <c r="B139" t="s">
        <v>162</v>
      </c>
      <c r="C139" t="s">
        <v>163</v>
      </c>
      <c r="D139" t="s">
        <v>207</v>
      </c>
      <c r="E139" s="102" t="s">
        <v>251</v>
      </c>
      <c r="F139" s="103">
        <v>1.8799999999999997E-2</v>
      </c>
      <c r="H139" s="12" t="s">
        <v>308</v>
      </c>
      <c r="I139" s="12" t="s">
        <v>309</v>
      </c>
      <c r="J139" s="12" t="b">
        <f t="shared" si="32"/>
        <v>0</v>
      </c>
    </row>
    <row r="140" spans="1:10" x14ac:dyDescent="0.25">
      <c r="A140" s="12" t="str">
        <f t="shared" si="31"/>
        <v>Residential_HVAC_Ground Source Heat Pump_1000000</v>
      </c>
      <c r="B140" t="s">
        <v>162</v>
      </c>
      <c r="C140" t="s">
        <v>163</v>
      </c>
      <c r="D140" t="s">
        <v>207</v>
      </c>
      <c r="E140" s="102">
        <v>1000000</v>
      </c>
      <c r="F140" s="103">
        <v>1000000</v>
      </c>
      <c r="H140" s="12" t="s">
        <v>308</v>
      </c>
      <c r="I140" s="12" t="s">
        <v>309</v>
      </c>
      <c r="J140" s="12" t="b">
        <f t="shared" si="32"/>
        <v>0</v>
      </c>
    </row>
    <row r="141" spans="1:10" x14ac:dyDescent="0.25">
      <c r="A141" s="12" t="str">
        <f t="shared" si="31"/>
        <v>Residential_HVAC_Ground Source Heat Pump_FurnaceFanSavings</v>
      </c>
      <c r="B141" t="s">
        <v>162</v>
      </c>
      <c r="C141" t="s">
        <v>163</v>
      </c>
      <c r="D141" t="s">
        <v>207</v>
      </c>
      <c r="E141" s="114" t="s">
        <v>252</v>
      </c>
      <c r="F141" s="115" t="e">
        <f xml:space="preserve"> ( F134 * F137 * 1 / F138 * F139 ) / F140</f>
        <v>#N/A</v>
      </c>
      <c r="G141" s="12" t="s">
        <v>253</v>
      </c>
      <c r="H141" s="12" t="s">
        <v>308</v>
      </c>
      <c r="I141" s="12" t="s">
        <v>309</v>
      </c>
      <c r="J141" s="12" t="b">
        <f t="shared" si="32"/>
        <v>1</v>
      </c>
    </row>
    <row r="142" spans="1:10" x14ac:dyDescent="0.25">
      <c r="A142" s="12" t="str">
        <f t="shared" si="31"/>
        <v>Residential_HVAC_Ground Source Heat Pump_FLH_GSHPheat</v>
      </c>
      <c r="B142" t="s">
        <v>162</v>
      </c>
      <c r="C142" t="s">
        <v>163</v>
      </c>
      <c r="D142" t="s">
        <v>207</v>
      </c>
      <c r="E142" s="114" t="s">
        <v>311</v>
      </c>
      <c r="F142" s="115" t="e">
        <f>INDEX('CZ Inputs'!$G:$G,MATCH($A142&amp;"_"&amp;Dashboard_FS!$K$3,'CZ Inputs'!$A:$A,0))</f>
        <v>#N/A</v>
      </c>
      <c r="G142" s="12" t="s">
        <v>235</v>
      </c>
      <c r="H142" s="12" t="s">
        <v>308</v>
      </c>
      <c r="I142" s="12" t="s">
        <v>309</v>
      </c>
      <c r="J142" s="12" t="b">
        <f t="shared" si="32"/>
        <v>1</v>
      </c>
    </row>
    <row r="143" spans="1:10" x14ac:dyDescent="0.25">
      <c r="A143" s="12" t="str">
        <f t="shared" si="31"/>
        <v>Residential_HVAC_Ground Source Heat Pump_Capacity_GSHPheat</v>
      </c>
      <c r="B143" t="s">
        <v>162</v>
      </c>
      <c r="C143" t="s">
        <v>163</v>
      </c>
      <c r="D143" t="s">
        <v>207</v>
      </c>
      <c r="E143" s="114" t="s">
        <v>312</v>
      </c>
      <c r="F143" s="115">
        <f>Dashboard_FS!$K$9</f>
        <v>0</v>
      </c>
      <c r="G143" s="12" t="s">
        <v>240</v>
      </c>
      <c r="H143" s="12" t="s">
        <v>308</v>
      </c>
      <c r="I143" s="12" t="s">
        <v>309</v>
      </c>
      <c r="J143" s="12" t="b">
        <f t="shared" si="32"/>
        <v>1</v>
      </c>
    </row>
    <row r="144" spans="1:10" x14ac:dyDescent="0.25">
      <c r="A144" s="12" t="str">
        <f t="shared" si="31"/>
        <v>Residential_HVAC_Ground Source Heat Pump_HeatLoad</v>
      </c>
      <c r="B144" t="s">
        <v>162</v>
      </c>
      <c r="C144" t="s">
        <v>163</v>
      </c>
      <c r="D144" t="s">
        <v>207</v>
      </c>
      <c r="E144" s="114" t="s">
        <v>310</v>
      </c>
      <c r="F144" s="115" t="e">
        <f xml:space="preserve"> F142 * F143</f>
        <v>#N/A</v>
      </c>
      <c r="H144" s="12" t="s">
        <v>308</v>
      </c>
      <c r="I144" s="12" t="s">
        <v>309</v>
      </c>
      <c r="J144" s="12" t="b">
        <f t="shared" si="32"/>
        <v>1</v>
      </c>
    </row>
    <row r="145" spans="1:10" x14ac:dyDescent="0.25">
      <c r="A145" s="12" t="str">
        <f t="shared" si="31"/>
        <v>Residential_HVAC_Ground Source Heat Pump_COP_pl</v>
      </c>
      <c r="B145" t="s">
        <v>162</v>
      </c>
      <c r="C145" t="s">
        <v>163</v>
      </c>
      <c r="D145" t="s">
        <v>207</v>
      </c>
      <c r="E145" s="114" t="s">
        <v>313</v>
      </c>
      <c r="F145" s="115">
        <f>Dashboard_FS!$K$6</f>
        <v>0</v>
      </c>
      <c r="G145" s="12" t="s">
        <v>240</v>
      </c>
      <c r="H145" s="12" t="s">
        <v>308</v>
      </c>
      <c r="I145" s="12" t="s">
        <v>309</v>
      </c>
      <c r="J145" s="12" t="b">
        <f t="shared" si="32"/>
        <v>1</v>
      </c>
    </row>
    <row r="146" spans="1:10" x14ac:dyDescent="0.25">
      <c r="A146" s="12" t="str">
        <f t="shared" si="31"/>
        <v>Residential_HVAC_Ground Source Heat Pump_3.412</v>
      </c>
      <c r="B146" t="s">
        <v>162</v>
      </c>
      <c r="C146" t="s">
        <v>163</v>
      </c>
      <c r="D146" t="s">
        <v>207</v>
      </c>
      <c r="E146" s="114">
        <v>3.4119999999999999</v>
      </c>
      <c r="F146" s="118">
        <v>3.4119999999999999</v>
      </c>
      <c r="H146" s="12" t="s">
        <v>308</v>
      </c>
      <c r="I146" s="12" t="s">
        <v>309</v>
      </c>
      <c r="J146" s="12" t="b">
        <f t="shared" si="32"/>
        <v>0</v>
      </c>
    </row>
    <row r="147" spans="1:10" x14ac:dyDescent="0.25">
      <c r="A147" s="12" t="str">
        <f t="shared" si="31"/>
        <v>Residential_HVAC_Ground Source Heat Pump_1000</v>
      </c>
      <c r="B147" t="s">
        <v>162</v>
      </c>
      <c r="C147" t="s">
        <v>163</v>
      </c>
      <c r="D147" t="s">
        <v>207</v>
      </c>
      <c r="E147" s="102">
        <v>1000</v>
      </c>
      <c r="F147" s="103">
        <v>1000</v>
      </c>
      <c r="H147" s="12" t="s">
        <v>308</v>
      </c>
      <c r="I147" s="12" t="s">
        <v>309</v>
      </c>
      <c r="J147" s="12" t="b">
        <f t="shared" si="32"/>
        <v>0</v>
      </c>
    </row>
    <row r="148" spans="1:10" x14ac:dyDescent="0.25">
      <c r="A148" s="12" t="str">
        <f t="shared" si="31"/>
        <v>Residential_HVAC_Ground Source Heat Pump_3412</v>
      </c>
      <c r="B148" t="s">
        <v>162</v>
      </c>
      <c r="C148" t="s">
        <v>163</v>
      </c>
      <c r="D148" t="s">
        <v>207</v>
      </c>
      <c r="E148" s="102">
        <v>3412</v>
      </c>
      <c r="F148" s="103">
        <v>3412</v>
      </c>
      <c r="H148" s="12" t="s">
        <v>308</v>
      </c>
      <c r="I148" s="12" t="s">
        <v>309</v>
      </c>
      <c r="J148" s="12" t="b">
        <f t="shared" si="32"/>
        <v>0</v>
      </c>
    </row>
    <row r="149" spans="1:10" x14ac:dyDescent="0.25">
      <c r="A149" s="12" t="str">
        <f t="shared" si="31"/>
        <v>Residential_HVAC_Ground Source Heat Pump_1000000</v>
      </c>
      <c r="B149" t="s">
        <v>162</v>
      </c>
      <c r="C149" t="s">
        <v>163</v>
      </c>
      <c r="D149" t="s">
        <v>207</v>
      </c>
      <c r="E149" s="102">
        <v>1000000</v>
      </c>
      <c r="F149" s="103">
        <v>1000000</v>
      </c>
      <c r="H149" s="12" t="s">
        <v>308</v>
      </c>
      <c r="I149" s="12" t="s">
        <v>309</v>
      </c>
      <c r="J149" s="12" t="b">
        <f t="shared" si="32"/>
        <v>0</v>
      </c>
    </row>
    <row r="150" spans="1:10" x14ac:dyDescent="0.25">
      <c r="A150" s="12" t="str">
        <f t="shared" si="31"/>
        <v>Residential_HVAC_Ground Source Heat Pump_GSHPSiteHeatConsumed</v>
      </c>
      <c r="B150" t="s">
        <v>162</v>
      </c>
      <c r="C150" t="s">
        <v>163</v>
      </c>
      <c r="D150" t="s">
        <v>207</v>
      </c>
      <c r="E150" s="114" t="s">
        <v>314</v>
      </c>
      <c r="F150" s="115" t="e">
        <f xml:space="preserve"> - (F144 * (1/(F145 * F146))/F147) * F148 / F149</f>
        <v>#N/A</v>
      </c>
      <c r="H150" s="12" t="s">
        <v>308</v>
      </c>
      <c r="I150" s="12" t="s">
        <v>309</v>
      </c>
      <c r="J150" s="12" t="b">
        <f t="shared" si="32"/>
        <v>1</v>
      </c>
    </row>
    <row r="151" spans="1:10" x14ac:dyDescent="0.25">
      <c r="A151" s="12" t="str">
        <f t="shared" si="31"/>
        <v>Residential_HVAC_Ground Source Heat Pump_FLHcool</v>
      </c>
      <c r="B151" t="s">
        <v>162</v>
      </c>
      <c r="C151" t="s">
        <v>163</v>
      </c>
      <c r="D151" t="s">
        <v>207</v>
      </c>
      <c r="E151" s="114" t="s">
        <v>262</v>
      </c>
      <c r="F151" s="115" t="e">
        <f>INDEX('CZ Inputs'!$G:$G,MATCH($A151&amp;"_"&amp;Dashboard_FS!$K$3,'CZ Inputs'!$A:$A,0))</f>
        <v>#N/A</v>
      </c>
      <c r="G151" s="12" t="s">
        <v>235</v>
      </c>
      <c r="H151" s="12" t="s">
        <v>308</v>
      </c>
      <c r="I151" s="12" t="s">
        <v>309</v>
      </c>
      <c r="J151" s="12" t="b">
        <f t="shared" si="32"/>
        <v>1</v>
      </c>
    </row>
    <row r="152" spans="1:10" x14ac:dyDescent="0.25">
      <c r="A152" s="12" t="str">
        <f t="shared" si="31"/>
        <v>Residential_HVAC_Ground Source Heat Pump_Capacity_GSHPcool</v>
      </c>
      <c r="B152" t="s">
        <v>162</v>
      </c>
      <c r="C152" t="s">
        <v>163</v>
      </c>
      <c r="D152" t="s">
        <v>207</v>
      </c>
      <c r="E152" s="114" t="s">
        <v>315</v>
      </c>
      <c r="F152" s="115">
        <f>Dashboard_FS!$K$16</f>
        <v>0</v>
      </c>
      <c r="H152" s="12" t="s">
        <v>308</v>
      </c>
      <c r="I152" s="12" t="s">
        <v>309</v>
      </c>
      <c r="J152" s="12" t="b">
        <f t="shared" si="32"/>
        <v>1</v>
      </c>
    </row>
    <row r="153" spans="1:10" x14ac:dyDescent="0.25">
      <c r="A153" s="12" t="str">
        <f t="shared" si="31"/>
        <v>Residential_HVAC_Ground Source Heat Pump_CoolingLoad</v>
      </c>
      <c r="B153" t="s">
        <v>162</v>
      </c>
      <c r="C153" t="s">
        <v>163</v>
      </c>
      <c r="D153" t="s">
        <v>207</v>
      </c>
      <c r="E153" s="114" t="s">
        <v>264</v>
      </c>
      <c r="F153" s="115" t="e">
        <f>F151*F152</f>
        <v>#N/A</v>
      </c>
      <c r="H153" s="12" t="s">
        <v>308</v>
      </c>
      <c r="I153" s="12" t="s">
        <v>309</v>
      </c>
      <c r="J153" s="12" t="b">
        <f t="shared" si="32"/>
        <v>1</v>
      </c>
    </row>
    <row r="154" spans="1:10" x14ac:dyDescent="0.25">
      <c r="A154" s="12" t="str">
        <f t="shared" si="31"/>
        <v>Residential_HVAC_Ground Source Heat Pump_SEER2_base</v>
      </c>
      <c r="B154" t="s">
        <v>162</v>
      </c>
      <c r="C154" t="s">
        <v>163</v>
      </c>
      <c r="D154" t="s">
        <v>207</v>
      </c>
      <c r="E154" s="114" t="s">
        <v>265</v>
      </c>
      <c r="F154" s="115">
        <f>Dashboard_FS!$K$15</f>
        <v>0</v>
      </c>
      <c r="G154" s="12" t="s">
        <v>240</v>
      </c>
      <c r="H154" s="12" t="s">
        <v>308</v>
      </c>
      <c r="I154" s="12" t="s">
        <v>309</v>
      </c>
      <c r="J154" s="12" t="b">
        <f t="shared" si="32"/>
        <v>1</v>
      </c>
    </row>
    <row r="155" spans="1:10" x14ac:dyDescent="0.25">
      <c r="A155" s="12" t="str">
        <f t="shared" si="31"/>
        <v>Residential_HVAC_Ground Source Heat Pump_EER2_pl</v>
      </c>
      <c r="B155" t="s">
        <v>162</v>
      </c>
      <c r="C155" t="s">
        <v>163</v>
      </c>
      <c r="D155" t="s">
        <v>207</v>
      </c>
      <c r="E155" s="114" t="s">
        <v>316</v>
      </c>
      <c r="F155" s="115">
        <f>Dashboard_FS!$K$14</f>
        <v>0</v>
      </c>
      <c r="G155" s="12" t="s">
        <v>240</v>
      </c>
      <c r="H155" s="12" t="s">
        <v>308</v>
      </c>
      <c r="I155" s="12" t="s">
        <v>309</v>
      </c>
      <c r="J155" s="12" t="b">
        <f t="shared" si="32"/>
        <v>1</v>
      </c>
    </row>
    <row r="156" spans="1:10" x14ac:dyDescent="0.25">
      <c r="A156" s="12" t="str">
        <f t="shared" si="31"/>
        <v>Residential_HVAC_Ground Source Heat Pump_1000</v>
      </c>
      <c r="B156" t="s">
        <v>162</v>
      </c>
      <c r="C156" t="s">
        <v>163</v>
      </c>
      <c r="D156" t="s">
        <v>207</v>
      </c>
      <c r="E156" s="102">
        <v>1000</v>
      </c>
      <c r="F156" s="103">
        <v>1000</v>
      </c>
      <c r="H156" s="12" t="s">
        <v>308</v>
      </c>
      <c r="I156" s="12" t="s">
        <v>309</v>
      </c>
      <c r="J156" s="12" t="b">
        <f t="shared" si="32"/>
        <v>0</v>
      </c>
    </row>
    <row r="157" spans="1:10" x14ac:dyDescent="0.25">
      <c r="A157" s="12" t="str">
        <f t="shared" si="31"/>
        <v>Residential_HVAC_Ground Source Heat Pump_3412</v>
      </c>
      <c r="B157" t="s">
        <v>162</v>
      </c>
      <c r="C157" t="s">
        <v>163</v>
      </c>
      <c r="D157" t="s">
        <v>207</v>
      </c>
      <c r="E157" s="102">
        <v>3412</v>
      </c>
      <c r="F157" s="103">
        <v>3412</v>
      </c>
      <c r="H157" s="12" t="s">
        <v>308</v>
      </c>
      <c r="I157" s="12" t="s">
        <v>309</v>
      </c>
      <c r="J157" s="12" t="b">
        <f t="shared" si="32"/>
        <v>0</v>
      </c>
    </row>
    <row r="158" spans="1:10" x14ac:dyDescent="0.25">
      <c r="A158" s="12" t="str">
        <f t="shared" si="31"/>
        <v>Residential_HVAC_Ground Source Heat Pump_1000000</v>
      </c>
      <c r="B158" t="s">
        <v>162</v>
      </c>
      <c r="C158" t="s">
        <v>163</v>
      </c>
      <c r="D158" t="s">
        <v>207</v>
      </c>
      <c r="E158" s="102">
        <v>1000000</v>
      </c>
      <c r="F158" s="103">
        <v>1000000</v>
      </c>
      <c r="H158" s="12" t="s">
        <v>308</v>
      </c>
      <c r="I158" s="12" t="s">
        <v>309</v>
      </c>
      <c r="J158" s="12" t="b">
        <f t="shared" si="32"/>
        <v>0</v>
      </c>
    </row>
    <row r="159" spans="1:10" x14ac:dyDescent="0.25">
      <c r="A159" s="12" t="str">
        <f t="shared" si="31"/>
        <v>Residential_HVAC_Ground Source Heat Pump_GSHPSiteCoolingImpact</v>
      </c>
      <c r="B159" t="s">
        <v>162</v>
      </c>
      <c r="C159" t="s">
        <v>163</v>
      </c>
      <c r="D159" t="s">
        <v>207</v>
      </c>
      <c r="E159" s="114" t="s">
        <v>317</v>
      </c>
      <c r="F159" s="119" t="e">
        <f>(F153*((IF(Dashboard_FS!$K$17="Yes",1/F154,0)-1/F155)/F156)*F157) / F158</f>
        <v>#N/A</v>
      </c>
      <c r="H159" s="12" t="s">
        <v>308</v>
      </c>
      <c r="I159" s="12" t="s">
        <v>309</v>
      </c>
      <c r="J159" s="12" t="b">
        <f t="shared" si="32"/>
        <v>1</v>
      </c>
    </row>
    <row r="160" spans="1:10" x14ac:dyDescent="0.25">
      <c r="A160" s="12" t="str">
        <f t="shared" si="31"/>
        <v>Residential_HVAC_Ground Source Heat Pump_BTU_NewSiteCoolingImpact</v>
      </c>
      <c r="B160" t="s">
        <v>162</v>
      </c>
      <c r="C160" t="s">
        <v>163</v>
      </c>
      <c r="D160" t="s">
        <v>207</v>
      </c>
      <c r="E160" s="114" t="s">
        <v>270</v>
      </c>
      <c r="F160" s="119" t="e">
        <f xml:space="preserve"> - ((( F153 * (0 - 1 / (F155)))/ F156 * F157 ) / F158)*10^6</f>
        <v>#N/A</v>
      </c>
      <c r="H160" s="12" t="s">
        <v>308</v>
      </c>
      <c r="I160" s="12" t="s">
        <v>309</v>
      </c>
      <c r="J160" s="12" t="b">
        <f t="shared" si="32"/>
        <v>1</v>
      </c>
    </row>
    <row r="161" spans="1:10" x14ac:dyDescent="0.25">
      <c r="A161" s="12" t="str">
        <f t="shared" si="31"/>
        <v>Residential_HVAC_Ground Source Heat Pump_SiteEnergySavings (MMBTUs)</v>
      </c>
      <c r="B161" t="s">
        <v>162</v>
      </c>
      <c r="C161" t="s">
        <v>163</v>
      </c>
      <c r="D161" t="s">
        <v>207</v>
      </c>
      <c r="E161" s="117" t="s">
        <v>271</v>
      </c>
      <c r="F161" s="115" t="e">
        <f xml:space="preserve"> F133 + F141 + F150 + F159</f>
        <v>#N/A</v>
      </c>
      <c r="H161" s="12" t="s">
        <v>308</v>
      </c>
      <c r="I161" s="12" t="s">
        <v>309</v>
      </c>
      <c r="J161" s="12" t="b">
        <f t="shared" si="32"/>
        <v>1</v>
      </c>
    </row>
    <row r="162" spans="1:10" x14ac:dyDescent="0.25">
      <c r="A162" s="12" t="str">
        <f t="shared" si="31"/>
        <v>Residential_HVAC_Ground Source Heat Pump_Capacity_GSHPcool</v>
      </c>
      <c r="B162" t="s">
        <v>162</v>
      </c>
      <c r="C162" t="s">
        <v>163</v>
      </c>
      <c r="D162" t="s">
        <v>207</v>
      </c>
      <c r="E162" s="114" t="s">
        <v>315</v>
      </c>
      <c r="F162" s="115">
        <f>Dashboard_FS!$K$16</f>
        <v>0</v>
      </c>
      <c r="H162" s="12" t="s">
        <v>308</v>
      </c>
      <c r="I162" s="12" t="s">
        <v>309</v>
      </c>
      <c r="J162" s="12" t="b">
        <f t="shared" si="32"/>
        <v>1</v>
      </c>
    </row>
    <row r="163" spans="1:10" x14ac:dyDescent="0.25">
      <c r="A163" s="12" t="str">
        <f t="shared" si="31"/>
        <v>Residential_HVAC_Ground Source Heat Pump_EER2_base</v>
      </c>
      <c r="B163" t="s">
        <v>162</v>
      </c>
      <c r="C163" t="s">
        <v>163</v>
      </c>
      <c r="D163" t="s">
        <v>207</v>
      </c>
      <c r="E163" s="102" t="s">
        <v>318</v>
      </c>
      <c r="F163" s="103">
        <v>10.6</v>
      </c>
      <c r="G163" s="12" t="s">
        <v>275</v>
      </c>
      <c r="H163" s="12" t="s">
        <v>308</v>
      </c>
      <c r="I163" s="12" t="s">
        <v>309</v>
      </c>
      <c r="J163" s="12" t="b">
        <f t="shared" si="32"/>
        <v>0</v>
      </c>
    </row>
    <row r="164" spans="1:10" x14ac:dyDescent="0.25">
      <c r="A164" s="12" t="str">
        <f t="shared" si="31"/>
        <v>Residential_HVAC_Ground Source Heat Pump_EER2_pl</v>
      </c>
      <c r="B164" t="s">
        <v>162</v>
      </c>
      <c r="C164" t="s">
        <v>163</v>
      </c>
      <c r="D164" t="s">
        <v>207</v>
      </c>
      <c r="E164" s="114" t="s">
        <v>316</v>
      </c>
      <c r="F164" s="115">
        <f>Dashboard_FS!$K$14</f>
        <v>0</v>
      </c>
      <c r="G164" s="12" t="s">
        <v>240</v>
      </c>
      <c r="H164" s="12" t="s">
        <v>308</v>
      </c>
      <c r="I164" s="12" t="s">
        <v>309</v>
      </c>
      <c r="J164" s="12" t="b">
        <f t="shared" si="32"/>
        <v>1</v>
      </c>
    </row>
    <row r="165" spans="1:10" x14ac:dyDescent="0.25">
      <c r="A165" s="12" t="str">
        <f t="shared" si="31"/>
        <v>Residential_HVAC_Ground Source Heat Pump_1000</v>
      </c>
      <c r="B165" t="s">
        <v>162</v>
      </c>
      <c r="C165" t="s">
        <v>163</v>
      </c>
      <c r="D165" t="s">
        <v>207</v>
      </c>
      <c r="E165" s="102">
        <v>1000</v>
      </c>
      <c r="F165" s="103">
        <v>1000</v>
      </c>
      <c r="H165" s="12" t="s">
        <v>308</v>
      </c>
      <c r="I165" s="12" t="s">
        <v>309</v>
      </c>
      <c r="J165" s="12" t="b">
        <f t="shared" si="32"/>
        <v>0</v>
      </c>
    </row>
    <row r="166" spans="1:10" x14ac:dyDescent="0.25">
      <c r="A166" s="12" t="str">
        <f t="shared" si="31"/>
        <v>Residential_HVAC_Ground Source Heat Pump_CF</v>
      </c>
      <c r="B166" t="s">
        <v>162</v>
      </c>
      <c r="C166" t="s">
        <v>163</v>
      </c>
      <c r="D166" t="s">
        <v>207</v>
      </c>
      <c r="E166" s="102" t="s">
        <v>277</v>
      </c>
      <c r="F166" s="103">
        <v>0.72</v>
      </c>
      <c r="G166" s="12" t="s">
        <v>319</v>
      </c>
      <c r="H166" s="12" t="s">
        <v>308</v>
      </c>
      <c r="I166" s="12" t="s">
        <v>309</v>
      </c>
      <c r="J166" s="12" t="b">
        <f t="shared" si="32"/>
        <v>0</v>
      </c>
    </row>
    <row r="167" spans="1:10" x14ac:dyDescent="0.25">
      <c r="A167" s="12" t="str">
        <f t="shared" si="31"/>
        <v>Residential_HVAC_Ground Source Heat Pump_Delta_kW</v>
      </c>
      <c r="B167" t="s">
        <v>162</v>
      </c>
      <c r="C167" t="s">
        <v>163</v>
      </c>
      <c r="D167" t="s">
        <v>207</v>
      </c>
      <c r="E167" s="114" t="s">
        <v>279</v>
      </c>
      <c r="F167" s="115" t="e">
        <f>(F162 * (1 / F163 - 1 / F164)) / F165 * F166</f>
        <v>#DIV/0!</v>
      </c>
      <c r="H167" s="12" t="s">
        <v>308</v>
      </c>
      <c r="I167" s="12" t="s">
        <v>309</v>
      </c>
      <c r="J167" s="12" t="b">
        <f t="shared" si="32"/>
        <v>1</v>
      </c>
    </row>
    <row r="168" spans="1:10" x14ac:dyDescent="0.25">
      <c r="A168" s="12" t="str">
        <f t="shared" ref="A168:A178" si="33">B168&amp;"_"&amp;C168&amp;"_"&amp;D168&amp;"_"&amp;E168</f>
        <v>Residential_HVAC_Ground Source Heat Pump_%DHW Displaced</v>
      </c>
      <c r="B168" t="s">
        <v>162</v>
      </c>
      <c r="C168" t="s">
        <v>163</v>
      </c>
      <c r="D168" t="s">
        <v>207</v>
      </c>
      <c r="E168" s="102" t="s">
        <v>320</v>
      </c>
      <c r="F168" s="103">
        <v>0</v>
      </c>
      <c r="G168" s="12" t="s">
        <v>321</v>
      </c>
      <c r="H168" s="12" t="s">
        <v>308</v>
      </c>
      <c r="I168" s="12" t="s">
        <v>309</v>
      </c>
      <c r="J168" s="12" t="b">
        <f t="shared" ref="J168:J178" si="34">_xlfn.ISFORMULA(F168)</f>
        <v>0</v>
      </c>
    </row>
    <row r="169" spans="1:10" x14ac:dyDescent="0.25">
      <c r="A169" s="12" t="str">
        <f t="shared" si="33"/>
        <v>Residential_HVAC_Ground Source Heat Pump_EF_gas</v>
      </c>
      <c r="B169" t="s">
        <v>162</v>
      </c>
      <c r="C169" t="s">
        <v>163</v>
      </c>
      <c r="D169" t="s">
        <v>207</v>
      </c>
      <c r="E169" s="102" t="s">
        <v>322</v>
      </c>
      <c r="F169" s="103">
        <f>0.6483 - (0.0017 * 40)</f>
        <v>0.58030000000000004</v>
      </c>
      <c r="G169" s="12" t="s">
        <v>323</v>
      </c>
      <c r="H169" s="12" t="s">
        <v>308</v>
      </c>
      <c r="I169" s="12" t="s">
        <v>309</v>
      </c>
      <c r="J169" s="12" t="b">
        <f t="shared" si="34"/>
        <v>1</v>
      </c>
    </row>
    <row r="170" spans="1:10" x14ac:dyDescent="0.25">
      <c r="A170" s="12" t="str">
        <f t="shared" si="33"/>
        <v>Residential_HVAC_Ground Source Heat Pump_EF_elec</v>
      </c>
      <c r="B170" t="s">
        <v>162</v>
      </c>
      <c r="C170" t="s">
        <v>163</v>
      </c>
      <c r="D170" t="s">
        <v>207</v>
      </c>
      <c r="E170" s="102" t="s">
        <v>324</v>
      </c>
      <c r="F170" s="103">
        <f>0.96 - (0.0003 * 40)</f>
        <v>0.94799999999999995</v>
      </c>
      <c r="G170" s="12" t="s">
        <v>323</v>
      </c>
      <c r="H170" s="12" t="s">
        <v>308</v>
      </c>
      <c r="I170" s="12" t="s">
        <v>309</v>
      </c>
      <c r="J170" s="12" t="b">
        <f t="shared" si="34"/>
        <v>1</v>
      </c>
    </row>
    <row r="171" spans="1:10" x14ac:dyDescent="0.25">
      <c r="A171" s="12" t="str">
        <f t="shared" si="33"/>
        <v>Residential_HVAC_Ground Source Heat Pump_GPD</v>
      </c>
      <c r="B171" t="s">
        <v>162</v>
      </c>
      <c r="C171" t="s">
        <v>163</v>
      </c>
      <c r="D171" t="s">
        <v>207</v>
      </c>
      <c r="E171" s="102" t="s">
        <v>325</v>
      </c>
      <c r="F171" s="103">
        <v>17.600000000000001</v>
      </c>
      <c r="H171" s="12" t="s">
        <v>308</v>
      </c>
      <c r="I171" s="12" t="s">
        <v>309</v>
      </c>
      <c r="J171" s="12" t="b">
        <f t="shared" si="34"/>
        <v>0</v>
      </c>
    </row>
    <row r="172" spans="1:10" x14ac:dyDescent="0.25">
      <c r="A172" s="12" t="str">
        <f t="shared" si="33"/>
        <v>Residential_HVAC_Ground Source Heat Pump_Household</v>
      </c>
      <c r="B172" t="s">
        <v>162</v>
      </c>
      <c r="C172" t="s">
        <v>163</v>
      </c>
      <c r="D172" t="s">
        <v>207</v>
      </c>
      <c r="E172" s="102" t="s">
        <v>326</v>
      </c>
      <c r="F172" s="103">
        <v>2.56</v>
      </c>
      <c r="G172" s="12" t="s">
        <v>294</v>
      </c>
      <c r="H172" s="12" t="s">
        <v>308</v>
      </c>
      <c r="I172" s="12" t="s">
        <v>309</v>
      </c>
      <c r="J172" s="12" t="b">
        <f t="shared" si="34"/>
        <v>0</v>
      </c>
    </row>
    <row r="173" spans="1:10" x14ac:dyDescent="0.25">
      <c r="A173" s="12" t="str">
        <f t="shared" si="33"/>
        <v>Residential_HVAC_Ground Source Heat Pump_365.25</v>
      </c>
      <c r="B173" t="s">
        <v>162</v>
      </c>
      <c r="C173" t="s">
        <v>163</v>
      </c>
      <c r="D173" t="s">
        <v>207</v>
      </c>
      <c r="E173" s="102">
        <v>365.25</v>
      </c>
      <c r="F173" s="103">
        <v>365.25</v>
      </c>
      <c r="H173" s="12" t="s">
        <v>308</v>
      </c>
      <c r="I173" s="12" t="s">
        <v>309</v>
      </c>
      <c r="J173" s="12" t="b">
        <f t="shared" si="34"/>
        <v>0</v>
      </c>
    </row>
    <row r="174" spans="1:10" x14ac:dyDescent="0.25">
      <c r="A174" s="12" t="str">
        <f t="shared" si="33"/>
        <v>Residential_HVAC_Ground Source Heat Pump_yWater</v>
      </c>
      <c r="B174" t="s">
        <v>162</v>
      </c>
      <c r="C174" t="s">
        <v>163</v>
      </c>
      <c r="D174" t="s">
        <v>207</v>
      </c>
      <c r="E174" s="102" t="s">
        <v>327</v>
      </c>
      <c r="F174" s="103">
        <v>8.33</v>
      </c>
      <c r="H174" s="12" t="s">
        <v>308</v>
      </c>
      <c r="I174" s="12" t="s">
        <v>309</v>
      </c>
      <c r="J174" s="12" t="b">
        <f t="shared" si="34"/>
        <v>0</v>
      </c>
    </row>
    <row r="175" spans="1:10" x14ac:dyDescent="0.25">
      <c r="A175" s="12" t="str">
        <f t="shared" si="33"/>
        <v>Residential_HVAC_Ground Source Heat Pump_T_out</v>
      </c>
      <c r="B175" t="s">
        <v>162</v>
      </c>
      <c r="C175" t="s">
        <v>163</v>
      </c>
      <c r="D175" t="s">
        <v>207</v>
      </c>
      <c r="E175" s="102" t="s">
        <v>328</v>
      </c>
      <c r="F175" s="103">
        <v>125</v>
      </c>
      <c r="H175" s="12" t="s">
        <v>308</v>
      </c>
      <c r="I175" s="12" t="s">
        <v>309</v>
      </c>
      <c r="J175" s="12" t="b">
        <f t="shared" si="34"/>
        <v>0</v>
      </c>
    </row>
    <row r="176" spans="1:10" x14ac:dyDescent="0.25">
      <c r="A176" s="12" t="str">
        <f t="shared" si="33"/>
        <v>Residential_HVAC_Ground Source Heat Pump_T_in</v>
      </c>
      <c r="B176" t="s">
        <v>162</v>
      </c>
      <c r="C176" t="s">
        <v>163</v>
      </c>
      <c r="D176" t="s">
        <v>207</v>
      </c>
      <c r="E176" s="102" t="s">
        <v>329</v>
      </c>
      <c r="F176" s="103">
        <v>50.7</v>
      </c>
      <c r="H176" s="12" t="s">
        <v>308</v>
      </c>
      <c r="I176" s="12" t="s">
        <v>309</v>
      </c>
      <c r="J176" s="12" t="b">
        <f t="shared" si="34"/>
        <v>0</v>
      </c>
    </row>
    <row r="177" spans="1:10" x14ac:dyDescent="0.25">
      <c r="A177" s="12" t="str">
        <f t="shared" si="33"/>
        <v>Residential_HVAC_Ground Source Heat Pump_1</v>
      </c>
      <c r="B177" t="s">
        <v>162</v>
      </c>
      <c r="C177" t="s">
        <v>163</v>
      </c>
      <c r="D177" t="s">
        <v>207</v>
      </c>
      <c r="E177" s="102">
        <v>1</v>
      </c>
      <c r="F177" s="103">
        <v>1</v>
      </c>
      <c r="H177" s="12" t="s">
        <v>308</v>
      </c>
      <c r="I177" s="12" t="s">
        <v>309</v>
      </c>
      <c r="J177" s="12" t="b">
        <f t="shared" si="34"/>
        <v>0</v>
      </c>
    </row>
    <row r="178" spans="1:10" x14ac:dyDescent="0.25">
      <c r="A178" s="12" t="str">
        <f t="shared" si="33"/>
        <v>Residential_HVAC_Ground Source Heat Pump_1000000</v>
      </c>
      <c r="B178" t="s">
        <v>162</v>
      </c>
      <c r="C178" t="s">
        <v>163</v>
      </c>
      <c r="D178" t="s">
        <v>207</v>
      </c>
      <c r="E178" s="102">
        <v>1000000</v>
      </c>
      <c r="F178" s="220">
        <v>1000000</v>
      </c>
      <c r="H178" s="12" t="s">
        <v>308</v>
      </c>
      <c r="I178" s="12" t="s">
        <v>309</v>
      </c>
      <c r="J178" s="12" t="b">
        <f t="shared" si="34"/>
        <v>0</v>
      </c>
    </row>
    <row r="179" spans="1:10" x14ac:dyDescent="0.25">
      <c r="A179" s="12" t="str">
        <f t="shared" ref="A179" si="35">B179&amp;"_"&amp;C179&amp;"_"&amp;D179&amp;"_"&amp;E179</f>
        <v>Residential_HVAC_Ground Source Heat Pump_GSHPSiteWaterImpact_gas</v>
      </c>
      <c r="B179" t="s">
        <v>162</v>
      </c>
      <c r="C179" t="s">
        <v>163</v>
      </c>
      <c r="D179" t="s">
        <v>207</v>
      </c>
      <c r="E179" s="114" t="s">
        <v>330</v>
      </c>
      <c r="F179" s="115">
        <f>(F168*(1/F169*F171*F172*F173*F174*(F175-F176)*F177))/F178</f>
        <v>0</v>
      </c>
      <c r="H179" s="12" t="s">
        <v>308</v>
      </c>
      <c r="I179" s="12" t="s">
        <v>309</v>
      </c>
      <c r="J179" s="12" t="b">
        <f t="shared" ref="J179" si="36">_xlfn.ISFORMULA(F179)</f>
        <v>1</v>
      </c>
    </row>
    <row r="180" spans="1:10" x14ac:dyDescent="0.25">
      <c r="A180" s="12" t="str">
        <f t="shared" ref="A180" si="37">B180&amp;"_"&amp;C180&amp;"_"&amp;D180&amp;"_"&amp;E180</f>
        <v>Residential_HVAC_Ground Source Heat Pump_GSHPSiteWaterImpact_elec</v>
      </c>
      <c r="B180" t="s">
        <v>162</v>
      </c>
      <c r="C180" t="s">
        <v>163</v>
      </c>
      <c r="D180" t="s">
        <v>207</v>
      </c>
      <c r="E180" s="114" t="s">
        <v>331</v>
      </c>
      <c r="F180" s="115">
        <f>(F168*(1/F170*F171*F172*F173*F174*(F175-F176)*F177))/F178</f>
        <v>0</v>
      </c>
      <c r="H180" s="12" t="s">
        <v>308</v>
      </c>
      <c r="I180" s="12" t="s">
        <v>309</v>
      </c>
      <c r="J180" s="12" t="b">
        <f t="shared" ref="J180" si="38">_xlfn.ISFORMULA(F180)</f>
        <v>1</v>
      </c>
    </row>
    <row r="181" spans="1:10" x14ac:dyDescent="0.25">
      <c r="A181" s="12" t="str">
        <f t="shared" si="31"/>
        <v>Residential_HVAC_Ground Source Heat Pump_kWh Saved per Unit</v>
      </c>
      <c r="B181" t="s">
        <v>162</v>
      </c>
      <c r="C181" t="s">
        <v>163</v>
      </c>
      <c r="D181" t="s">
        <v>207</v>
      </c>
      <c r="E181" s="111" t="s">
        <v>280</v>
      </c>
      <c r="F181" s="99" t="e">
        <f>((F141+F150+F159)*10^6)/3412</f>
        <v>#N/A</v>
      </c>
      <c r="H181" s="12" t="s">
        <v>308</v>
      </c>
      <c r="I181" s="12" t="s">
        <v>309</v>
      </c>
      <c r="J181" s="12" t="b">
        <f t="shared" si="32"/>
        <v>1</v>
      </c>
    </row>
    <row r="182" spans="1:10" x14ac:dyDescent="0.25">
      <c r="A182" s="12" t="str">
        <f t="shared" si="31"/>
        <v>Residential_HVAC_Ground Source Heat Pump_Coincident Peak kW Saved per Unit</v>
      </c>
      <c r="B182" t="s">
        <v>162</v>
      </c>
      <c r="C182" t="s">
        <v>163</v>
      </c>
      <c r="D182" t="s">
        <v>207</v>
      </c>
      <c r="E182" s="111" t="s">
        <v>281</v>
      </c>
      <c r="F182" s="99" t="e">
        <f>F167</f>
        <v>#DIV/0!</v>
      </c>
      <c r="H182" s="12" t="s">
        <v>308</v>
      </c>
      <c r="I182" s="12" t="s">
        <v>309</v>
      </c>
      <c r="J182" s="12" t="b">
        <f t="shared" si="32"/>
        <v>1</v>
      </c>
    </row>
    <row r="183" spans="1:10" x14ac:dyDescent="0.25">
      <c r="A183" s="12" t="str">
        <f t="shared" si="31"/>
        <v>Residential_HVAC_Ground Source Heat Pump_Propane Gal Saved per Unit</v>
      </c>
      <c r="B183" t="s">
        <v>162</v>
      </c>
      <c r="C183" t="s">
        <v>163</v>
      </c>
      <c r="D183" t="s">
        <v>207</v>
      </c>
      <c r="E183" s="111" t="s">
        <v>282</v>
      </c>
      <c r="F183" s="99" t="e">
        <f>(F133*10^6)/91333</f>
        <v>#N/A</v>
      </c>
      <c r="G183" s="12" t="s">
        <v>283</v>
      </c>
      <c r="H183" s="12" t="s">
        <v>308</v>
      </c>
      <c r="I183" s="12" t="s">
        <v>309</v>
      </c>
      <c r="J183" s="12" t="b">
        <f t="shared" si="32"/>
        <v>1</v>
      </c>
    </row>
    <row r="184" spans="1:10" x14ac:dyDescent="0.25">
      <c r="A184" s="12" t="str">
        <f t="shared" si="31"/>
        <v>Residential_HVAC_Ground Source Heat Pump_Lifetime (years)</v>
      </c>
      <c r="B184" t="s">
        <v>162</v>
      </c>
      <c r="C184" t="s">
        <v>163</v>
      </c>
      <c r="D184" t="s">
        <v>207</v>
      </c>
      <c r="E184" s="111" t="s">
        <v>284</v>
      </c>
      <c r="F184" s="99">
        <v>16</v>
      </c>
      <c r="H184" s="12" t="s">
        <v>308</v>
      </c>
      <c r="I184" s="12" t="s">
        <v>309</v>
      </c>
      <c r="J184" s="12" t="b">
        <f t="shared" si="32"/>
        <v>0</v>
      </c>
    </row>
    <row r="185" spans="1:10" x14ac:dyDescent="0.25">
      <c r="A185" s="12" t="str">
        <f t="shared" si="31"/>
        <v>Residential_HVAC_Ground Source Heat Pump_Incremental Cost</v>
      </c>
      <c r="B185" t="s">
        <v>162</v>
      </c>
      <c r="C185" t="s">
        <v>163</v>
      </c>
      <c r="D185" t="s">
        <v>207</v>
      </c>
      <c r="E185" s="111" t="s">
        <v>285</v>
      </c>
      <c r="F185" s="100">
        <f>3957 * (F129 / 12000)</f>
        <v>0</v>
      </c>
      <c r="H185" s="12" t="s">
        <v>308</v>
      </c>
      <c r="I185" s="12" t="s">
        <v>309</v>
      </c>
      <c r="J185" s="12" t="b">
        <f t="shared" si="32"/>
        <v>1</v>
      </c>
    </row>
    <row r="186" spans="1:10" x14ac:dyDescent="0.25">
      <c r="A186" s="12" t="str">
        <f t="shared" si="31"/>
        <v>Residential_HVAC_Ground Source Heat Pump_BTU Impact_Existing_Fossil Fuel</v>
      </c>
      <c r="B186" t="s">
        <v>162</v>
      </c>
      <c r="C186" t="s">
        <v>163</v>
      </c>
      <c r="D186" t="s">
        <v>207</v>
      </c>
      <c r="E186" s="111" t="s">
        <v>287</v>
      </c>
      <c r="F186" s="99" t="e">
        <f>-F133*10^6</f>
        <v>#N/A</v>
      </c>
      <c r="H186" s="12" t="s">
        <v>308</v>
      </c>
      <c r="I186" s="12" t="s">
        <v>309</v>
      </c>
      <c r="J186" s="12" t="b">
        <f t="shared" si="32"/>
        <v>1</v>
      </c>
    </row>
    <row r="187" spans="1:10" x14ac:dyDescent="0.25">
      <c r="A187" s="12" t="str">
        <f t="shared" si="31"/>
        <v>Residential_HVAC_Ground Source Heat Pump_BTU Impact_Existing_Winter Electricity</v>
      </c>
      <c r="B187" t="s">
        <v>162</v>
      </c>
      <c r="C187" t="s">
        <v>163</v>
      </c>
      <c r="D187" t="s">
        <v>207</v>
      </c>
      <c r="E187" s="111" t="s">
        <v>288</v>
      </c>
      <c r="F187" s="99" t="e">
        <f>-F141*10^6</f>
        <v>#N/A</v>
      </c>
      <c r="H187" s="12" t="s">
        <v>308</v>
      </c>
      <c r="I187" s="12" t="s">
        <v>309</v>
      </c>
      <c r="J187" s="12" t="b">
        <f t="shared" si="32"/>
        <v>1</v>
      </c>
    </row>
    <row r="188" spans="1:10" x14ac:dyDescent="0.25">
      <c r="A188" s="12" t="str">
        <f t="shared" si="31"/>
        <v>Residential_HVAC_Ground Source Heat Pump_BTU Impact_Existing_Summer Electricity</v>
      </c>
      <c r="B188" t="s">
        <v>162</v>
      </c>
      <c r="C188" t="s">
        <v>163</v>
      </c>
      <c r="D188" t="s">
        <v>207</v>
      </c>
      <c r="E188" s="111" t="s">
        <v>289</v>
      </c>
      <c r="F188" s="99" t="e">
        <f xml:space="preserve"> -((( F153 * (IF(Dashboard_FS!$K$17="Yes",1/(F154),0) - 0))/ F156 * F157 ) / F158)*10^6</f>
        <v>#N/A</v>
      </c>
      <c r="H188" s="12" t="s">
        <v>308</v>
      </c>
      <c r="I188" s="12" t="s">
        <v>309</v>
      </c>
      <c r="J188" s="12" t="b">
        <f t="shared" si="32"/>
        <v>1</v>
      </c>
    </row>
    <row r="189" spans="1:10" x14ac:dyDescent="0.25">
      <c r="A189" s="12" t="str">
        <f t="shared" si="31"/>
        <v>Residential_HVAC_Ground Source Heat Pump_BTU Impact_New_Fossil Fuel</v>
      </c>
      <c r="B189" t="s">
        <v>162</v>
      </c>
      <c r="C189" t="s">
        <v>163</v>
      </c>
      <c r="D189" t="s">
        <v>207</v>
      </c>
      <c r="E189" s="111" t="s">
        <v>290</v>
      </c>
      <c r="F189" s="99">
        <v>0</v>
      </c>
      <c r="H189" s="12" t="s">
        <v>308</v>
      </c>
      <c r="I189" s="12" t="s">
        <v>309</v>
      </c>
      <c r="J189" s="12" t="b">
        <f t="shared" si="32"/>
        <v>0</v>
      </c>
    </row>
    <row r="190" spans="1:10" x14ac:dyDescent="0.25">
      <c r="A190" s="12" t="str">
        <f t="shared" si="31"/>
        <v>Residential_HVAC_Ground Source Heat Pump_BTU Impact_New_Winter Electricity</v>
      </c>
      <c r="B190" t="s">
        <v>162</v>
      </c>
      <c r="C190" t="s">
        <v>163</v>
      </c>
      <c r="D190" t="s">
        <v>207</v>
      </c>
      <c r="E190" s="111" t="s">
        <v>291</v>
      </c>
      <c r="F190" s="99" t="e">
        <f>-F150*10^6</f>
        <v>#N/A</v>
      </c>
      <c r="H190" s="12" t="s">
        <v>308</v>
      </c>
      <c r="I190" s="12" t="s">
        <v>309</v>
      </c>
      <c r="J190" s="12" t="b">
        <f t="shared" si="32"/>
        <v>1</v>
      </c>
    </row>
    <row r="191" spans="1:10" x14ac:dyDescent="0.25">
      <c r="A191" s="12" t="str">
        <f t="shared" si="31"/>
        <v>Residential_HVAC_Ground Source Heat Pump_BTU Impact_New_Summer Electricity</v>
      </c>
      <c r="B191" t="s">
        <v>162</v>
      </c>
      <c r="C191" t="s">
        <v>163</v>
      </c>
      <c r="D191" t="s">
        <v>207</v>
      </c>
      <c r="E191" s="111" t="s">
        <v>292</v>
      </c>
      <c r="F191" s="99" t="e">
        <f xml:space="preserve"> - ((( F153 * (0 - 1/( F155)))/ F156 * F157 ) / F158)*10^6</f>
        <v>#N/A</v>
      </c>
      <c r="H191" s="12" t="s">
        <v>308</v>
      </c>
      <c r="I191" s="12" t="s">
        <v>309</v>
      </c>
      <c r="J191" s="12" t="b">
        <f t="shared" si="32"/>
        <v>1</v>
      </c>
    </row>
    <row r="192" spans="1:10" x14ac:dyDescent="0.25">
      <c r="A192" s="12" t="str">
        <f t="shared" si="31"/>
        <v>Residential_HVAC_Ground Source Heat Pump_</v>
      </c>
      <c r="B192" t="s">
        <v>162</v>
      </c>
      <c r="C192" t="s">
        <v>163</v>
      </c>
      <c r="D192" t="s">
        <v>207</v>
      </c>
      <c r="H192" s="12" t="s">
        <v>308</v>
      </c>
      <c r="I192" s="12" t="s">
        <v>309</v>
      </c>
      <c r="J192" s="12" t="b">
        <f t="shared" si="32"/>
        <v>0</v>
      </c>
    </row>
    <row r="193" spans="1:10" x14ac:dyDescent="0.25">
      <c r="A193" s="12" t="str">
        <f t="shared" si="17"/>
        <v>Residential_Hot Water_Heat Pump Water Heater_UEFBASE</v>
      </c>
      <c r="B193" t="s">
        <v>162</v>
      </c>
      <c r="C193" t="s">
        <v>165</v>
      </c>
      <c r="D193" t="s">
        <v>77</v>
      </c>
      <c r="E193" s="114" t="s">
        <v>332</v>
      </c>
      <c r="F193" s="115">
        <f>IF('Project Details'!P11&gt;55, 2.1171 - (0.0011 * 'Project Details'!P11),0.9307 - (0.0002 * 'Project Details'!P11))</f>
        <v>0.93069999999999997</v>
      </c>
      <c r="G193" s="12" t="s">
        <v>333</v>
      </c>
      <c r="H193" s="12" t="s">
        <v>334</v>
      </c>
      <c r="I193" s="12" t="s">
        <v>335</v>
      </c>
      <c r="J193" s="12" t="b">
        <f t="shared" si="20"/>
        <v>1</v>
      </c>
    </row>
    <row r="194" spans="1:10" x14ac:dyDescent="0.25">
      <c r="A194" s="12" t="str">
        <f t="shared" si="17"/>
        <v>Residential_Hot Water_Heat Pump Water Heater_UEFEFFICIENT</v>
      </c>
      <c r="B194" t="s">
        <v>162</v>
      </c>
      <c r="C194" t="s">
        <v>165</v>
      </c>
      <c r="D194" t="s">
        <v>77</v>
      </c>
      <c r="E194" s="102" t="s">
        <v>336</v>
      </c>
      <c r="F194" s="219">
        <f>IF('Project Details'!AI31=0,3.5,'Project Details'!AI31)</f>
        <v>3.5</v>
      </c>
      <c r="H194" s="12" t="s">
        <v>334</v>
      </c>
      <c r="I194" s="12" t="s">
        <v>335</v>
      </c>
      <c r="J194" s="12" t="b">
        <f t="shared" si="20"/>
        <v>1</v>
      </c>
    </row>
    <row r="195" spans="1:10" x14ac:dyDescent="0.25">
      <c r="A195" s="12" t="str">
        <f t="shared" si="17"/>
        <v>Residential_Hot Water_Heat Pump Water Heater_GPD</v>
      </c>
      <c r="B195" t="s">
        <v>162</v>
      </c>
      <c r="C195" t="s">
        <v>165</v>
      </c>
      <c r="D195" t="s">
        <v>77</v>
      </c>
      <c r="E195" s="102" t="s">
        <v>325</v>
      </c>
      <c r="F195" s="103">
        <v>17.600000000000001</v>
      </c>
      <c r="H195" s="12" t="s">
        <v>334</v>
      </c>
      <c r="I195" s="12" t="s">
        <v>335</v>
      </c>
      <c r="J195" s="12" t="b">
        <f t="shared" si="20"/>
        <v>0</v>
      </c>
    </row>
    <row r="196" spans="1:10" x14ac:dyDescent="0.25">
      <c r="A196" s="12" t="str">
        <f t="shared" si="17"/>
        <v>Residential_Hot Water_Heat Pump Water Heater_Household</v>
      </c>
      <c r="B196" t="s">
        <v>162</v>
      </c>
      <c r="C196" t="s">
        <v>165</v>
      </c>
      <c r="D196" t="s">
        <v>77</v>
      </c>
      <c r="E196" s="102" t="s">
        <v>326</v>
      </c>
      <c r="F196" s="219">
        <f>IF(Dashboard_FS!K20="Yes",2.76,2.62)</f>
        <v>2.76</v>
      </c>
      <c r="G196" s="12" t="s">
        <v>337</v>
      </c>
      <c r="H196" s="12" t="s">
        <v>334</v>
      </c>
      <c r="I196" s="12" t="s">
        <v>335</v>
      </c>
      <c r="J196" s="12" t="b">
        <f t="shared" si="20"/>
        <v>1</v>
      </c>
    </row>
    <row r="197" spans="1:10" x14ac:dyDescent="0.25">
      <c r="A197" s="12" t="str">
        <f t="shared" si="17"/>
        <v>Residential_Hot Water_Heat Pump Water Heater_365.25</v>
      </c>
      <c r="B197" t="s">
        <v>162</v>
      </c>
      <c r="C197" t="s">
        <v>165</v>
      </c>
      <c r="D197" t="s">
        <v>77</v>
      </c>
      <c r="E197" s="102">
        <v>365.25</v>
      </c>
      <c r="F197" s="103">
        <v>365.25</v>
      </c>
      <c r="H197" s="12" t="s">
        <v>334</v>
      </c>
      <c r="I197" s="12" t="s">
        <v>335</v>
      </c>
      <c r="J197" s="12" t="b">
        <f t="shared" si="20"/>
        <v>0</v>
      </c>
    </row>
    <row r="198" spans="1:10" x14ac:dyDescent="0.25">
      <c r="A198" s="12" t="str">
        <f t="shared" si="17"/>
        <v>Residential_Hot Water_Heat Pump Water Heater_γWater</v>
      </c>
      <c r="B198" t="s">
        <v>162</v>
      </c>
      <c r="C198" t="s">
        <v>165</v>
      </c>
      <c r="D198" t="s">
        <v>77</v>
      </c>
      <c r="E198" s="102" t="s">
        <v>338</v>
      </c>
      <c r="F198" s="103">
        <v>8.33</v>
      </c>
      <c r="H198" s="12" t="s">
        <v>334</v>
      </c>
      <c r="I198" s="12" t="s">
        <v>335</v>
      </c>
      <c r="J198" s="12" t="b">
        <f t="shared" si="20"/>
        <v>0</v>
      </c>
    </row>
    <row r="199" spans="1:10" x14ac:dyDescent="0.25">
      <c r="A199" s="12" t="str">
        <f t="shared" si="17"/>
        <v>Residential_Hot Water_Heat Pump Water Heater_TOUT</v>
      </c>
      <c r="B199" t="s">
        <v>162</v>
      </c>
      <c r="C199" t="s">
        <v>165</v>
      </c>
      <c r="D199" t="s">
        <v>77</v>
      </c>
      <c r="E199" s="102" t="s">
        <v>339</v>
      </c>
      <c r="F199" s="103">
        <v>125</v>
      </c>
      <c r="H199" s="12" t="s">
        <v>334</v>
      </c>
      <c r="I199" s="12" t="s">
        <v>335</v>
      </c>
      <c r="J199" s="12" t="b">
        <f t="shared" si="20"/>
        <v>0</v>
      </c>
    </row>
    <row r="200" spans="1:10" x14ac:dyDescent="0.25">
      <c r="A200" s="12" t="str">
        <f t="shared" si="17"/>
        <v>Residential_Hot Water_Heat Pump Water Heater_TIN</v>
      </c>
      <c r="B200" t="s">
        <v>162</v>
      </c>
      <c r="C200" t="s">
        <v>165</v>
      </c>
      <c r="D200" t="s">
        <v>77</v>
      </c>
      <c r="E200" s="102" t="s">
        <v>340</v>
      </c>
      <c r="F200" s="103">
        <v>50.7</v>
      </c>
      <c r="H200" s="12" t="s">
        <v>334</v>
      </c>
      <c r="I200" s="12" t="s">
        <v>335</v>
      </c>
      <c r="J200" s="12" t="b">
        <f t="shared" si="20"/>
        <v>0</v>
      </c>
    </row>
    <row r="201" spans="1:10" x14ac:dyDescent="0.25">
      <c r="A201" s="12" t="str">
        <f t="shared" si="17"/>
        <v>Residential_Hot Water_Heat Pump Water Heater_3412</v>
      </c>
      <c r="B201" t="s">
        <v>162</v>
      </c>
      <c r="C201" t="s">
        <v>165</v>
      </c>
      <c r="D201" t="s">
        <v>77</v>
      </c>
      <c r="E201" s="102">
        <v>3412</v>
      </c>
      <c r="F201" s="103">
        <v>3412</v>
      </c>
      <c r="H201" s="12" t="s">
        <v>334</v>
      </c>
      <c r="I201" s="12" t="s">
        <v>335</v>
      </c>
      <c r="J201" s="12" t="b">
        <f t="shared" si="20"/>
        <v>0</v>
      </c>
    </row>
    <row r="202" spans="1:10" x14ac:dyDescent="0.25">
      <c r="A202" s="12" t="str">
        <f t="shared" si="17"/>
        <v>Residential_Hot Water_Heat Pump Water Heater_LF</v>
      </c>
      <c r="B202" t="s">
        <v>162</v>
      </c>
      <c r="C202" t="s">
        <v>165</v>
      </c>
      <c r="D202" t="s">
        <v>77</v>
      </c>
      <c r="E202" s="102" t="s">
        <v>341</v>
      </c>
      <c r="F202" s="103">
        <v>0.22</v>
      </c>
      <c r="G202" s="12" t="s">
        <v>342</v>
      </c>
      <c r="H202" s="12" t="s">
        <v>334</v>
      </c>
      <c r="I202" s="12" t="s">
        <v>335</v>
      </c>
      <c r="J202" s="12" t="b">
        <f t="shared" si="20"/>
        <v>0</v>
      </c>
    </row>
    <row r="203" spans="1:10" x14ac:dyDescent="0.25">
      <c r="A203" s="12" t="str">
        <f t="shared" si="17"/>
        <v>Residential_Hot Water_Heat Pump Water Heater_0.27</v>
      </c>
      <c r="B203" t="s">
        <v>162</v>
      </c>
      <c r="C203" t="s">
        <v>165</v>
      </c>
      <c r="D203" t="s">
        <v>77</v>
      </c>
      <c r="E203" s="108">
        <v>0.27</v>
      </c>
      <c r="F203" s="103">
        <v>0.27</v>
      </c>
      <c r="H203" s="12" t="s">
        <v>334</v>
      </c>
      <c r="I203" s="12" t="s">
        <v>335</v>
      </c>
      <c r="J203" s="12" t="b">
        <f t="shared" si="20"/>
        <v>0</v>
      </c>
    </row>
    <row r="204" spans="1:10" x14ac:dyDescent="0.25">
      <c r="A204" s="12" t="str">
        <f t="shared" si="17"/>
        <v>Residential_Hot Water_Heat Pump Water Heater_COPCOOL</v>
      </c>
      <c r="B204" t="s">
        <v>162</v>
      </c>
      <c r="C204" t="s">
        <v>165</v>
      </c>
      <c r="D204" t="s">
        <v>77</v>
      </c>
      <c r="E204" s="102" t="s">
        <v>343</v>
      </c>
      <c r="F204" s="103">
        <v>3.3</v>
      </c>
      <c r="G204" s="12" t="s">
        <v>344</v>
      </c>
      <c r="H204" s="12" t="s">
        <v>334</v>
      </c>
      <c r="I204" s="12" t="s">
        <v>335</v>
      </c>
      <c r="J204" s="12" t="b">
        <f t="shared" si="20"/>
        <v>0</v>
      </c>
    </row>
    <row r="205" spans="1:10" x14ac:dyDescent="0.25">
      <c r="A205" s="12" t="str">
        <f t="shared" si="17"/>
        <v>Residential_Hot Water_Heat Pump Water Heater_LM</v>
      </c>
      <c r="B205" t="s">
        <v>162</v>
      </c>
      <c r="C205" t="s">
        <v>165</v>
      </c>
      <c r="D205" t="s">
        <v>77</v>
      </c>
      <c r="E205" s="102" t="s">
        <v>345</v>
      </c>
      <c r="F205" s="103">
        <v>1.33</v>
      </c>
      <c r="H205" s="12" t="s">
        <v>334</v>
      </c>
      <c r="I205" s="12" t="s">
        <v>335</v>
      </c>
      <c r="J205" s="12" t="b">
        <f t="shared" si="20"/>
        <v>0</v>
      </c>
    </row>
    <row r="206" spans="1:10" x14ac:dyDescent="0.25">
      <c r="A206" s="12" t="str">
        <f t="shared" si="17"/>
        <v>Residential_Hot Water_Heat Pump Water Heater_kWh_cooling</v>
      </c>
      <c r="B206" t="s">
        <v>162</v>
      </c>
      <c r="C206" t="s">
        <v>165</v>
      </c>
      <c r="D206" t="s">
        <v>77</v>
      </c>
      <c r="E206" s="114" t="s">
        <v>346</v>
      </c>
      <c r="F206" s="115">
        <f>(((((F195 * F196 * F197 * F198 * (F199 - F200) * 1) / F201) - ((1/ F194 * F195 * F196 * F197 * F198 * (F199 - F200) * 1) / F201)) * F202 * F203) / F204) * F205</f>
        <v>55.034227850387367</v>
      </c>
      <c r="H206" s="12" t="s">
        <v>334</v>
      </c>
      <c r="I206" s="12" t="s">
        <v>335</v>
      </c>
      <c r="J206" s="12" t="b">
        <f t="shared" si="20"/>
        <v>1</v>
      </c>
    </row>
    <row r="207" spans="1:10" x14ac:dyDescent="0.25">
      <c r="A207" s="12" t="str">
        <f t="shared" si="17"/>
        <v>Residential_Hot Water_Heat Pump Water Heater_0.37</v>
      </c>
      <c r="B207" t="s">
        <v>162</v>
      </c>
      <c r="C207" t="s">
        <v>165</v>
      </c>
      <c r="D207" t="s">
        <v>77</v>
      </c>
      <c r="E207" s="108">
        <v>0.37</v>
      </c>
      <c r="F207" s="219">
        <v>0.37</v>
      </c>
      <c r="H207" s="12" t="s">
        <v>334</v>
      </c>
      <c r="I207" s="12" t="s">
        <v>335</v>
      </c>
      <c r="J207" s="12" t="b">
        <f t="shared" si="20"/>
        <v>0</v>
      </c>
    </row>
    <row r="208" spans="1:10" x14ac:dyDescent="0.25">
      <c r="A208" s="12" t="str">
        <f t="shared" si="17"/>
        <v>Residential_Hot Water_Heat Pump Water Heater_COPHEAT</v>
      </c>
      <c r="B208" t="s">
        <v>162</v>
      </c>
      <c r="C208" t="s">
        <v>165</v>
      </c>
      <c r="D208" t="s">
        <v>77</v>
      </c>
      <c r="E208" s="114" t="s">
        <v>347</v>
      </c>
      <c r="F208" s="118">
        <f>(7/3.412)*0.85</f>
        <v>1.7438452520515826</v>
      </c>
      <c r="H208" s="12" t="s">
        <v>334</v>
      </c>
      <c r="I208" s="12" t="s">
        <v>335</v>
      </c>
      <c r="J208" s="12" t="b">
        <f t="shared" si="20"/>
        <v>1</v>
      </c>
    </row>
    <row r="209" spans="1:10" x14ac:dyDescent="0.25">
      <c r="A209" s="12" t="str">
        <f t="shared" ref="A209:A311" si="39">B209&amp;"_"&amp;C209&amp;"_"&amp;D209&amp;"_"&amp;E209</f>
        <v>Residential_Hot Water_Heat Pump Water Heater_%NaturalGas</v>
      </c>
      <c r="B209" t="s">
        <v>162</v>
      </c>
      <c r="C209" t="s">
        <v>165</v>
      </c>
      <c r="D209" t="s">
        <v>77</v>
      </c>
      <c r="E209" s="102" t="s">
        <v>348</v>
      </c>
      <c r="F209" s="103">
        <v>0</v>
      </c>
      <c r="H209" s="12" t="s">
        <v>334</v>
      </c>
      <c r="I209" s="12" t="s">
        <v>335</v>
      </c>
      <c r="J209" s="12" t="b">
        <f t="shared" si="20"/>
        <v>0</v>
      </c>
    </row>
    <row r="210" spans="1:10" x14ac:dyDescent="0.25">
      <c r="A210" s="12" t="str">
        <f t="shared" si="39"/>
        <v>Residential_Hot Water_Heat Pump Water Heater_kWh_heating</v>
      </c>
      <c r="B210" t="s">
        <v>162</v>
      </c>
      <c r="C210" t="s">
        <v>165</v>
      </c>
      <c r="D210" t="s">
        <v>77</v>
      </c>
      <c r="E210" s="114" t="s">
        <v>349</v>
      </c>
      <c r="F210" s="118">
        <f xml:space="preserve"> (((((F195 * F196 * F197 * F198 * (F199 - F200) * 1) / F201) - ((1/ F194 * F195 * F196 * F197 * F198 * (F199 - F200) * 1) / F201)) * F202 * F207) / F208) * (1 - F209)</f>
        <v>107.30629327968002</v>
      </c>
      <c r="H210" s="12" t="s">
        <v>334</v>
      </c>
      <c r="I210" s="12" t="s">
        <v>335</v>
      </c>
      <c r="J210" s="12" t="b">
        <f t="shared" si="20"/>
        <v>1</v>
      </c>
    </row>
    <row r="211" spans="1:10" x14ac:dyDescent="0.25">
      <c r="A211" s="12" t="str">
        <f t="shared" si="39"/>
        <v>Residential_Hot Water_Heat Pump Water Heater_Deh_Reduction</v>
      </c>
      <c r="B211" t="s">
        <v>162</v>
      </c>
      <c r="C211" t="s">
        <v>165</v>
      </c>
      <c r="D211" t="s">
        <v>77</v>
      </c>
      <c r="E211" s="102" t="s">
        <v>350</v>
      </c>
      <c r="F211" s="103">
        <v>72</v>
      </c>
      <c r="G211" s="12" t="s">
        <v>344</v>
      </c>
      <c r="H211" s="12" t="s">
        <v>334</v>
      </c>
      <c r="I211" s="12" t="s">
        <v>335</v>
      </c>
      <c r="J211" s="12" t="b">
        <f t="shared" si="20"/>
        <v>0</v>
      </c>
    </row>
    <row r="212" spans="1:10" x14ac:dyDescent="0.25">
      <c r="A212" s="12" t="str">
        <f t="shared" si="39"/>
        <v>Residential_Hot Water_Heat Pump Water Heater_Delta_kWh</v>
      </c>
      <c r="B212" t="s">
        <v>162</v>
      </c>
      <c r="C212" t="s">
        <v>165</v>
      </c>
      <c r="D212" t="s">
        <v>77</v>
      </c>
      <c r="E212" s="114" t="s">
        <v>351</v>
      </c>
      <c r="F212" s="115">
        <f xml:space="preserve"> (((0 - 1/ F194 ) * F195 * F196 * F197 * F198 * ( F199 - F200 ) * 1) / F201 ) + F206 - F210 + F211</f>
        <v>-899.8080361959984</v>
      </c>
      <c r="H212" s="12" t="s">
        <v>334</v>
      </c>
      <c r="I212" s="12" t="s">
        <v>335</v>
      </c>
      <c r="J212" s="12" t="b">
        <f t="shared" si="20"/>
        <v>1</v>
      </c>
    </row>
    <row r="213" spans="1:10" x14ac:dyDescent="0.25">
      <c r="A213" s="12" t="str">
        <f t="shared" si="39"/>
        <v>Residential_Hot Water_Heat Pump Water Heater_Hours</v>
      </c>
      <c r="B213" t="s">
        <v>162</v>
      </c>
      <c r="C213" t="s">
        <v>165</v>
      </c>
      <c r="D213" t="s">
        <v>77</v>
      </c>
      <c r="E213" s="102" t="s">
        <v>352</v>
      </c>
      <c r="F213" s="103">
        <v>2533</v>
      </c>
      <c r="H213" s="12" t="s">
        <v>334</v>
      </c>
      <c r="I213" s="12" t="s">
        <v>335</v>
      </c>
      <c r="J213" s="12" t="b">
        <f t="shared" si="20"/>
        <v>0</v>
      </c>
    </row>
    <row r="214" spans="1:10" x14ac:dyDescent="0.25">
      <c r="A214" s="12" t="str">
        <f t="shared" si="39"/>
        <v>Residential_Hot Water_Heat Pump Water Heater_CF</v>
      </c>
      <c r="B214" t="s">
        <v>162</v>
      </c>
      <c r="C214" t="s">
        <v>165</v>
      </c>
      <c r="D214" t="s">
        <v>77</v>
      </c>
      <c r="E214" s="102" t="s">
        <v>277</v>
      </c>
      <c r="F214" s="103">
        <v>0.12</v>
      </c>
      <c r="H214" s="12" t="s">
        <v>334</v>
      </c>
      <c r="I214" s="12" t="s">
        <v>335</v>
      </c>
      <c r="J214" s="12" t="b">
        <f t="shared" ref="J214:J321" si="40">_xlfn.ISFORMULA(F214)</f>
        <v>0</v>
      </c>
    </row>
    <row r="215" spans="1:10" x14ac:dyDescent="0.25">
      <c r="A215" s="12" t="str">
        <f t="shared" si="39"/>
        <v>Residential_Hot Water_Heat Pump Water Heater_Delta_kW</v>
      </c>
      <c r="B215" t="s">
        <v>162</v>
      </c>
      <c r="C215" t="s">
        <v>165</v>
      </c>
      <c r="D215" t="s">
        <v>77</v>
      </c>
      <c r="E215" s="114" t="s">
        <v>279</v>
      </c>
      <c r="F215" s="115">
        <f xml:space="preserve"> F212 / F213 * F214</f>
        <v>-4.2628094884926887E-2</v>
      </c>
      <c r="H215" s="12" t="s">
        <v>334</v>
      </c>
      <c r="I215" s="12" t="s">
        <v>335</v>
      </c>
      <c r="J215" s="12" t="b">
        <f t="shared" si="40"/>
        <v>1</v>
      </c>
    </row>
    <row r="216" spans="1:10" x14ac:dyDescent="0.25">
      <c r="A216" s="12" t="str">
        <f t="shared" si="39"/>
        <v>Residential_Hot Water_Heat Pump Water Heater_UEFBASE</v>
      </c>
      <c r="B216" t="s">
        <v>162</v>
      </c>
      <c r="C216" t="s">
        <v>165</v>
      </c>
      <c r="D216" t="s">
        <v>77</v>
      </c>
      <c r="E216" s="102" t="s">
        <v>332</v>
      </c>
      <c r="F216" s="226">
        <f>IF('Project Details'!P11&gt;55, 0.7689 - (0.0005 * 'Project Details'!P11),0.6483 - (0.0017 * 'Project Details'!P11))</f>
        <v>0.64829999999999999</v>
      </c>
      <c r="G216" s="12" t="s">
        <v>353</v>
      </c>
      <c r="H216" s="12" t="s">
        <v>334</v>
      </c>
      <c r="I216" s="12" t="s">
        <v>335</v>
      </c>
      <c r="J216" s="12" t="b">
        <f t="shared" si="40"/>
        <v>1</v>
      </c>
    </row>
    <row r="217" spans="1:10" x14ac:dyDescent="0.25">
      <c r="A217" s="12" t="str">
        <f t="shared" si="39"/>
        <v>Residential_Hot Water_Heat Pump Water Heater_UEFEFFICIENT</v>
      </c>
      <c r="B217" t="s">
        <v>162</v>
      </c>
      <c r="C217" t="s">
        <v>165</v>
      </c>
      <c r="D217" t="s">
        <v>77</v>
      </c>
      <c r="E217" s="102" t="s">
        <v>336</v>
      </c>
      <c r="F217" s="104">
        <v>0.64</v>
      </c>
      <c r="G217" s="12" t="s">
        <v>353</v>
      </c>
      <c r="H217" s="12" t="s">
        <v>334</v>
      </c>
      <c r="I217" s="12" t="s">
        <v>335</v>
      </c>
      <c r="J217" s="12" t="b">
        <f t="shared" si="40"/>
        <v>0</v>
      </c>
    </row>
    <row r="218" spans="1:10" x14ac:dyDescent="0.25">
      <c r="A218" s="12" t="str">
        <f t="shared" si="39"/>
        <v>Residential_Hot Water_Heat Pump Water Heater_GPD</v>
      </c>
      <c r="B218" t="s">
        <v>162</v>
      </c>
      <c r="C218" t="s">
        <v>165</v>
      </c>
      <c r="D218" t="s">
        <v>77</v>
      </c>
      <c r="E218" s="102" t="s">
        <v>325</v>
      </c>
      <c r="F218" s="104">
        <v>17.600000000000001</v>
      </c>
      <c r="H218" s="12" t="s">
        <v>334</v>
      </c>
      <c r="I218" s="12" t="s">
        <v>335</v>
      </c>
      <c r="J218" s="12" t="b">
        <f t="shared" si="40"/>
        <v>0</v>
      </c>
    </row>
    <row r="219" spans="1:10" x14ac:dyDescent="0.25">
      <c r="A219" s="12" t="str">
        <f t="shared" si="39"/>
        <v>Residential_Hot Water_Heat Pump Water Heater_Household</v>
      </c>
      <c r="B219" t="s">
        <v>162</v>
      </c>
      <c r="C219" t="s">
        <v>165</v>
      </c>
      <c r="D219" t="s">
        <v>77</v>
      </c>
      <c r="E219" s="102" t="s">
        <v>326</v>
      </c>
      <c r="F219" s="219">
        <f>IF(Dashboard_FS!K20="Yes",2.76,2.62)</f>
        <v>2.76</v>
      </c>
      <c r="G219" s="12" t="s">
        <v>337</v>
      </c>
      <c r="H219" s="12" t="s">
        <v>334</v>
      </c>
      <c r="I219" s="12" t="s">
        <v>335</v>
      </c>
      <c r="J219" s="12" t="b">
        <f t="shared" si="40"/>
        <v>1</v>
      </c>
    </row>
    <row r="220" spans="1:10" x14ac:dyDescent="0.25">
      <c r="A220" s="12" t="str">
        <f t="shared" si="39"/>
        <v>Residential_Hot Water_Heat Pump Water Heater_365.25</v>
      </c>
      <c r="B220" t="s">
        <v>162</v>
      </c>
      <c r="C220" t="s">
        <v>165</v>
      </c>
      <c r="D220" t="s">
        <v>77</v>
      </c>
      <c r="E220" s="102">
        <v>365.25</v>
      </c>
      <c r="F220" s="104">
        <v>365.25</v>
      </c>
      <c r="H220" s="12" t="s">
        <v>334</v>
      </c>
      <c r="I220" s="12" t="s">
        <v>335</v>
      </c>
      <c r="J220" s="12" t="b">
        <f t="shared" si="40"/>
        <v>0</v>
      </c>
    </row>
    <row r="221" spans="1:10" x14ac:dyDescent="0.25">
      <c r="A221" s="12" t="str">
        <f t="shared" si="39"/>
        <v>Residential_Hot Water_Heat Pump Water Heater_γWater</v>
      </c>
      <c r="B221" t="s">
        <v>162</v>
      </c>
      <c r="C221" t="s">
        <v>165</v>
      </c>
      <c r="D221" t="s">
        <v>77</v>
      </c>
      <c r="E221" s="102" t="s">
        <v>338</v>
      </c>
      <c r="F221" s="104">
        <v>8.33</v>
      </c>
      <c r="H221" s="12" t="s">
        <v>334</v>
      </c>
      <c r="I221" s="12" t="s">
        <v>335</v>
      </c>
      <c r="J221" s="12" t="b">
        <f t="shared" si="40"/>
        <v>0</v>
      </c>
    </row>
    <row r="222" spans="1:10" x14ac:dyDescent="0.25">
      <c r="A222" s="12" t="str">
        <f t="shared" si="39"/>
        <v>Residential_Hot Water_Heat Pump Water Heater_TOUT</v>
      </c>
      <c r="B222" t="s">
        <v>162</v>
      </c>
      <c r="C222" t="s">
        <v>165</v>
      </c>
      <c r="D222" t="s">
        <v>77</v>
      </c>
      <c r="E222" s="102" t="s">
        <v>339</v>
      </c>
      <c r="F222" s="104">
        <v>125</v>
      </c>
      <c r="H222" s="12" t="s">
        <v>334</v>
      </c>
      <c r="I222" s="12" t="s">
        <v>335</v>
      </c>
      <c r="J222" s="12" t="b">
        <f t="shared" si="40"/>
        <v>0</v>
      </c>
    </row>
    <row r="223" spans="1:10" x14ac:dyDescent="0.25">
      <c r="A223" s="12" t="str">
        <f t="shared" si="39"/>
        <v>Residential_Hot Water_Heat Pump Water Heater_TIN</v>
      </c>
      <c r="B223" t="s">
        <v>162</v>
      </c>
      <c r="C223" t="s">
        <v>165</v>
      </c>
      <c r="D223" t="s">
        <v>77</v>
      </c>
      <c r="E223" s="102" t="s">
        <v>340</v>
      </c>
      <c r="F223" s="104">
        <v>50.7</v>
      </c>
      <c r="H223" s="12" t="s">
        <v>334</v>
      </c>
      <c r="I223" s="12" t="s">
        <v>335</v>
      </c>
      <c r="J223" s="12" t="b">
        <f t="shared" si="40"/>
        <v>0</v>
      </c>
    </row>
    <row r="224" spans="1:10" x14ac:dyDescent="0.25">
      <c r="A224" s="12" t="str">
        <f t="shared" si="39"/>
        <v>Residential_Hot Water_Heat Pump Water Heater_100000</v>
      </c>
      <c r="B224" t="s">
        <v>162</v>
      </c>
      <c r="C224" t="s">
        <v>165</v>
      </c>
      <c r="D224" t="s">
        <v>77</v>
      </c>
      <c r="E224" s="102">
        <v>100000</v>
      </c>
      <c r="F224" s="104">
        <v>100000</v>
      </c>
      <c r="H224" s="12" t="s">
        <v>334</v>
      </c>
      <c r="I224" s="12" t="s">
        <v>335</v>
      </c>
      <c r="J224" s="12" t="b">
        <f t="shared" si="40"/>
        <v>0</v>
      </c>
    </row>
    <row r="225" spans="1:10" x14ac:dyDescent="0.25">
      <c r="A225" s="12" t="str">
        <f t="shared" si="39"/>
        <v>Residential_Hot Water_Heat Pump Water Heater_Delta_Therms</v>
      </c>
      <c r="B225" t="s">
        <v>162</v>
      </c>
      <c r="C225" t="s">
        <v>165</v>
      </c>
      <c r="D225" t="s">
        <v>77</v>
      </c>
      <c r="E225" s="114" t="s">
        <v>354</v>
      </c>
      <c r="F225" s="118">
        <f xml:space="preserve"> (1/ F216 - 0 ) * ( F218 * F219 * F220 * F221 * ( F222 - F223 ) * 1)/ F224</f>
        <v>169.38297952947713</v>
      </c>
      <c r="H225" s="12" t="s">
        <v>334</v>
      </c>
      <c r="I225" s="12" t="s">
        <v>335</v>
      </c>
      <c r="J225" s="12" t="b">
        <f t="shared" si="40"/>
        <v>1</v>
      </c>
    </row>
    <row r="226" spans="1:10" x14ac:dyDescent="0.25">
      <c r="A226" s="12" t="str">
        <f t="shared" si="39"/>
        <v>Residential_Hot Water_Heat Pump Water Heater_Delta_Btu</v>
      </c>
      <c r="B226" t="s">
        <v>162</v>
      </c>
      <c r="C226" t="s">
        <v>165</v>
      </c>
      <c r="D226" t="s">
        <v>77</v>
      </c>
      <c r="E226" s="114" t="s">
        <v>355</v>
      </c>
      <c r="F226" s="118">
        <f>F225*100000</f>
        <v>16938297.952947713</v>
      </c>
      <c r="H226" s="12" t="s">
        <v>334</v>
      </c>
      <c r="I226" s="12" t="s">
        <v>335</v>
      </c>
      <c r="J226" s="12" t="b">
        <f t="shared" si="40"/>
        <v>1</v>
      </c>
    </row>
    <row r="227" spans="1:10" x14ac:dyDescent="0.25">
      <c r="A227" s="12" t="str">
        <f t="shared" si="39"/>
        <v>Residential_Hot Water_Heat Pump Water Heater_kWh Saved per Unit</v>
      </c>
      <c r="B227" t="s">
        <v>162</v>
      </c>
      <c r="C227" t="s">
        <v>165</v>
      </c>
      <c r="D227" t="s">
        <v>77</v>
      </c>
      <c r="E227" s="111" t="s">
        <v>280</v>
      </c>
      <c r="F227" s="99">
        <f>F212</f>
        <v>-899.8080361959984</v>
      </c>
      <c r="H227" s="12" t="s">
        <v>334</v>
      </c>
      <c r="I227" s="12" t="s">
        <v>335</v>
      </c>
      <c r="J227" s="12" t="b">
        <f t="shared" si="40"/>
        <v>1</v>
      </c>
    </row>
    <row r="228" spans="1:10" x14ac:dyDescent="0.25">
      <c r="A228" s="12" t="str">
        <f t="shared" si="39"/>
        <v>Residential_Hot Water_Heat Pump Water Heater_Coincident Peak kW Saved per Unit</v>
      </c>
      <c r="B228" t="s">
        <v>162</v>
      </c>
      <c r="C228" t="s">
        <v>165</v>
      </c>
      <c r="D228" t="s">
        <v>77</v>
      </c>
      <c r="E228" s="111" t="s">
        <v>281</v>
      </c>
      <c r="F228" s="99">
        <f>F215</f>
        <v>-4.2628094884926887E-2</v>
      </c>
      <c r="H228" s="12" t="s">
        <v>334</v>
      </c>
      <c r="I228" s="12" t="s">
        <v>335</v>
      </c>
      <c r="J228" s="12" t="b">
        <f t="shared" si="40"/>
        <v>1</v>
      </c>
    </row>
    <row r="229" spans="1:10" x14ac:dyDescent="0.25">
      <c r="A229" s="12" t="str">
        <f t="shared" si="39"/>
        <v>Residential_Hot Water_Heat Pump Water Heater_Propane Gal Saved per Unit</v>
      </c>
      <c r="B229" t="s">
        <v>162</v>
      </c>
      <c r="C229" t="s">
        <v>165</v>
      </c>
      <c r="D229" t="s">
        <v>77</v>
      </c>
      <c r="E229" s="111" t="s">
        <v>282</v>
      </c>
      <c r="F229" s="99">
        <f>F226/91333</f>
        <v>185.45649385159487</v>
      </c>
      <c r="G229" s="12" t="s">
        <v>283</v>
      </c>
      <c r="H229" s="12" t="s">
        <v>334</v>
      </c>
      <c r="I229" s="12" t="s">
        <v>335</v>
      </c>
      <c r="J229" s="12" t="b">
        <f t="shared" si="40"/>
        <v>1</v>
      </c>
    </row>
    <row r="230" spans="1:10" x14ac:dyDescent="0.25">
      <c r="A230" s="12" t="str">
        <f t="shared" si="39"/>
        <v>Residential_Hot Water_Heat Pump Water Heater_Lifetime (years)</v>
      </c>
      <c r="B230" t="s">
        <v>162</v>
      </c>
      <c r="C230" t="s">
        <v>165</v>
      </c>
      <c r="D230" t="s">
        <v>77</v>
      </c>
      <c r="E230" s="111" t="s">
        <v>284</v>
      </c>
      <c r="F230" s="99">
        <v>15</v>
      </c>
      <c r="H230" s="12" t="s">
        <v>334</v>
      </c>
      <c r="I230" s="12" t="s">
        <v>335</v>
      </c>
      <c r="J230" s="12" t="b">
        <f t="shared" si="40"/>
        <v>0</v>
      </c>
    </row>
    <row r="231" spans="1:10" x14ac:dyDescent="0.25">
      <c r="A231" s="12" t="str">
        <f t="shared" si="39"/>
        <v>Residential_Hot Water_Heat Pump Water Heater_Incremental Cost</v>
      </c>
      <c r="B231" t="s">
        <v>162</v>
      </c>
      <c r="C231" t="s">
        <v>165</v>
      </c>
      <c r="D231" t="s">
        <v>77</v>
      </c>
      <c r="E231" s="111" t="s">
        <v>285</v>
      </c>
      <c r="F231" s="100">
        <v>2231</v>
      </c>
      <c r="H231" s="12" t="s">
        <v>334</v>
      </c>
      <c r="I231" s="12" t="s">
        <v>335</v>
      </c>
      <c r="J231" s="12" t="b">
        <f t="shared" si="40"/>
        <v>0</v>
      </c>
    </row>
    <row r="232" spans="1:10" x14ac:dyDescent="0.25">
      <c r="A232" s="12" t="str">
        <f t="shared" si="39"/>
        <v>Residential_Hot Water_Heat Pump Water Heater_BTU Impact_Existing_Fossil Fuel</v>
      </c>
      <c r="B232" t="s">
        <v>162</v>
      </c>
      <c r="C232" t="s">
        <v>165</v>
      </c>
      <c r="D232" t="s">
        <v>77</v>
      </c>
      <c r="E232" s="111" t="s">
        <v>287</v>
      </c>
      <c r="F232" s="99">
        <f>-F226</f>
        <v>-16938297.952947713</v>
      </c>
      <c r="H232" s="12" t="s">
        <v>334</v>
      </c>
      <c r="I232" s="12" t="s">
        <v>335</v>
      </c>
      <c r="J232" s="12" t="b">
        <f t="shared" si="40"/>
        <v>1</v>
      </c>
    </row>
    <row r="233" spans="1:10" x14ac:dyDescent="0.25">
      <c r="A233" s="12" t="str">
        <f t="shared" si="39"/>
        <v>Residential_Hot Water_Heat Pump Water Heater_BTU Impact_Existing_Winter Electricity</v>
      </c>
      <c r="B233" t="s">
        <v>162</v>
      </c>
      <c r="C233" t="s">
        <v>165</v>
      </c>
      <c r="D233" t="s">
        <v>77</v>
      </c>
      <c r="E233" s="111" t="s">
        <v>288</v>
      </c>
      <c r="F233" s="99">
        <v>0</v>
      </c>
      <c r="G233" s="109"/>
      <c r="H233" s="12" t="s">
        <v>334</v>
      </c>
      <c r="I233" s="12" t="s">
        <v>335</v>
      </c>
      <c r="J233" s="12" t="b">
        <f t="shared" si="40"/>
        <v>0</v>
      </c>
    </row>
    <row r="234" spans="1:10" x14ac:dyDescent="0.25">
      <c r="A234" s="12" t="str">
        <f t="shared" si="39"/>
        <v>Residential_Hot Water_Heat Pump Water Heater_BTU Impact_Existing_Summer Electricity</v>
      </c>
      <c r="B234" t="s">
        <v>162</v>
      </c>
      <c r="C234" t="s">
        <v>165</v>
      </c>
      <c r="D234" t="s">
        <v>77</v>
      </c>
      <c r="E234" s="111" t="s">
        <v>289</v>
      </c>
      <c r="F234" s="99">
        <v>0</v>
      </c>
      <c r="G234" s="109"/>
      <c r="H234" s="12" t="s">
        <v>334</v>
      </c>
      <c r="I234" s="12" t="s">
        <v>335</v>
      </c>
      <c r="J234" s="12" t="b">
        <f t="shared" si="40"/>
        <v>0</v>
      </c>
    </row>
    <row r="235" spans="1:10" x14ac:dyDescent="0.25">
      <c r="A235" s="12" t="str">
        <f t="shared" si="39"/>
        <v>Residential_Hot Water_Heat Pump Water Heater_BTU Impact_New_Fossil Fuel</v>
      </c>
      <c r="B235" t="s">
        <v>162</v>
      </c>
      <c r="C235" t="s">
        <v>165</v>
      </c>
      <c r="D235" t="s">
        <v>77</v>
      </c>
      <c r="E235" s="111" t="s">
        <v>290</v>
      </c>
      <c r="F235" s="99">
        <v>0</v>
      </c>
      <c r="H235" s="12" t="s">
        <v>334</v>
      </c>
      <c r="I235" s="12" t="s">
        <v>335</v>
      </c>
      <c r="J235" s="12" t="b">
        <f t="shared" si="40"/>
        <v>0</v>
      </c>
    </row>
    <row r="236" spans="1:10" x14ac:dyDescent="0.25">
      <c r="A236" s="12" t="str">
        <f t="shared" si="39"/>
        <v>Residential_Hot Water_Heat Pump Water Heater_BTU Impact_New_Winter Electricity</v>
      </c>
      <c r="B236" t="s">
        <v>162</v>
      </c>
      <c r="C236" t="s">
        <v>165</v>
      </c>
      <c r="D236" t="s">
        <v>77</v>
      </c>
      <c r="E236" s="111" t="s">
        <v>291</v>
      </c>
      <c r="F236" s="99">
        <f xml:space="preserve"> -((((0 - 1/ F194 ) * F195 * F196 * F197 * F198 * ( F199 - F200 ) * 1) / F201 )*G236 - F210)*3412</f>
        <v>2370963.9245818523</v>
      </c>
      <c r="G236" s="109">
        <v>0.63900000000000001</v>
      </c>
      <c r="H236" s="12" t="s">
        <v>334</v>
      </c>
      <c r="I236" s="12" t="s">
        <v>335</v>
      </c>
      <c r="J236" s="12" t="b">
        <f t="shared" si="40"/>
        <v>1</v>
      </c>
    </row>
    <row r="237" spans="1:10" x14ac:dyDescent="0.25">
      <c r="A237" s="12" t="str">
        <f t="shared" si="39"/>
        <v>Residential_Hot Water_Heat Pump Water Heater_BTU Impact_New_Summer Electricity</v>
      </c>
      <c r="B237" t="s">
        <v>162</v>
      </c>
      <c r="C237" t="s">
        <v>165</v>
      </c>
      <c r="D237" t="s">
        <v>77</v>
      </c>
      <c r="E237" s="111" t="s">
        <v>292</v>
      </c>
      <c r="F237" s="99">
        <f xml:space="preserve"> -((((0 - 1/ F194 ) * F195 * F196 * F197 * F198 * ( F199 - F200 ) * 1) / F201 )*G237 + F206 + F211)*3412</f>
        <v>699181.09491889423</v>
      </c>
      <c r="G237" s="109">
        <v>0.36099999999999999</v>
      </c>
      <c r="H237" s="12" t="s">
        <v>334</v>
      </c>
      <c r="I237" s="12" t="s">
        <v>335</v>
      </c>
      <c r="J237" s="12" t="b">
        <f t="shared" si="40"/>
        <v>1</v>
      </c>
    </row>
    <row r="238" spans="1:10" x14ac:dyDescent="0.25">
      <c r="A238" s="12" t="str">
        <f t="shared" si="39"/>
        <v>Residential_Hot Water_Heat Pump Water Heater_</v>
      </c>
      <c r="B238" t="s">
        <v>162</v>
      </c>
      <c r="C238" t="s">
        <v>165</v>
      </c>
      <c r="D238" t="s">
        <v>77</v>
      </c>
      <c r="J238" s="12" t="b">
        <f t="shared" si="40"/>
        <v>0</v>
      </c>
    </row>
    <row r="239" spans="1:10" x14ac:dyDescent="0.25">
      <c r="A239" s="12" t="str">
        <f t="shared" si="39"/>
        <v>Residential_Appliances_Heat Pump Clothes Dryer_Load</v>
      </c>
      <c r="B239" t="s">
        <v>162</v>
      </c>
      <c r="C239" t="s">
        <v>166</v>
      </c>
      <c r="D239" t="s">
        <v>76</v>
      </c>
      <c r="E239" s="102" t="s">
        <v>356</v>
      </c>
      <c r="F239" s="103">
        <v>8.4499999999999993</v>
      </c>
      <c r="G239" s="12" t="s">
        <v>357</v>
      </c>
      <c r="H239" s="12" t="s">
        <v>358</v>
      </c>
      <c r="I239" s="12" t="s">
        <v>359</v>
      </c>
      <c r="J239" s="12" t="b">
        <f t="shared" si="40"/>
        <v>0</v>
      </c>
    </row>
    <row r="240" spans="1:10" x14ac:dyDescent="0.25">
      <c r="A240" s="12" t="str">
        <f t="shared" si="39"/>
        <v>Residential_Appliances_Heat Pump Clothes Dryer_CEFbase</v>
      </c>
      <c r="B240" t="s">
        <v>162</v>
      </c>
      <c r="C240" t="s">
        <v>166</v>
      </c>
      <c r="D240" t="s">
        <v>76</v>
      </c>
      <c r="E240" s="102" t="s">
        <v>360</v>
      </c>
      <c r="F240" s="103">
        <v>3.11</v>
      </c>
      <c r="G240" s="12" t="s">
        <v>361</v>
      </c>
      <c r="H240" s="12" t="s">
        <v>358</v>
      </c>
      <c r="I240" s="12" t="s">
        <v>359</v>
      </c>
      <c r="J240" s="12" t="b">
        <f t="shared" si="40"/>
        <v>0</v>
      </c>
    </row>
    <row r="241" spans="1:10" x14ac:dyDescent="0.25">
      <c r="A241" s="12" t="str">
        <f t="shared" si="39"/>
        <v>Residential_Appliances_Heat Pump Clothes Dryer_Load</v>
      </c>
      <c r="B241" t="s">
        <v>162</v>
      </c>
      <c r="C241" t="s">
        <v>166</v>
      </c>
      <c r="D241" t="s">
        <v>76</v>
      </c>
      <c r="E241" s="102" t="s">
        <v>356</v>
      </c>
      <c r="F241" s="103">
        <v>8.4499999999999993</v>
      </c>
      <c r="G241" s="12" t="s">
        <v>357</v>
      </c>
      <c r="H241" s="12" t="s">
        <v>358</v>
      </c>
      <c r="I241" s="12" t="s">
        <v>359</v>
      </c>
      <c r="J241" s="12" t="b">
        <f t="shared" si="40"/>
        <v>0</v>
      </c>
    </row>
    <row r="242" spans="1:10" x14ac:dyDescent="0.25">
      <c r="A242" s="12" t="str">
        <f t="shared" si="39"/>
        <v>Residential_Appliances_Heat Pump Clothes Dryer_CEFeff</v>
      </c>
      <c r="B242" t="s">
        <v>162</v>
      </c>
      <c r="C242" t="s">
        <v>166</v>
      </c>
      <c r="D242" t="s">
        <v>76</v>
      </c>
      <c r="E242" s="102" t="s">
        <v>362</v>
      </c>
      <c r="F242" s="103">
        <v>3.93</v>
      </c>
      <c r="G242" s="12" t="s">
        <v>363</v>
      </c>
      <c r="H242" s="12" t="s">
        <v>358</v>
      </c>
      <c r="I242" s="12" t="s">
        <v>359</v>
      </c>
      <c r="J242" s="12" t="b">
        <f t="shared" si="40"/>
        <v>0</v>
      </c>
    </row>
    <row r="243" spans="1:10" x14ac:dyDescent="0.25">
      <c r="A243" s="12" t="str">
        <f t="shared" si="39"/>
        <v>Residential_Appliances_Heat Pump Clothes Dryer_Ncycles</v>
      </c>
      <c r="B243" t="s">
        <v>162</v>
      </c>
      <c r="C243" t="s">
        <v>166</v>
      </c>
      <c r="D243" t="s">
        <v>76</v>
      </c>
      <c r="E243" s="102" t="s">
        <v>364</v>
      </c>
      <c r="F243" s="219">
        <v>259</v>
      </c>
      <c r="H243" s="12" t="s">
        <v>358</v>
      </c>
      <c r="I243" s="12" t="s">
        <v>359</v>
      </c>
      <c r="J243" s="12" t="b">
        <f t="shared" si="40"/>
        <v>0</v>
      </c>
    </row>
    <row r="244" spans="1:10" x14ac:dyDescent="0.25">
      <c r="A244" s="12" t="str">
        <f t="shared" si="39"/>
        <v>Residential_Appliances_Heat Pump Clothes Dryer_%Electric</v>
      </c>
      <c r="B244" t="s">
        <v>162</v>
      </c>
      <c r="C244" t="s">
        <v>166</v>
      </c>
      <c r="D244" t="s">
        <v>76</v>
      </c>
      <c r="E244" s="102" t="s">
        <v>365</v>
      </c>
      <c r="F244" s="103">
        <v>1</v>
      </c>
      <c r="G244" s="12" t="s">
        <v>366</v>
      </c>
      <c r="H244" s="12" t="s">
        <v>358</v>
      </c>
      <c r="I244" s="12" t="s">
        <v>359</v>
      </c>
      <c r="J244" s="12" t="b">
        <f t="shared" si="40"/>
        <v>0</v>
      </c>
    </row>
    <row r="245" spans="1:10" x14ac:dyDescent="0.25">
      <c r="A245" s="12" t="str">
        <f t="shared" si="39"/>
        <v>Residential_Appliances_Heat Pump Clothes Dryer_ΔkWh</v>
      </c>
      <c r="B245" t="s">
        <v>162</v>
      </c>
      <c r="C245" t="s">
        <v>166</v>
      </c>
      <c r="D245" t="s">
        <v>76</v>
      </c>
      <c r="E245" s="114" t="s">
        <v>367</v>
      </c>
      <c r="F245" s="115">
        <f xml:space="preserve"> ( 0 - F241 / F242 ) * F243 * F244</f>
        <v>-556.88295165394402</v>
      </c>
      <c r="H245" s="12" t="s">
        <v>358</v>
      </c>
      <c r="I245" s="12" t="s">
        <v>359</v>
      </c>
      <c r="J245" s="12" t="b">
        <f t="shared" si="40"/>
        <v>1</v>
      </c>
    </row>
    <row r="246" spans="1:10" x14ac:dyDescent="0.25">
      <c r="A246" s="12" t="str">
        <f t="shared" si="39"/>
        <v>Residential_Appliances_Heat Pump Clothes Dryer_Hours</v>
      </c>
      <c r="B246" t="s">
        <v>162</v>
      </c>
      <c r="C246" t="s">
        <v>166</v>
      </c>
      <c r="D246" t="s">
        <v>76</v>
      </c>
      <c r="E246" s="102" t="s">
        <v>352</v>
      </c>
      <c r="F246" s="103">
        <v>283</v>
      </c>
      <c r="H246" s="12" t="s">
        <v>358</v>
      </c>
      <c r="I246" s="12" t="s">
        <v>359</v>
      </c>
      <c r="J246" s="12" t="b">
        <f t="shared" si="40"/>
        <v>0</v>
      </c>
    </row>
    <row r="247" spans="1:10" x14ac:dyDescent="0.25">
      <c r="A247" s="12" t="str">
        <f t="shared" si="39"/>
        <v>Residential_Appliances_Heat Pump Clothes Dryer_CF</v>
      </c>
      <c r="B247" t="s">
        <v>162</v>
      </c>
      <c r="C247" t="s">
        <v>166</v>
      </c>
      <c r="D247" t="s">
        <v>76</v>
      </c>
      <c r="E247" s="102" t="s">
        <v>277</v>
      </c>
      <c r="F247" s="103">
        <v>3.7999999999999999E-2</v>
      </c>
      <c r="H247" s="12" t="s">
        <v>358</v>
      </c>
      <c r="I247" s="12" t="s">
        <v>359</v>
      </c>
      <c r="J247" s="12" t="b">
        <f t="shared" si="40"/>
        <v>0</v>
      </c>
    </row>
    <row r="248" spans="1:10" x14ac:dyDescent="0.25">
      <c r="A248" s="12" t="str">
        <f t="shared" si="39"/>
        <v>Residential_Appliances_Heat Pump Clothes Dryer_ΔkW</v>
      </c>
      <c r="B248" t="s">
        <v>162</v>
      </c>
      <c r="C248" t="s">
        <v>166</v>
      </c>
      <c r="D248" t="s">
        <v>76</v>
      </c>
      <c r="E248" s="114" t="s">
        <v>368</v>
      </c>
      <c r="F248" s="115">
        <f xml:space="preserve"> F245 / F246 * F247</f>
        <v>-7.4775802695582594E-2</v>
      </c>
      <c r="H248" s="12" t="s">
        <v>358</v>
      </c>
      <c r="I248" s="12" t="s">
        <v>359</v>
      </c>
      <c r="J248" s="12" t="b">
        <f t="shared" si="40"/>
        <v>1</v>
      </c>
    </row>
    <row r="249" spans="1:10" x14ac:dyDescent="0.25">
      <c r="A249" s="12" t="str">
        <f t="shared" si="39"/>
        <v>Residential_Appliances_Heat Pump Clothes Dryer_Load</v>
      </c>
      <c r="B249" t="s">
        <v>162</v>
      </c>
      <c r="C249" t="s">
        <v>166</v>
      </c>
      <c r="D249" t="s">
        <v>76</v>
      </c>
      <c r="E249" s="102" t="s">
        <v>356</v>
      </c>
      <c r="F249" s="103">
        <v>8.4499999999999993</v>
      </c>
      <c r="G249" s="12" t="s">
        <v>357</v>
      </c>
      <c r="H249" s="12" t="s">
        <v>358</v>
      </c>
      <c r="I249" s="12" t="s">
        <v>359</v>
      </c>
      <c r="J249" s="12" t="b">
        <f t="shared" si="40"/>
        <v>0</v>
      </c>
    </row>
    <row r="250" spans="1:10" x14ac:dyDescent="0.25">
      <c r="A250" s="12" t="str">
        <f t="shared" si="39"/>
        <v>Residential_Appliances_Heat Pump Clothes Dryer_EFbase</v>
      </c>
      <c r="B250" t="s">
        <v>162</v>
      </c>
      <c r="C250" t="s">
        <v>166</v>
      </c>
      <c r="D250" t="s">
        <v>76</v>
      </c>
      <c r="E250" s="102" t="s">
        <v>369</v>
      </c>
      <c r="F250" s="232">
        <v>2.84</v>
      </c>
      <c r="G250" s="12" t="s">
        <v>370</v>
      </c>
      <c r="H250" s="12" t="s">
        <v>358</v>
      </c>
      <c r="I250" s="12" t="s">
        <v>359</v>
      </c>
      <c r="J250" s="12" t="b">
        <f t="shared" si="40"/>
        <v>0</v>
      </c>
    </row>
    <row r="251" spans="1:10" x14ac:dyDescent="0.25">
      <c r="A251" s="12" t="str">
        <f t="shared" si="39"/>
        <v>Residential_Appliances_Heat Pump Clothes Dryer_IQAdj</v>
      </c>
      <c r="B251" t="s">
        <v>162</v>
      </c>
      <c r="C251" t="s">
        <v>166</v>
      </c>
      <c r="D251" t="s">
        <v>76</v>
      </c>
      <c r="E251" s="102" t="s">
        <v>371</v>
      </c>
      <c r="F251" s="232">
        <f>IF(Dashboard_FS!$K$20="Yes",1.033,1)</f>
        <v>1.0329999999999999</v>
      </c>
      <c r="H251" s="12" t="s">
        <v>358</v>
      </c>
      <c r="I251" s="12" t="s">
        <v>359</v>
      </c>
      <c r="J251" s="12" t="b">
        <f t="shared" ref="J251" si="41">_xlfn.ISFORMULA(F251)</f>
        <v>1</v>
      </c>
    </row>
    <row r="252" spans="1:10" x14ac:dyDescent="0.25">
      <c r="A252" s="12" t="str">
        <f t="shared" si="39"/>
        <v>Residential_Appliances_Heat Pump Clothes Dryer_Load</v>
      </c>
      <c r="B252" t="s">
        <v>162</v>
      </c>
      <c r="C252" t="s">
        <v>166</v>
      </c>
      <c r="D252" t="s">
        <v>76</v>
      </c>
      <c r="E252" s="102" t="s">
        <v>356</v>
      </c>
      <c r="F252" s="103">
        <v>8.4499999999999993</v>
      </c>
      <c r="G252" s="12" t="s">
        <v>357</v>
      </c>
      <c r="H252" s="12" t="s">
        <v>358</v>
      </c>
      <c r="I252" s="12" t="s">
        <v>359</v>
      </c>
      <c r="J252" s="12" t="b">
        <f t="shared" si="40"/>
        <v>0</v>
      </c>
    </row>
    <row r="253" spans="1:10" x14ac:dyDescent="0.25">
      <c r="A253" s="12" t="str">
        <f t="shared" si="39"/>
        <v>Residential_Appliances_Heat Pump Clothes Dryer_CEFeff</v>
      </c>
      <c r="B253" t="s">
        <v>162</v>
      </c>
      <c r="C253" t="s">
        <v>166</v>
      </c>
      <c r="D253" t="s">
        <v>76</v>
      </c>
      <c r="E253" s="102" t="s">
        <v>362</v>
      </c>
      <c r="F253" s="103">
        <v>3.48</v>
      </c>
      <c r="G253" s="12" t="s">
        <v>370</v>
      </c>
      <c r="H253" s="12" t="s">
        <v>358</v>
      </c>
      <c r="I253" s="12" t="s">
        <v>359</v>
      </c>
      <c r="J253" s="12" t="b">
        <f t="shared" si="40"/>
        <v>0</v>
      </c>
    </row>
    <row r="254" spans="1:10" x14ac:dyDescent="0.25">
      <c r="A254" s="12" t="str">
        <f t="shared" si="39"/>
        <v>Residential_Appliances_Heat Pump Clothes Dryer_Ncycles</v>
      </c>
      <c r="B254" t="s">
        <v>162</v>
      </c>
      <c r="C254" t="s">
        <v>166</v>
      </c>
      <c r="D254" t="s">
        <v>76</v>
      </c>
      <c r="E254" s="102" t="s">
        <v>364</v>
      </c>
      <c r="F254" s="219">
        <v>259</v>
      </c>
      <c r="H254" s="12" t="s">
        <v>358</v>
      </c>
      <c r="I254" s="12" t="s">
        <v>359</v>
      </c>
      <c r="J254" s="12" t="b">
        <f t="shared" si="40"/>
        <v>0</v>
      </c>
    </row>
    <row r="255" spans="1:10" x14ac:dyDescent="0.25">
      <c r="A255" s="12" t="str">
        <f t="shared" si="39"/>
        <v>Residential_Appliances_Heat Pump Clothes Dryer_Therm_convert</v>
      </c>
      <c r="B255" t="s">
        <v>162</v>
      </c>
      <c r="C255" t="s">
        <v>166</v>
      </c>
      <c r="D255" t="s">
        <v>76</v>
      </c>
      <c r="E255" s="102" t="s">
        <v>372</v>
      </c>
      <c r="F255" s="103">
        <v>3.4119999999999998E-2</v>
      </c>
      <c r="H255" s="12" t="s">
        <v>358</v>
      </c>
      <c r="I255" s="12" t="s">
        <v>359</v>
      </c>
      <c r="J255" s="12" t="b">
        <f t="shared" si="40"/>
        <v>0</v>
      </c>
    </row>
    <row r="256" spans="1:10" x14ac:dyDescent="0.25">
      <c r="A256" s="12" t="str">
        <f t="shared" si="39"/>
        <v>Residential_Appliances_Heat Pump Clothes Dryer_%Gas</v>
      </c>
      <c r="B256" t="s">
        <v>162</v>
      </c>
      <c r="C256" t="s">
        <v>166</v>
      </c>
      <c r="D256" t="s">
        <v>76</v>
      </c>
      <c r="E256" s="102" t="s">
        <v>373</v>
      </c>
      <c r="F256" s="103">
        <v>1</v>
      </c>
      <c r="G256" s="12" t="s">
        <v>374</v>
      </c>
      <c r="H256" s="12" t="s">
        <v>358</v>
      </c>
      <c r="I256" s="12" t="s">
        <v>359</v>
      </c>
      <c r="J256" s="12" t="b">
        <f t="shared" si="40"/>
        <v>0</v>
      </c>
    </row>
    <row r="257" spans="1:10" x14ac:dyDescent="0.25">
      <c r="A257" s="12" t="str">
        <f t="shared" si="39"/>
        <v>Residential_Appliances_Heat Pump Clothes Dryer_Δtherm</v>
      </c>
      <c r="B257" t="s">
        <v>162</v>
      </c>
      <c r="C257" t="s">
        <v>166</v>
      </c>
      <c r="D257" t="s">
        <v>76</v>
      </c>
      <c r="E257" s="114" t="s">
        <v>375</v>
      </c>
      <c r="F257" s="115">
        <f xml:space="preserve"> ( F249 / F250 * F251 - 0) * F254 * F255 * F256</f>
        <v>27.161107661267597</v>
      </c>
      <c r="H257" s="12" t="s">
        <v>358</v>
      </c>
      <c r="I257" s="12" t="s">
        <v>359</v>
      </c>
      <c r="J257" s="12" t="b">
        <f t="shared" si="40"/>
        <v>1</v>
      </c>
    </row>
    <row r="258" spans="1:10" x14ac:dyDescent="0.25">
      <c r="A258" s="12" t="str">
        <f t="shared" si="39"/>
        <v>Residential_Appliances_Heat Pump Clothes Dryer_kWh Saved per Unit</v>
      </c>
      <c r="B258" t="s">
        <v>162</v>
      </c>
      <c r="C258" t="s">
        <v>166</v>
      </c>
      <c r="D258" t="s">
        <v>76</v>
      </c>
      <c r="E258" s="111" t="s">
        <v>280</v>
      </c>
      <c r="F258" s="99">
        <f>F245</f>
        <v>-556.88295165394402</v>
      </c>
      <c r="H258" s="12" t="s">
        <v>358</v>
      </c>
      <c r="I258" s="12" t="s">
        <v>359</v>
      </c>
      <c r="J258" s="12" t="b">
        <f t="shared" si="40"/>
        <v>1</v>
      </c>
    </row>
    <row r="259" spans="1:10" x14ac:dyDescent="0.25">
      <c r="A259" s="12" t="str">
        <f t="shared" si="39"/>
        <v>Residential_Appliances_Heat Pump Clothes Dryer_Coincident Peak kW Saved per Unit</v>
      </c>
      <c r="B259" t="s">
        <v>162</v>
      </c>
      <c r="C259" t="s">
        <v>166</v>
      </c>
      <c r="D259" t="s">
        <v>76</v>
      </c>
      <c r="E259" s="111" t="s">
        <v>281</v>
      </c>
      <c r="F259" s="99">
        <f>F248</f>
        <v>-7.4775802695582594E-2</v>
      </c>
      <c r="H259" s="12" t="s">
        <v>358</v>
      </c>
      <c r="I259" s="12" t="s">
        <v>359</v>
      </c>
      <c r="J259" s="12" t="b">
        <f t="shared" si="40"/>
        <v>1</v>
      </c>
    </row>
    <row r="260" spans="1:10" x14ac:dyDescent="0.25">
      <c r="A260" s="12" t="str">
        <f t="shared" si="39"/>
        <v>Residential_Appliances_Heat Pump Clothes Dryer_Therms Saved per Unit</v>
      </c>
      <c r="B260" t="s">
        <v>162</v>
      </c>
      <c r="C260" t="s">
        <v>166</v>
      </c>
      <c r="D260" t="s">
        <v>76</v>
      </c>
      <c r="E260" s="111" t="s">
        <v>376</v>
      </c>
      <c r="F260" s="99">
        <f>F257</f>
        <v>27.161107661267597</v>
      </c>
      <c r="H260" s="12" t="s">
        <v>358</v>
      </c>
      <c r="I260" s="12" t="s">
        <v>359</v>
      </c>
      <c r="J260" s="12" t="b">
        <f t="shared" si="40"/>
        <v>1</v>
      </c>
    </row>
    <row r="261" spans="1:10" x14ac:dyDescent="0.25">
      <c r="A261" s="12" t="str">
        <f t="shared" si="39"/>
        <v>Residential_Appliances_Heat Pump Clothes Dryer_Lifetime (years)</v>
      </c>
      <c r="B261" t="s">
        <v>162</v>
      </c>
      <c r="C261" t="s">
        <v>166</v>
      </c>
      <c r="D261" t="s">
        <v>76</v>
      </c>
      <c r="E261" s="111" t="s">
        <v>284</v>
      </c>
      <c r="F261" s="99">
        <v>16</v>
      </c>
      <c r="H261" s="12" t="s">
        <v>358</v>
      </c>
      <c r="I261" s="12" t="s">
        <v>359</v>
      </c>
      <c r="J261" s="12" t="b">
        <f t="shared" si="40"/>
        <v>0</v>
      </c>
    </row>
    <row r="262" spans="1:10" x14ac:dyDescent="0.25">
      <c r="A262" s="12" t="str">
        <f t="shared" si="39"/>
        <v>Residential_Appliances_Heat Pump Clothes Dryer_Incremental Cost</v>
      </c>
      <c r="B262" t="s">
        <v>162</v>
      </c>
      <c r="C262" t="s">
        <v>166</v>
      </c>
      <c r="D262" t="s">
        <v>76</v>
      </c>
      <c r="E262" s="111" t="s">
        <v>285</v>
      </c>
      <c r="F262" s="100">
        <f>IF(Dashboard_FS!$K$20="Yes",246,152)</f>
        <v>246</v>
      </c>
      <c r="G262" s="12" t="s">
        <v>377</v>
      </c>
      <c r="H262" s="12" t="s">
        <v>358</v>
      </c>
      <c r="I262" s="12" t="s">
        <v>359</v>
      </c>
      <c r="J262" s="12" t="b">
        <f t="shared" si="40"/>
        <v>1</v>
      </c>
    </row>
    <row r="263" spans="1:10" x14ac:dyDescent="0.25">
      <c r="A263" s="12" t="str">
        <f t="shared" si="39"/>
        <v>Residential_Appliances_Heat Pump Clothes Dryer_BTU Impact_Existing_Fossil Fuel</v>
      </c>
      <c r="B263" t="s">
        <v>162</v>
      </c>
      <c r="C263" t="s">
        <v>166</v>
      </c>
      <c r="D263" t="s">
        <v>76</v>
      </c>
      <c r="E263" s="111" t="s">
        <v>287</v>
      </c>
      <c r="F263" s="99">
        <f>-F257*100000</f>
        <v>-2716110.7661267598</v>
      </c>
      <c r="H263" s="12" t="s">
        <v>358</v>
      </c>
      <c r="I263" s="12" t="s">
        <v>359</v>
      </c>
      <c r="J263" s="12" t="b">
        <f t="shared" si="40"/>
        <v>1</v>
      </c>
    </row>
    <row r="264" spans="1:10" x14ac:dyDescent="0.25">
      <c r="A264" s="12" t="str">
        <f t="shared" si="39"/>
        <v>Residential_Appliances_Heat Pump Clothes Dryer_BTU Impact_Existing_Winter Electricity</v>
      </c>
      <c r="B264" t="s">
        <v>162</v>
      </c>
      <c r="C264" t="s">
        <v>166</v>
      </c>
      <c r="D264" t="s">
        <v>76</v>
      </c>
      <c r="E264" s="111" t="s">
        <v>288</v>
      </c>
      <c r="F264" s="99">
        <f xml:space="preserve"> (( 0 - F249 / F250 ) * F254 * F251 * 3412)*(8/12)</f>
        <v>-1810740.5107511731</v>
      </c>
      <c r="G264" s="12" t="s">
        <v>378</v>
      </c>
      <c r="H264" s="12" t="s">
        <v>358</v>
      </c>
      <c r="I264" s="12" t="s">
        <v>359</v>
      </c>
      <c r="J264" s="12" t="b">
        <f t="shared" si="40"/>
        <v>1</v>
      </c>
    </row>
    <row r="265" spans="1:10" x14ac:dyDescent="0.25">
      <c r="A265" s="12" t="str">
        <f t="shared" si="39"/>
        <v>Residential_Appliances_Heat Pump Clothes Dryer_BTU Impact_Existing_Summer Electricity</v>
      </c>
      <c r="B265" t="s">
        <v>162</v>
      </c>
      <c r="C265" t="s">
        <v>166</v>
      </c>
      <c r="D265" t="s">
        <v>76</v>
      </c>
      <c r="E265" s="111" t="s">
        <v>289</v>
      </c>
      <c r="F265" s="99">
        <f xml:space="preserve"> (( 0 - F249 / F250 ) * F254 * F251 * 3412)*(4/12)</f>
        <v>-905370.25537558657</v>
      </c>
      <c r="G265" s="12" t="s">
        <v>378</v>
      </c>
      <c r="H265" s="12" t="s">
        <v>358</v>
      </c>
      <c r="I265" s="12" t="s">
        <v>359</v>
      </c>
      <c r="J265" s="12" t="b">
        <f t="shared" si="40"/>
        <v>1</v>
      </c>
    </row>
    <row r="266" spans="1:10" x14ac:dyDescent="0.25">
      <c r="A266" s="12" t="str">
        <f t="shared" si="39"/>
        <v>Residential_Appliances_Heat Pump Clothes Dryer_BTU Impact_New_Fossil Fuel</v>
      </c>
      <c r="B266" t="s">
        <v>162</v>
      </c>
      <c r="C266" t="s">
        <v>166</v>
      </c>
      <c r="D266" t="s">
        <v>76</v>
      </c>
      <c r="E266" s="111" t="s">
        <v>290</v>
      </c>
      <c r="F266" s="99">
        <v>0</v>
      </c>
      <c r="H266" s="12" t="s">
        <v>358</v>
      </c>
      <c r="I266" s="12" t="s">
        <v>359</v>
      </c>
      <c r="J266" s="12" t="b">
        <f t="shared" si="40"/>
        <v>0</v>
      </c>
    </row>
    <row r="267" spans="1:10" x14ac:dyDescent="0.25">
      <c r="A267" s="12" t="str">
        <f t="shared" si="39"/>
        <v>Residential_Appliances_Heat Pump Clothes Dryer_BTU Impact_New_Winter Electricity</v>
      </c>
      <c r="B267" t="s">
        <v>162</v>
      </c>
      <c r="C267" t="s">
        <v>166</v>
      </c>
      <c r="D267" t="s">
        <v>76</v>
      </c>
      <c r="E267" s="111" t="s">
        <v>291</v>
      </c>
      <c r="F267" s="99">
        <f>-F258*3412*(8/12)</f>
        <v>1266723.0873621712</v>
      </c>
      <c r="H267" s="12" t="s">
        <v>358</v>
      </c>
      <c r="I267" s="12" t="s">
        <v>359</v>
      </c>
      <c r="J267" s="12" t="b">
        <f t="shared" si="40"/>
        <v>1</v>
      </c>
    </row>
    <row r="268" spans="1:10" x14ac:dyDescent="0.25">
      <c r="A268" s="12" t="str">
        <f t="shared" si="39"/>
        <v>Residential_Appliances_Heat Pump Clothes Dryer_BTU Impact_New_Summer Electricity</v>
      </c>
      <c r="B268" t="s">
        <v>162</v>
      </c>
      <c r="C268" t="s">
        <v>166</v>
      </c>
      <c r="D268" t="s">
        <v>76</v>
      </c>
      <c r="E268" s="111" t="s">
        <v>292</v>
      </c>
      <c r="F268" s="99">
        <f>-F258*3412*(4/12)</f>
        <v>633361.54368108558</v>
      </c>
      <c r="H268" s="12" t="s">
        <v>358</v>
      </c>
      <c r="I268" s="12" t="s">
        <v>359</v>
      </c>
      <c r="J268" s="12" t="b">
        <f t="shared" si="40"/>
        <v>1</v>
      </c>
    </row>
    <row r="269" spans="1:10" x14ac:dyDescent="0.25">
      <c r="A269" s="12" t="str">
        <f t="shared" si="39"/>
        <v>Residential_Appliances_Heat Pump Clothes Dryer_</v>
      </c>
      <c r="B269" t="s">
        <v>162</v>
      </c>
      <c r="C269" t="s">
        <v>166</v>
      </c>
      <c r="D269" t="s">
        <v>76</v>
      </c>
      <c r="H269" s="12" t="s">
        <v>358</v>
      </c>
      <c r="I269" s="12" t="s">
        <v>359</v>
      </c>
      <c r="J269" s="12" t="b">
        <f t="shared" si="40"/>
        <v>0</v>
      </c>
    </row>
    <row r="270" spans="1:10" x14ac:dyDescent="0.25">
      <c r="A270" s="12" t="str">
        <f t="shared" ref="A270:A271" si="42">B270&amp;"_"&amp;C270&amp;"_"&amp;D270&amp;"_"&amp;E270</f>
        <v>Residential_Appliances_Electric Range_Cooktop AEC_basegas</v>
      </c>
      <c r="B270" t="s">
        <v>162</v>
      </c>
      <c r="C270" t="s">
        <v>166</v>
      </c>
      <c r="D270" t="s">
        <v>379</v>
      </c>
      <c r="E270" s="102" t="s">
        <v>380</v>
      </c>
      <c r="F270" s="103">
        <v>12.7</v>
      </c>
      <c r="G270" s="12" t="s">
        <v>260</v>
      </c>
      <c r="H270" s="12" t="s">
        <v>381</v>
      </c>
      <c r="I270" s="12" t="s">
        <v>382</v>
      </c>
      <c r="J270" s="12" t="b">
        <f t="shared" ref="J270:J271" si="43">_xlfn.ISFORMULA(F270)</f>
        <v>0</v>
      </c>
    </row>
    <row r="271" spans="1:10" x14ac:dyDescent="0.25">
      <c r="A271" s="12" t="str">
        <f t="shared" si="42"/>
        <v>Residential_Appliances_Electric Range_Oven AEC_basegas</v>
      </c>
      <c r="B271" t="s">
        <v>162</v>
      </c>
      <c r="C271" t="s">
        <v>166</v>
      </c>
      <c r="D271" t="s">
        <v>379</v>
      </c>
      <c r="E271" s="102" t="s">
        <v>383</v>
      </c>
      <c r="F271" s="103">
        <v>8.6</v>
      </c>
      <c r="G271" s="12" t="s">
        <v>260</v>
      </c>
      <c r="H271" s="12" t="s">
        <v>381</v>
      </c>
      <c r="I271" s="12" t="s">
        <v>382</v>
      </c>
      <c r="J271" s="12" t="b">
        <f t="shared" si="43"/>
        <v>0</v>
      </c>
    </row>
    <row r="272" spans="1:10" x14ac:dyDescent="0.25">
      <c r="A272" s="12" t="str">
        <f t="shared" si="39"/>
        <v>Residential_Appliances_Electric Range_AEC_basegas</v>
      </c>
      <c r="B272" t="s">
        <v>162</v>
      </c>
      <c r="C272" t="s">
        <v>166</v>
      </c>
      <c r="D272" t="s">
        <v>379</v>
      </c>
      <c r="E272" s="102" t="s">
        <v>384</v>
      </c>
      <c r="F272" s="103">
        <f>F270+F271</f>
        <v>21.299999999999997</v>
      </c>
      <c r="H272" s="12" t="s">
        <v>381</v>
      </c>
      <c r="I272" s="12" t="s">
        <v>382</v>
      </c>
      <c r="J272" s="12" t="b">
        <f t="shared" si="40"/>
        <v>1</v>
      </c>
    </row>
    <row r="273" spans="1:10" x14ac:dyDescent="0.25">
      <c r="A273" s="12" t="str">
        <f t="shared" si="39"/>
        <v>Residential_Appliances_Electric Range_10</v>
      </c>
      <c r="B273" t="s">
        <v>162</v>
      </c>
      <c r="C273" t="s">
        <v>166</v>
      </c>
      <c r="D273" t="s">
        <v>379</v>
      </c>
      <c r="E273" s="102">
        <v>10</v>
      </c>
      <c r="F273" s="220">
        <v>10</v>
      </c>
      <c r="H273" s="12" t="s">
        <v>381</v>
      </c>
      <c r="I273" s="12" t="s">
        <v>382</v>
      </c>
      <c r="J273" s="12" t="b">
        <f t="shared" si="40"/>
        <v>0</v>
      </c>
    </row>
    <row r="274" spans="1:10" x14ac:dyDescent="0.25">
      <c r="A274" s="12" t="str">
        <f t="shared" ref="A274:A283" si="44">B274&amp;"_"&amp;C274&amp;"_"&amp;D274&amp;"_"&amp;E274</f>
        <v>Residential_Appliances_Electric Range_Gas Consumption Replaced</v>
      </c>
      <c r="B274" t="s">
        <v>162</v>
      </c>
      <c r="C274" t="s">
        <v>166</v>
      </c>
      <c r="D274" t="s">
        <v>379</v>
      </c>
      <c r="E274" s="114" t="s">
        <v>385</v>
      </c>
      <c r="F274" s="115">
        <f>F272/F273</f>
        <v>2.13</v>
      </c>
      <c r="H274" s="12" t="s">
        <v>381</v>
      </c>
      <c r="I274" s="12" t="s">
        <v>382</v>
      </c>
      <c r="J274" s="12" t="b">
        <f t="shared" si="40"/>
        <v>1</v>
      </c>
    </row>
    <row r="275" spans="1:10" x14ac:dyDescent="0.25">
      <c r="A275" s="12" t="str">
        <f t="shared" si="44"/>
        <v>Residential_Appliances_Electric Range_Cooktop IAEC_ee</v>
      </c>
      <c r="B275" t="s">
        <v>162</v>
      </c>
      <c r="C275" t="s">
        <v>166</v>
      </c>
      <c r="D275" t="s">
        <v>379</v>
      </c>
      <c r="E275" s="102" t="s">
        <v>386</v>
      </c>
      <c r="F275" s="103">
        <v>111</v>
      </c>
      <c r="G275" s="12" t="s">
        <v>260</v>
      </c>
      <c r="H275" s="12" t="s">
        <v>381</v>
      </c>
      <c r="I275" s="12" t="s">
        <v>382</v>
      </c>
      <c r="J275" s="12" t="b">
        <f t="shared" si="40"/>
        <v>0</v>
      </c>
    </row>
    <row r="276" spans="1:10" x14ac:dyDescent="0.25">
      <c r="A276" s="12" t="str">
        <f t="shared" si="44"/>
        <v>Residential_Appliances_Electric Range_Oven IAEC_ee</v>
      </c>
      <c r="B276" t="s">
        <v>162</v>
      </c>
      <c r="C276" t="s">
        <v>166</v>
      </c>
      <c r="D276" t="s">
        <v>379</v>
      </c>
      <c r="E276" s="102" t="s">
        <v>387</v>
      </c>
      <c r="F276" s="103">
        <v>171.6</v>
      </c>
      <c r="G276" s="12" t="s">
        <v>388</v>
      </c>
      <c r="H276" s="12" t="s">
        <v>381</v>
      </c>
      <c r="I276" s="12" t="s">
        <v>382</v>
      </c>
      <c r="J276" s="12" t="b">
        <f t="shared" si="40"/>
        <v>0</v>
      </c>
    </row>
    <row r="277" spans="1:10" x14ac:dyDescent="0.25">
      <c r="A277" s="12" t="str">
        <f t="shared" si="44"/>
        <v>Residential_Appliances_Electric Range_IAEC_ee</v>
      </c>
      <c r="B277" t="s">
        <v>162</v>
      </c>
      <c r="C277" t="s">
        <v>166</v>
      </c>
      <c r="D277" t="s">
        <v>379</v>
      </c>
      <c r="E277" s="102" t="s">
        <v>389</v>
      </c>
      <c r="F277" s="103">
        <f>F275+F276</f>
        <v>282.60000000000002</v>
      </c>
      <c r="H277" s="12" t="s">
        <v>381</v>
      </c>
      <c r="I277" s="12" t="s">
        <v>382</v>
      </c>
      <c r="J277" s="12" t="b">
        <f t="shared" si="40"/>
        <v>1</v>
      </c>
    </row>
    <row r="278" spans="1:10" x14ac:dyDescent="0.25">
      <c r="A278" s="12" t="str">
        <f t="shared" si="44"/>
        <v>Residential_Appliances_Electric Range_3412</v>
      </c>
      <c r="B278" t="s">
        <v>162</v>
      </c>
      <c r="C278" t="s">
        <v>166</v>
      </c>
      <c r="D278" t="s">
        <v>379</v>
      </c>
      <c r="E278" s="102">
        <v>3412</v>
      </c>
      <c r="F278" s="220">
        <v>3412</v>
      </c>
      <c r="H278" s="12" t="s">
        <v>381</v>
      </c>
      <c r="I278" s="12" t="s">
        <v>382</v>
      </c>
      <c r="J278" s="12" t="b">
        <f t="shared" si="40"/>
        <v>0</v>
      </c>
    </row>
    <row r="279" spans="1:10" x14ac:dyDescent="0.25">
      <c r="A279" s="12" t="str">
        <f t="shared" si="44"/>
        <v>Residential_Appliances_Electric Range_1000000</v>
      </c>
      <c r="B279" t="s">
        <v>162</v>
      </c>
      <c r="C279" t="s">
        <v>166</v>
      </c>
      <c r="D279" t="s">
        <v>379</v>
      </c>
      <c r="E279" s="102">
        <v>1000000</v>
      </c>
      <c r="F279" s="220">
        <v>1000000</v>
      </c>
      <c r="H279" s="12" t="s">
        <v>381</v>
      </c>
      <c r="I279" s="12" t="s">
        <v>382</v>
      </c>
      <c r="J279" s="12" t="b">
        <f t="shared" si="40"/>
        <v>0</v>
      </c>
    </row>
    <row r="280" spans="1:10" x14ac:dyDescent="0.25">
      <c r="A280" s="12" t="str">
        <f t="shared" si="44"/>
        <v>Residential_Appliances_Electric Range_Electric Consumption Added</v>
      </c>
      <c r="B280" t="s">
        <v>162</v>
      </c>
      <c r="C280" t="s">
        <v>166</v>
      </c>
      <c r="D280" t="s">
        <v>379</v>
      </c>
      <c r="E280" s="114" t="s">
        <v>390</v>
      </c>
      <c r="F280" s="115">
        <f>F277 * F278 / F279</f>
        <v>0.96423120000000007</v>
      </c>
      <c r="H280" s="12" t="s">
        <v>381</v>
      </c>
      <c r="I280" s="12" t="s">
        <v>382</v>
      </c>
      <c r="J280" s="12" t="b">
        <f t="shared" si="40"/>
        <v>1</v>
      </c>
    </row>
    <row r="281" spans="1:10" x14ac:dyDescent="0.25">
      <c r="A281" s="12" t="str">
        <f t="shared" si="44"/>
        <v>Residential_Appliances_Electric Range_Eff_ee</v>
      </c>
      <c r="B281" t="s">
        <v>162</v>
      </c>
      <c r="C281" t="s">
        <v>166</v>
      </c>
      <c r="D281" t="s">
        <v>379</v>
      </c>
      <c r="E281" s="102" t="s">
        <v>391</v>
      </c>
      <c r="F281" s="103">
        <v>0.85</v>
      </c>
      <c r="G281" s="12" t="s">
        <v>260</v>
      </c>
      <c r="H281" s="12" t="s">
        <v>381</v>
      </c>
      <c r="I281" s="12" t="s">
        <v>382</v>
      </c>
      <c r="J281" s="12" t="b">
        <f t="shared" si="40"/>
        <v>0</v>
      </c>
    </row>
    <row r="282" spans="1:10" x14ac:dyDescent="0.25">
      <c r="A282" s="12" t="str">
        <f t="shared" si="44"/>
        <v>Residential_Appliances_Electric Range_Eff_base</v>
      </c>
      <c r="B282" t="s">
        <v>162</v>
      </c>
      <c r="C282" t="s">
        <v>166</v>
      </c>
      <c r="D282" t="s">
        <v>379</v>
      </c>
      <c r="E282" s="102" t="s">
        <v>392</v>
      </c>
      <c r="F282" s="103">
        <v>0.77</v>
      </c>
      <c r="G282" s="12" t="s">
        <v>260</v>
      </c>
      <c r="H282" s="12" t="s">
        <v>381</v>
      </c>
      <c r="I282" s="12" t="s">
        <v>382</v>
      </c>
      <c r="J282" s="12" t="b">
        <f t="shared" si="40"/>
        <v>0</v>
      </c>
    </row>
    <row r="283" spans="1:10" x14ac:dyDescent="0.25">
      <c r="A283" s="12" t="str">
        <f t="shared" si="44"/>
        <v>Residential_Appliances_Electric Range_Cooktop AEC_base</v>
      </c>
      <c r="B283" t="s">
        <v>162</v>
      </c>
      <c r="C283" t="s">
        <v>166</v>
      </c>
      <c r="D283" t="s">
        <v>379</v>
      </c>
      <c r="E283" s="102" t="s">
        <v>393</v>
      </c>
      <c r="F283" s="103">
        <f>F275 * (F281 / F282)</f>
        <v>122.53246753246754</v>
      </c>
      <c r="H283" s="12" t="s">
        <v>381</v>
      </c>
      <c r="I283" s="12" t="s">
        <v>382</v>
      </c>
      <c r="J283" s="12" t="b">
        <f t="shared" si="40"/>
        <v>1</v>
      </c>
    </row>
    <row r="284" spans="1:10" x14ac:dyDescent="0.25">
      <c r="A284" s="12" t="str">
        <f t="shared" si="39"/>
        <v>Residential_Appliances_Electric Range_AEC_baseelectric</v>
      </c>
      <c r="B284" t="s">
        <v>162</v>
      </c>
      <c r="C284" t="s">
        <v>166</v>
      </c>
      <c r="D284" t="s">
        <v>379</v>
      </c>
      <c r="E284" s="102" t="s">
        <v>394</v>
      </c>
      <c r="F284" s="103">
        <v>54.3</v>
      </c>
      <c r="G284" s="12" t="s">
        <v>388</v>
      </c>
      <c r="H284" s="12" t="s">
        <v>381</v>
      </c>
      <c r="I284" s="12" t="s">
        <v>382</v>
      </c>
      <c r="J284" s="12" t="b">
        <f t="shared" si="40"/>
        <v>0</v>
      </c>
    </row>
    <row r="285" spans="1:10" x14ac:dyDescent="0.25">
      <c r="A285" s="12" t="str">
        <f t="shared" si="39"/>
        <v>Residential_Appliances_Electric Range_3412</v>
      </c>
      <c r="B285" t="s">
        <v>162</v>
      </c>
      <c r="C285" t="s">
        <v>166</v>
      </c>
      <c r="D285" t="s">
        <v>379</v>
      </c>
      <c r="E285" s="102">
        <v>3412</v>
      </c>
      <c r="F285" s="220">
        <v>3412</v>
      </c>
      <c r="H285" s="12" t="s">
        <v>381</v>
      </c>
      <c r="I285" s="12" t="s">
        <v>382</v>
      </c>
      <c r="J285" s="12" t="b">
        <f t="shared" si="40"/>
        <v>0</v>
      </c>
    </row>
    <row r="286" spans="1:10" x14ac:dyDescent="0.25">
      <c r="A286" s="12" t="str">
        <f t="shared" si="39"/>
        <v>Residential_Appliances_Electric Range_1000000</v>
      </c>
      <c r="B286" t="s">
        <v>162</v>
      </c>
      <c r="C286" t="s">
        <v>166</v>
      </c>
      <c r="D286" t="s">
        <v>379</v>
      </c>
      <c r="E286" s="102">
        <v>1000000</v>
      </c>
      <c r="F286" s="220">
        <v>1000000</v>
      </c>
      <c r="H286" s="12" t="s">
        <v>381</v>
      </c>
      <c r="I286" s="12" t="s">
        <v>382</v>
      </c>
      <c r="J286" s="12" t="b">
        <f t="shared" si="40"/>
        <v>0</v>
      </c>
    </row>
    <row r="287" spans="1:10" x14ac:dyDescent="0.25">
      <c r="A287" s="12" t="str">
        <f t="shared" si="39"/>
        <v>Residential_Appliances_Electric Range_Electric Consumption Replaced</v>
      </c>
      <c r="B287" t="s">
        <v>162</v>
      </c>
      <c r="C287" t="s">
        <v>166</v>
      </c>
      <c r="D287" t="s">
        <v>379</v>
      </c>
      <c r="E287" s="114" t="s">
        <v>395</v>
      </c>
      <c r="F287" s="115">
        <f>F284 * F285 / F286</f>
        <v>0.18527159999999998</v>
      </c>
      <c r="H287" s="12" t="s">
        <v>381</v>
      </c>
      <c r="I287" s="12" t="s">
        <v>382</v>
      </c>
      <c r="J287" s="12" t="b">
        <f t="shared" si="40"/>
        <v>1</v>
      </c>
    </row>
    <row r="288" spans="1:10" x14ac:dyDescent="0.25">
      <c r="A288" s="12" t="str">
        <f t="shared" si="39"/>
        <v>Residential_Appliances_Electric Range_Cooking Savings</v>
      </c>
      <c r="B288" t="s">
        <v>162</v>
      </c>
      <c r="C288" t="s">
        <v>166</v>
      </c>
      <c r="D288" t="s">
        <v>379</v>
      </c>
      <c r="E288" s="114" t="s">
        <v>396</v>
      </c>
      <c r="F288" s="115">
        <f>(F274 - F280) + F287</f>
        <v>1.3510404</v>
      </c>
      <c r="H288" s="12" t="s">
        <v>381</v>
      </c>
      <c r="I288" s="12" t="s">
        <v>382</v>
      </c>
      <c r="J288" s="12" t="b">
        <f t="shared" si="40"/>
        <v>1</v>
      </c>
    </row>
    <row r="289" spans="1:10" x14ac:dyDescent="0.25">
      <c r="A289" s="12" t="str">
        <f t="shared" si="39"/>
        <v>Residential_Appliances_Electric Range_%Cool</v>
      </c>
      <c r="B289" t="s">
        <v>162</v>
      </c>
      <c r="C289" t="s">
        <v>166</v>
      </c>
      <c r="D289" t="s">
        <v>379</v>
      </c>
      <c r="E289" s="102" t="s">
        <v>397</v>
      </c>
      <c r="F289" s="103">
        <f>IF(Dashboard_FS!$K$17="Yes",1,0)</f>
        <v>0</v>
      </c>
      <c r="H289" s="12" t="s">
        <v>381</v>
      </c>
      <c r="I289" s="12" t="s">
        <v>382</v>
      </c>
      <c r="J289" s="12" t="b">
        <f t="shared" si="40"/>
        <v>1</v>
      </c>
    </row>
    <row r="290" spans="1:10" x14ac:dyDescent="0.25">
      <c r="A290" s="12" t="str">
        <f t="shared" si="39"/>
        <v>Residential_Appliances_Electric Range_HCF_cool</v>
      </c>
      <c r="B290" t="s">
        <v>162</v>
      </c>
      <c r="C290" t="s">
        <v>166</v>
      </c>
      <c r="D290" t="s">
        <v>379</v>
      </c>
      <c r="E290" s="102" t="s">
        <v>398</v>
      </c>
      <c r="F290" s="103">
        <v>0.21</v>
      </c>
      <c r="H290" s="12" t="s">
        <v>381</v>
      </c>
      <c r="I290" s="12" t="s">
        <v>382</v>
      </c>
      <c r="J290" s="12" t="b">
        <f t="shared" si="40"/>
        <v>0</v>
      </c>
    </row>
    <row r="291" spans="1:10" x14ac:dyDescent="0.25">
      <c r="A291" s="12" t="str">
        <f t="shared" ref="A291:A303" si="45">B291&amp;"_"&amp;C291&amp;"_"&amp;D291&amp;"_"&amp;E291</f>
        <v>Residential_Appliances_Electric Range_Vent Factor</v>
      </c>
      <c r="B291" t="s">
        <v>162</v>
      </c>
      <c r="C291" t="s">
        <v>166</v>
      </c>
      <c r="D291" t="s">
        <v>379</v>
      </c>
      <c r="E291" s="102" t="s">
        <v>399</v>
      </c>
      <c r="F291" s="103">
        <v>0.5</v>
      </c>
      <c r="H291" s="12" t="s">
        <v>381</v>
      </c>
      <c r="I291" s="12" t="s">
        <v>382</v>
      </c>
      <c r="J291" s="12" t="b">
        <f t="shared" si="40"/>
        <v>0</v>
      </c>
    </row>
    <row r="292" spans="1:10" x14ac:dyDescent="0.25">
      <c r="A292" s="12" t="str">
        <f t="shared" si="45"/>
        <v>Residential_Appliances_Electric Range_COP_cool</v>
      </c>
      <c r="B292" t="s">
        <v>162</v>
      </c>
      <c r="C292" t="s">
        <v>166</v>
      </c>
      <c r="D292" t="s">
        <v>379</v>
      </c>
      <c r="E292" s="102" t="s">
        <v>400</v>
      </c>
      <c r="F292" s="103">
        <v>3.3</v>
      </c>
      <c r="G292" s="12" t="s">
        <v>260</v>
      </c>
      <c r="H292" s="12" t="s">
        <v>381</v>
      </c>
      <c r="I292" s="12" t="s">
        <v>382</v>
      </c>
      <c r="J292" s="12" t="b">
        <f t="shared" si="40"/>
        <v>0</v>
      </c>
    </row>
    <row r="293" spans="1:10" x14ac:dyDescent="0.25">
      <c r="A293" s="12" t="str">
        <f t="shared" si="45"/>
        <v>Residential_Appliances_Electric Range_Cooling Impact</v>
      </c>
      <c r="B293" t="s">
        <v>162</v>
      </c>
      <c r="C293" t="s">
        <v>166</v>
      </c>
      <c r="D293" t="s">
        <v>379</v>
      </c>
      <c r="E293" s="114" t="s">
        <v>401</v>
      </c>
      <c r="F293" s="115">
        <f>F288 * F289 * F290 * F291 / F292</f>
        <v>0</v>
      </c>
      <c r="H293" s="12" t="s">
        <v>381</v>
      </c>
      <c r="I293" s="12" t="s">
        <v>382</v>
      </c>
      <c r="J293" s="12" t="b">
        <f t="shared" si="40"/>
        <v>1</v>
      </c>
    </row>
    <row r="294" spans="1:10" x14ac:dyDescent="0.25">
      <c r="A294" s="12" t="str">
        <f t="shared" si="45"/>
        <v>Residential_Appliances_Electric Range_%ElectricHeat</v>
      </c>
      <c r="B294" t="s">
        <v>162</v>
      </c>
      <c r="C294" t="s">
        <v>166</v>
      </c>
      <c r="D294" t="s">
        <v>379</v>
      </c>
      <c r="E294" s="102" t="s">
        <v>402</v>
      </c>
      <c r="F294" s="219">
        <v>0.28999999999999998</v>
      </c>
      <c r="G294" s="12" t="s">
        <v>403</v>
      </c>
      <c r="H294" s="12" t="s">
        <v>381</v>
      </c>
      <c r="I294" s="12" t="s">
        <v>382</v>
      </c>
      <c r="J294" s="12" t="b">
        <f t="shared" si="40"/>
        <v>0</v>
      </c>
    </row>
    <row r="295" spans="1:10" x14ac:dyDescent="0.25">
      <c r="A295" s="12" t="str">
        <f t="shared" si="45"/>
        <v>Residential_Appliances_Electric Range_HCF_heat</v>
      </c>
      <c r="B295" t="s">
        <v>162</v>
      </c>
      <c r="C295" t="s">
        <v>166</v>
      </c>
      <c r="D295" t="s">
        <v>379</v>
      </c>
      <c r="E295" s="102" t="s">
        <v>404</v>
      </c>
      <c r="F295" s="103">
        <v>0.34799999999999998</v>
      </c>
      <c r="H295" s="12" t="s">
        <v>381</v>
      </c>
      <c r="I295" s="12" t="s">
        <v>382</v>
      </c>
      <c r="J295" s="12" t="b">
        <f t="shared" si="40"/>
        <v>0</v>
      </c>
    </row>
    <row r="296" spans="1:10" x14ac:dyDescent="0.25">
      <c r="A296" s="12" t="str">
        <f t="shared" si="45"/>
        <v>Residential_Appliances_Electric Range_Vent Factor</v>
      </c>
      <c r="B296" t="s">
        <v>162</v>
      </c>
      <c r="C296" t="s">
        <v>166</v>
      </c>
      <c r="D296" t="s">
        <v>379</v>
      </c>
      <c r="E296" s="102" t="s">
        <v>399</v>
      </c>
      <c r="F296" s="103">
        <v>0.5</v>
      </c>
      <c r="H296" s="12" t="s">
        <v>381</v>
      </c>
      <c r="I296" s="12" t="s">
        <v>382</v>
      </c>
      <c r="J296" s="12" t="b">
        <f t="shared" si="40"/>
        <v>0</v>
      </c>
    </row>
    <row r="297" spans="1:10" x14ac:dyDescent="0.25">
      <c r="A297" s="12" t="str">
        <f t="shared" si="45"/>
        <v>Residential_Appliances_Electric Range_COP_heat</v>
      </c>
      <c r="B297" t="s">
        <v>162</v>
      </c>
      <c r="C297" t="s">
        <v>166</v>
      </c>
      <c r="D297" t="s">
        <v>379</v>
      </c>
      <c r="E297" s="102" t="s">
        <v>405</v>
      </c>
      <c r="F297" s="103">
        <v>1.3</v>
      </c>
      <c r="G297" s="12" t="s">
        <v>260</v>
      </c>
      <c r="H297" s="12" t="s">
        <v>381</v>
      </c>
      <c r="I297" s="12" t="s">
        <v>382</v>
      </c>
      <c r="J297" s="12" t="b">
        <f t="shared" si="40"/>
        <v>0</v>
      </c>
    </row>
    <row r="298" spans="1:10" x14ac:dyDescent="0.25">
      <c r="A298" s="12" t="str">
        <f t="shared" si="45"/>
        <v>Residential_Appliances_Electric Range_ElecHeat Impact</v>
      </c>
      <c r="B298" t="s">
        <v>162</v>
      </c>
      <c r="C298" t="s">
        <v>166</v>
      </c>
      <c r="D298" t="s">
        <v>379</v>
      </c>
      <c r="E298" s="114" t="s">
        <v>406</v>
      </c>
      <c r="F298" s="115">
        <f>F288 * F294 * F295 * F296 / F297</f>
        <v>5.2441152756923064E-2</v>
      </c>
      <c r="H298" s="12" t="s">
        <v>381</v>
      </c>
      <c r="I298" s="12" t="s">
        <v>382</v>
      </c>
      <c r="J298" s="12" t="b">
        <f t="shared" si="40"/>
        <v>1</v>
      </c>
    </row>
    <row r="299" spans="1:10" x14ac:dyDescent="0.25">
      <c r="A299" s="12" t="str">
        <f t="shared" si="45"/>
        <v>Residential_Appliances_Electric Range_%FossilFuelHeat</v>
      </c>
      <c r="B299" t="s">
        <v>162</v>
      </c>
      <c r="C299" t="s">
        <v>166</v>
      </c>
      <c r="D299" t="s">
        <v>379</v>
      </c>
      <c r="E299" s="102" t="s">
        <v>407</v>
      </c>
      <c r="F299" s="219">
        <v>0.71</v>
      </c>
      <c r="G299" s="12" t="s">
        <v>403</v>
      </c>
      <c r="H299" s="12" t="s">
        <v>381</v>
      </c>
      <c r="I299" s="12" t="s">
        <v>382</v>
      </c>
      <c r="J299" s="12" t="b">
        <f t="shared" si="40"/>
        <v>0</v>
      </c>
    </row>
    <row r="300" spans="1:10" x14ac:dyDescent="0.25">
      <c r="A300" s="12" t="str">
        <f t="shared" si="45"/>
        <v>Residential_Appliances_Electric Range_HCF_heat</v>
      </c>
      <c r="B300" t="s">
        <v>162</v>
      </c>
      <c r="C300" t="s">
        <v>166</v>
      </c>
      <c r="D300" t="s">
        <v>379</v>
      </c>
      <c r="E300" s="102" t="s">
        <v>404</v>
      </c>
      <c r="F300" s="103">
        <v>0.21</v>
      </c>
      <c r="H300" s="12" t="s">
        <v>381</v>
      </c>
      <c r="I300" s="12" t="s">
        <v>382</v>
      </c>
      <c r="J300" s="12" t="b">
        <f t="shared" si="40"/>
        <v>0</v>
      </c>
    </row>
    <row r="301" spans="1:10" x14ac:dyDescent="0.25">
      <c r="A301" s="12" t="str">
        <f t="shared" si="45"/>
        <v>Residential_Appliances_Electric Range_Vent Factor</v>
      </c>
      <c r="B301" t="s">
        <v>162</v>
      </c>
      <c r="C301" t="s">
        <v>166</v>
      </c>
      <c r="D301" t="s">
        <v>379</v>
      </c>
      <c r="E301" s="102" t="s">
        <v>399</v>
      </c>
      <c r="F301" s="103">
        <v>0.5</v>
      </c>
      <c r="H301" s="12" t="s">
        <v>381</v>
      </c>
      <c r="I301" s="12" t="s">
        <v>382</v>
      </c>
      <c r="J301" s="12" t="b">
        <f t="shared" si="40"/>
        <v>0</v>
      </c>
    </row>
    <row r="302" spans="1:10" x14ac:dyDescent="0.25">
      <c r="A302" s="12" t="str">
        <f t="shared" si="45"/>
        <v>Residential_Appliances_Electric Range_nHeat</v>
      </c>
      <c r="B302" t="s">
        <v>162</v>
      </c>
      <c r="C302" t="s">
        <v>166</v>
      </c>
      <c r="D302" t="s">
        <v>379</v>
      </c>
      <c r="E302" s="102" t="s">
        <v>408</v>
      </c>
      <c r="F302" s="103">
        <v>0.7</v>
      </c>
      <c r="H302" s="12" t="s">
        <v>381</v>
      </c>
      <c r="I302" s="12" t="s">
        <v>382</v>
      </c>
      <c r="J302" s="12" t="b">
        <f t="shared" si="40"/>
        <v>0</v>
      </c>
    </row>
    <row r="303" spans="1:10" x14ac:dyDescent="0.25">
      <c r="A303" s="12" t="str">
        <f t="shared" si="45"/>
        <v>Residential_Appliances_Electric Range_Fossil Fuel Heat Impact</v>
      </c>
      <c r="B303" t="s">
        <v>162</v>
      </c>
      <c r="C303" t="s">
        <v>166</v>
      </c>
      <c r="D303" t="s">
        <v>379</v>
      </c>
      <c r="E303" s="114" t="s">
        <v>409</v>
      </c>
      <c r="F303" s="115">
        <f>F288 * F299 * F300 * F301 / F302</f>
        <v>0.1438858026</v>
      </c>
      <c r="H303" s="12" t="s">
        <v>381</v>
      </c>
      <c r="I303" s="12" t="s">
        <v>382</v>
      </c>
      <c r="J303" s="12" t="b">
        <f t="shared" si="40"/>
        <v>1</v>
      </c>
    </row>
    <row r="304" spans="1:10" x14ac:dyDescent="0.25">
      <c r="A304" s="12" t="str">
        <f t="shared" ref="A304:A307" si="46">B304&amp;"_"&amp;C304&amp;"_"&amp;D304&amp;"_"&amp;E304</f>
        <v>Residential_Appliances_Electric Range_1000000</v>
      </c>
      <c r="B304" t="s">
        <v>162</v>
      </c>
      <c r="C304" t="s">
        <v>166</v>
      </c>
      <c r="D304" t="s">
        <v>379</v>
      </c>
      <c r="E304" s="102">
        <v>1000000</v>
      </c>
      <c r="F304" s="220">
        <v>1000000</v>
      </c>
      <c r="H304" s="12" t="s">
        <v>381</v>
      </c>
      <c r="I304" s="12" t="s">
        <v>382</v>
      </c>
      <c r="J304" s="12" t="b">
        <f t="shared" ref="J304:J307" si="47">_xlfn.ISFORMULA(F304)</f>
        <v>0</v>
      </c>
    </row>
    <row r="305" spans="1:10" x14ac:dyDescent="0.25">
      <c r="A305" s="12" t="str">
        <f t="shared" si="46"/>
        <v>Residential_Appliances_Electric Range_3412</v>
      </c>
      <c r="B305" t="s">
        <v>162</v>
      </c>
      <c r="C305" t="s">
        <v>166</v>
      </c>
      <c r="D305" t="s">
        <v>379</v>
      </c>
      <c r="E305" s="102">
        <v>3412</v>
      </c>
      <c r="F305" s="220">
        <v>3412</v>
      </c>
      <c r="H305" s="12" t="s">
        <v>381</v>
      </c>
      <c r="I305" s="12" t="s">
        <v>382</v>
      </c>
      <c r="J305" s="12" t="b">
        <f t="shared" si="47"/>
        <v>0</v>
      </c>
    </row>
    <row r="306" spans="1:10" x14ac:dyDescent="0.25">
      <c r="A306" s="12" t="str">
        <f t="shared" si="46"/>
        <v>Residential_Appliances_Electric Range_Hours</v>
      </c>
      <c r="B306" t="s">
        <v>162</v>
      </c>
      <c r="C306" t="s">
        <v>166</v>
      </c>
      <c r="D306" t="s">
        <v>379</v>
      </c>
      <c r="E306" s="102" t="s">
        <v>352</v>
      </c>
      <c r="F306" s="220">
        <v>239</v>
      </c>
      <c r="H306" s="12" t="s">
        <v>381</v>
      </c>
      <c r="I306" s="12" t="s">
        <v>382</v>
      </c>
      <c r="J306" s="12" t="b">
        <f t="shared" si="47"/>
        <v>0</v>
      </c>
    </row>
    <row r="307" spans="1:10" x14ac:dyDescent="0.25">
      <c r="A307" s="12" t="str">
        <f t="shared" si="46"/>
        <v>Residential_Appliances_Electric Range_WHFd</v>
      </c>
      <c r="B307" t="s">
        <v>162</v>
      </c>
      <c r="C307" t="s">
        <v>166</v>
      </c>
      <c r="D307" t="s">
        <v>379</v>
      </c>
      <c r="E307" s="102" t="s">
        <v>410</v>
      </c>
      <c r="F307" s="103">
        <v>1.1100000000000001</v>
      </c>
      <c r="H307" s="12" t="s">
        <v>381</v>
      </c>
      <c r="I307" s="12" t="s">
        <v>382</v>
      </c>
      <c r="J307" s="12" t="b">
        <f t="shared" si="47"/>
        <v>0</v>
      </c>
    </row>
    <row r="308" spans="1:10" x14ac:dyDescent="0.25">
      <c r="A308" s="12" t="str">
        <f t="shared" ref="A308:A309" si="48">B308&amp;"_"&amp;C308&amp;"_"&amp;D308&amp;"_"&amp;E308</f>
        <v>Residential_Appliances_Electric Range_CF</v>
      </c>
      <c r="B308" t="s">
        <v>162</v>
      </c>
      <c r="C308" t="s">
        <v>166</v>
      </c>
      <c r="D308" t="s">
        <v>379</v>
      </c>
      <c r="E308" s="102" t="s">
        <v>277</v>
      </c>
      <c r="F308" s="103">
        <v>0.28999999999999998</v>
      </c>
      <c r="H308" s="12" t="s">
        <v>381</v>
      </c>
      <c r="I308" s="12" t="s">
        <v>382</v>
      </c>
      <c r="J308" s="12" t="b">
        <f t="shared" ref="J308:J309" si="49">_xlfn.ISFORMULA(F308)</f>
        <v>0</v>
      </c>
    </row>
    <row r="309" spans="1:10" x14ac:dyDescent="0.25">
      <c r="A309" s="12" t="str">
        <f t="shared" si="48"/>
        <v>Residential_Appliances_Electric Range_kW Saved per Unit</v>
      </c>
      <c r="B309" t="s">
        <v>162</v>
      </c>
      <c r="C309" t="s">
        <v>166</v>
      </c>
      <c r="D309" t="s">
        <v>379</v>
      </c>
      <c r="E309" s="114" t="s">
        <v>411</v>
      </c>
      <c r="F309" s="115">
        <f>((F284 - F277 + F293 - F298) * F304 / F305) / F306 * F307 * F308</f>
        <v>-90.140447947770426</v>
      </c>
      <c r="H309" s="12" t="s">
        <v>381</v>
      </c>
      <c r="I309" s="12" t="s">
        <v>382</v>
      </c>
      <c r="J309" s="12" t="b">
        <f t="shared" si="49"/>
        <v>1</v>
      </c>
    </row>
    <row r="310" spans="1:10" x14ac:dyDescent="0.25">
      <c r="A310" s="12" t="str">
        <f t="shared" si="39"/>
        <v>Residential_Appliances_Electric Range_kWh Saved per Unit</v>
      </c>
      <c r="B310" t="s">
        <v>162</v>
      </c>
      <c r="C310" t="s">
        <v>166</v>
      </c>
      <c r="D310" t="s">
        <v>379</v>
      </c>
      <c r="E310" s="111" t="s">
        <v>280</v>
      </c>
      <c r="F310" s="99">
        <f>F283-F275</f>
        <v>11.532467532467535</v>
      </c>
      <c r="H310" s="12" t="s">
        <v>381</v>
      </c>
      <c r="I310" s="12" t="s">
        <v>382</v>
      </c>
      <c r="J310" s="12" t="b">
        <f t="shared" si="40"/>
        <v>1</v>
      </c>
    </row>
    <row r="311" spans="1:10" x14ac:dyDescent="0.25">
      <c r="A311" s="12" t="str">
        <f t="shared" si="39"/>
        <v>Residential_Appliances_Electric Range_Incremental Cost</v>
      </c>
      <c r="B311" t="s">
        <v>162</v>
      </c>
      <c r="C311" t="s">
        <v>166</v>
      </c>
      <c r="D311" t="s">
        <v>379</v>
      </c>
      <c r="E311" s="111" t="s">
        <v>285</v>
      </c>
      <c r="F311" s="100">
        <f>949+200</f>
        <v>1149</v>
      </c>
      <c r="H311" s="12" t="s">
        <v>381</v>
      </c>
      <c r="I311" s="12" t="s">
        <v>382</v>
      </c>
      <c r="J311" s="12" t="b">
        <f t="shared" si="40"/>
        <v>1</v>
      </c>
    </row>
    <row r="312" spans="1:10" x14ac:dyDescent="0.25">
      <c r="A312" s="12" t="str">
        <f t="shared" ref="A312:A375" si="50">B312&amp;"_"&amp;C312&amp;"_"&amp;D312&amp;"_"&amp;E312</f>
        <v>Residential_Appliances_Electric Range_BTU Impact_Existing_Fossil Fuel</v>
      </c>
      <c r="B312" t="s">
        <v>162</v>
      </c>
      <c r="C312" t="s">
        <v>166</v>
      </c>
      <c r="D312" t="s">
        <v>379</v>
      </c>
      <c r="E312" s="111" t="s">
        <v>287</v>
      </c>
      <c r="F312" s="99">
        <f>-F274*10^6</f>
        <v>-2130000</v>
      </c>
      <c r="H312" s="12" t="s">
        <v>381</v>
      </c>
      <c r="I312" s="12" t="s">
        <v>382</v>
      </c>
      <c r="J312" s="12" t="b">
        <f t="shared" ref="J312:J317" si="51">_xlfn.ISFORMULA(F312)</f>
        <v>1</v>
      </c>
    </row>
    <row r="313" spans="1:10" x14ac:dyDescent="0.25">
      <c r="A313" s="12" t="str">
        <f t="shared" si="50"/>
        <v>Residential_Appliances_Electric Range_BTU Impact_Existing_Winter Electricity</v>
      </c>
      <c r="B313" t="s">
        <v>162</v>
      </c>
      <c r="C313" t="s">
        <v>166</v>
      </c>
      <c r="D313" t="s">
        <v>379</v>
      </c>
      <c r="E313" s="111" t="s">
        <v>288</v>
      </c>
      <c r="F313" s="99">
        <f>-F287*(8/12)*10^6</f>
        <v>-123514.39999999998</v>
      </c>
      <c r="H313" s="12" t="s">
        <v>381</v>
      </c>
      <c r="I313" s="12" t="s">
        <v>382</v>
      </c>
      <c r="J313" s="12" t="b">
        <f t="shared" si="51"/>
        <v>1</v>
      </c>
    </row>
    <row r="314" spans="1:10" x14ac:dyDescent="0.25">
      <c r="A314" s="12" t="str">
        <f t="shared" si="50"/>
        <v>Residential_Appliances_Electric Range_BTU Impact_Existing_Summer Electricity</v>
      </c>
      <c r="B314" t="s">
        <v>162</v>
      </c>
      <c r="C314" t="s">
        <v>166</v>
      </c>
      <c r="D314" t="s">
        <v>379</v>
      </c>
      <c r="E314" s="111" t="s">
        <v>289</v>
      </c>
      <c r="F314" s="99">
        <f>-F287*(4/12)*10^6</f>
        <v>-61757.19999999999</v>
      </c>
      <c r="H314" s="12" t="s">
        <v>381</v>
      </c>
      <c r="I314" s="12" t="s">
        <v>382</v>
      </c>
      <c r="J314" s="12" t="b">
        <f t="shared" si="51"/>
        <v>1</v>
      </c>
    </row>
    <row r="315" spans="1:10" x14ac:dyDescent="0.25">
      <c r="A315" s="12" t="str">
        <f t="shared" si="50"/>
        <v>Residential_Appliances_Electric Range_BTU Impact_New_Fossil Fuel</v>
      </c>
      <c r="B315" t="s">
        <v>162</v>
      </c>
      <c r="C315" t="s">
        <v>166</v>
      </c>
      <c r="D315" t="s">
        <v>379</v>
      </c>
      <c r="E315" s="111" t="s">
        <v>290</v>
      </c>
      <c r="F315" s="99">
        <f>F303*10^6</f>
        <v>143885.8026</v>
      </c>
      <c r="H315" s="12" t="s">
        <v>381</v>
      </c>
      <c r="I315" s="12" t="s">
        <v>382</v>
      </c>
      <c r="J315" s="12" t="b">
        <f t="shared" si="51"/>
        <v>1</v>
      </c>
    </row>
    <row r="316" spans="1:10" x14ac:dyDescent="0.25">
      <c r="A316" s="12" t="str">
        <f t="shared" si="50"/>
        <v>Residential_Appliances_Electric Range_BTU Impact_New_Winter Electricity</v>
      </c>
      <c r="B316" t="s">
        <v>162</v>
      </c>
      <c r="C316" t="s">
        <v>166</v>
      </c>
      <c r="D316" t="s">
        <v>379</v>
      </c>
      <c r="E316" s="111" t="s">
        <v>291</v>
      </c>
      <c r="F316" s="99">
        <f xml:space="preserve"> (F280*10^6) * (8/12) + F298*10^6</f>
        <v>695261.95275692316</v>
      </c>
      <c r="H316" s="12" t="s">
        <v>381</v>
      </c>
      <c r="I316" s="12" t="s">
        <v>382</v>
      </c>
      <c r="J316" s="12" t="b">
        <f t="shared" si="51"/>
        <v>1</v>
      </c>
    </row>
    <row r="317" spans="1:10" x14ac:dyDescent="0.25">
      <c r="A317" s="12" t="str">
        <f t="shared" si="50"/>
        <v>Residential_Appliances_Electric Range_BTU Impact_New_Summer Electricity</v>
      </c>
      <c r="B317" t="s">
        <v>162</v>
      </c>
      <c r="C317" t="s">
        <v>166</v>
      </c>
      <c r="D317" t="s">
        <v>379</v>
      </c>
      <c r="E317" s="111" t="s">
        <v>292</v>
      </c>
      <c r="F317" s="99">
        <f xml:space="preserve"> (F280*10^6) * (4/12) + F293*10^6</f>
        <v>321410.40000000002</v>
      </c>
      <c r="H317" s="12" t="s">
        <v>381</v>
      </c>
      <c r="I317" s="12" t="s">
        <v>382</v>
      </c>
      <c r="J317" s="12" t="b">
        <f t="shared" si="51"/>
        <v>1</v>
      </c>
    </row>
    <row r="318" spans="1:10" x14ac:dyDescent="0.25">
      <c r="A318" s="12" t="str">
        <f t="shared" si="50"/>
        <v>Residential_Appliances_Electric Range_</v>
      </c>
      <c r="B318" t="s">
        <v>162</v>
      </c>
      <c r="C318" t="s">
        <v>166</v>
      </c>
      <c r="D318" t="s">
        <v>379</v>
      </c>
      <c r="H318" s="12" t="s">
        <v>381</v>
      </c>
      <c r="I318" s="12" t="s">
        <v>382</v>
      </c>
      <c r="J318" s="12" t="b">
        <f t="shared" si="40"/>
        <v>0</v>
      </c>
    </row>
    <row r="319" spans="1:10" x14ac:dyDescent="0.25">
      <c r="A319" s="12" t="str">
        <f t="shared" si="50"/>
        <v>Residential_Building Shell_Air Sealing (Electric Heat)_CFM50_existing</v>
      </c>
      <c r="B319" t="s">
        <v>162</v>
      </c>
      <c r="C319" t="s">
        <v>167</v>
      </c>
      <c r="D319" t="s">
        <v>412</v>
      </c>
      <c r="E319" s="114" t="s">
        <v>413</v>
      </c>
      <c r="F319" s="116">
        <f>Dashboard_FS!$O$3</f>
        <v>0</v>
      </c>
      <c r="G319" s="12" t="s">
        <v>414</v>
      </c>
      <c r="H319" s="12" t="s">
        <v>415</v>
      </c>
      <c r="I319" s="12" t="s">
        <v>416</v>
      </c>
      <c r="J319" s="12" t="b">
        <f t="shared" si="40"/>
        <v>1</v>
      </c>
    </row>
    <row r="320" spans="1:10" x14ac:dyDescent="0.25">
      <c r="A320" s="12" t="str">
        <f t="shared" si="50"/>
        <v>Residential_Building Shell_Air Sealing (Electric Heat)_CFM50_new</v>
      </c>
      <c r="B320" t="s">
        <v>162</v>
      </c>
      <c r="C320" t="s">
        <v>167</v>
      </c>
      <c r="D320" t="s">
        <v>412</v>
      </c>
      <c r="E320" s="102" t="s">
        <v>417</v>
      </c>
      <c r="F320" s="105">
        <v>0</v>
      </c>
      <c r="G320" s="12" t="s">
        <v>418</v>
      </c>
      <c r="H320" s="12" t="s">
        <v>415</v>
      </c>
      <c r="I320" s="12" t="s">
        <v>416</v>
      </c>
      <c r="J320" s="12" t="b">
        <f t="shared" si="40"/>
        <v>0</v>
      </c>
    </row>
    <row r="321" spans="1:10" x14ac:dyDescent="0.25">
      <c r="A321" s="12" t="str">
        <f t="shared" si="50"/>
        <v>Residential_Building Shell_Air Sealing (Electric Heat)_N_cool</v>
      </c>
      <c r="B321" t="s">
        <v>162</v>
      </c>
      <c r="C321" t="s">
        <v>167</v>
      </c>
      <c r="D321" t="s">
        <v>412</v>
      </c>
      <c r="E321" s="102" t="s">
        <v>419</v>
      </c>
      <c r="F321" s="105">
        <v>36.5</v>
      </c>
      <c r="G321" s="12" t="s">
        <v>420</v>
      </c>
      <c r="H321" s="12" t="s">
        <v>415</v>
      </c>
      <c r="I321" s="12" t="s">
        <v>416</v>
      </c>
      <c r="J321" s="12" t="b">
        <f t="shared" si="40"/>
        <v>0</v>
      </c>
    </row>
    <row r="322" spans="1:10" x14ac:dyDescent="0.25">
      <c r="A322" s="12" t="str">
        <f t="shared" si="50"/>
        <v>Residential_Building Shell_Air Sealing (Electric Heat)_60</v>
      </c>
      <c r="B322" t="s">
        <v>162</v>
      </c>
      <c r="C322" t="s">
        <v>167</v>
      </c>
      <c r="D322" t="s">
        <v>412</v>
      </c>
      <c r="E322" s="102">
        <v>60</v>
      </c>
      <c r="F322" s="105">
        <v>60</v>
      </c>
      <c r="H322" s="12" t="s">
        <v>415</v>
      </c>
      <c r="I322" s="12" t="s">
        <v>416</v>
      </c>
      <c r="J322" s="12" t="b">
        <f t="shared" ref="J322:J391" si="52">_xlfn.ISFORMULA(F322)</f>
        <v>0</v>
      </c>
    </row>
    <row r="323" spans="1:10" x14ac:dyDescent="0.25">
      <c r="A323" s="12" t="str">
        <f t="shared" si="50"/>
        <v>Residential_Building Shell_Air Sealing (Electric Heat)_24</v>
      </c>
      <c r="B323" t="s">
        <v>162</v>
      </c>
      <c r="C323" t="s">
        <v>167</v>
      </c>
      <c r="D323" t="s">
        <v>412</v>
      </c>
      <c r="E323" s="102">
        <v>24</v>
      </c>
      <c r="F323" s="105">
        <v>24</v>
      </c>
      <c r="H323" s="12" t="s">
        <v>415</v>
      </c>
      <c r="I323" s="12" t="s">
        <v>416</v>
      </c>
      <c r="J323" s="12" t="b">
        <f t="shared" si="52"/>
        <v>0</v>
      </c>
    </row>
    <row r="324" spans="1:10" x14ac:dyDescent="0.25">
      <c r="A324" s="12" t="str">
        <f t="shared" si="50"/>
        <v>Residential_Building Shell_Air Sealing (Electric Heat)_CDD</v>
      </c>
      <c r="B324" t="s">
        <v>162</v>
      </c>
      <c r="C324" t="s">
        <v>167</v>
      </c>
      <c r="D324" t="s">
        <v>412</v>
      </c>
      <c r="E324" s="102" t="s">
        <v>421</v>
      </c>
      <c r="F324" s="105" t="e">
        <f>INDEX('CZ Inputs'!G:G,MATCH(A324&amp;"_"&amp;Dashboard_EE!$K$3,'CZ Inputs'!A:A,0))</f>
        <v>#N/A</v>
      </c>
      <c r="G324" s="12" t="s">
        <v>422</v>
      </c>
      <c r="H324" s="12" t="s">
        <v>415</v>
      </c>
      <c r="I324" s="12" t="s">
        <v>416</v>
      </c>
      <c r="J324" s="12" t="b">
        <f t="shared" si="52"/>
        <v>1</v>
      </c>
    </row>
    <row r="325" spans="1:10" x14ac:dyDescent="0.25">
      <c r="A325" s="12" t="str">
        <f t="shared" si="50"/>
        <v>Residential_Building Shell_Air Sealing (Electric Heat)_DUA</v>
      </c>
      <c r="B325" t="s">
        <v>162</v>
      </c>
      <c r="C325" t="s">
        <v>167</v>
      </c>
      <c r="D325" t="s">
        <v>412</v>
      </c>
      <c r="E325" s="102" t="s">
        <v>423</v>
      </c>
      <c r="F325" s="105">
        <v>0.75</v>
      </c>
      <c r="H325" s="12" t="s">
        <v>415</v>
      </c>
      <c r="I325" s="12" t="s">
        <v>416</v>
      </c>
      <c r="J325" s="12" t="b">
        <f t="shared" si="52"/>
        <v>0</v>
      </c>
    </row>
    <row r="326" spans="1:10" x14ac:dyDescent="0.25">
      <c r="A326" s="12" t="str">
        <f t="shared" si="50"/>
        <v>Residential_Building Shell_Air Sealing (Electric Heat)_0.018</v>
      </c>
      <c r="B326" t="s">
        <v>162</v>
      </c>
      <c r="C326" t="s">
        <v>167</v>
      </c>
      <c r="D326" t="s">
        <v>412</v>
      </c>
      <c r="E326" s="102">
        <v>1.7999999999999999E-2</v>
      </c>
      <c r="F326" s="105">
        <v>1.7999999999999999E-2</v>
      </c>
      <c r="H326" s="12" t="s">
        <v>415</v>
      </c>
      <c r="I326" s="12" t="s">
        <v>416</v>
      </c>
      <c r="J326" s="12" t="b">
        <f t="shared" si="52"/>
        <v>0</v>
      </c>
    </row>
    <row r="327" spans="1:10" x14ac:dyDescent="0.25">
      <c r="A327" s="12" t="str">
        <f t="shared" si="50"/>
        <v>Residential_Building Shell_Air Sealing (Electric Heat)_1000</v>
      </c>
      <c r="B327" t="s">
        <v>162</v>
      </c>
      <c r="C327" t="s">
        <v>167</v>
      </c>
      <c r="D327" t="s">
        <v>412</v>
      </c>
      <c r="E327" s="102">
        <v>1000</v>
      </c>
      <c r="F327" s="105">
        <v>1000</v>
      </c>
      <c r="H327" s="12" t="s">
        <v>415</v>
      </c>
      <c r="I327" s="12" t="s">
        <v>416</v>
      </c>
      <c r="J327" s="12" t="b">
        <f t="shared" si="52"/>
        <v>0</v>
      </c>
    </row>
    <row r="328" spans="1:10" x14ac:dyDescent="0.25">
      <c r="A328" s="12" t="str">
        <f t="shared" si="50"/>
        <v>Residential_Building Shell_Air Sealing (Electric Heat)_ηCool</v>
      </c>
      <c r="B328" t="s">
        <v>162</v>
      </c>
      <c r="C328" t="s">
        <v>167</v>
      </c>
      <c r="D328" t="s">
        <v>412</v>
      </c>
      <c r="E328" s="114" t="s">
        <v>424</v>
      </c>
      <c r="F328" s="116">
        <f>Dashboard_FS!$K$14</f>
        <v>0</v>
      </c>
      <c r="G328" s="12" t="s">
        <v>240</v>
      </c>
      <c r="H328" s="12" t="s">
        <v>415</v>
      </c>
      <c r="I328" s="12" t="s">
        <v>416</v>
      </c>
      <c r="J328" s="12" t="b">
        <f t="shared" si="52"/>
        <v>1</v>
      </c>
    </row>
    <row r="329" spans="1:10" x14ac:dyDescent="0.25">
      <c r="A329" s="12" t="str">
        <f t="shared" si="50"/>
        <v>Residential_Building Shell_Air Sealing (Electric Heat)_ηCool_Mid-Life_Adj</v>
      </c>
      <c r="B329" t="s">
        <v>162</v>
      </c>
      <c r="C329" t="s">
        <v>167</v>
      </c>
      <c r="D329" t="s">
        <v>412</v>
      </c>
      <c r="E329" s="114" t="s">
        <v>425</v>
      </c>
      <c r="F329" s="116">
        <f>Dashboard_FS!$K$14</f>
        <v>0</v>
      </c>
      <c r="G329" s="12" t="s">
        <v>240</v>
      </c>
      <c r="H329" s="12" t="s">
        <v>415</v>
      </c>
      <c r="I329" s="12" t="s">
        <v>416</v>
      </c>
      <c r="J329" s="12" t="b">
        <f t="shared" si="52"/>
        <v>1</v>
      </c>
    </row>
    <row r="330" spans="1:10" x14ac:dyDescent="0.25">
      <c r="A330" s="12" t="str">
        <f t="shared" si="50"/>
        <v>Residential_Building Shell_Air Sealing (Electric Heat)_LM</v>
      </c>
      <c r="B330" t="s">
        <v>162</v>
      </c>
      <c r="C330" t="s">
        <v>167</v>
      </c>
      <c r="D330" t="s">
        <v>412</v>
      </c>
      <c r="E330" s="102" t="s">
        <v>345</v>
      </c>
      <c r="F330" s="105">
        <v>3.7</v>
      </c>
      <c r="G330" s="12" t="s">
        <v>426</v>
      </c>
      <c r="H330" s="12" t="s">
        <v>415</v>
      </c>
      <c r="I330" s="12" t="s">
        <v>416</v>
      </c>
      <c r="J330" s="12" t="b">
        <f t="shared" si="52"/>
        <v>0</v>
      </c>
    </row>
    <row r="331" spans="1:10" x14ac:dyDescent="0.25">
      <c r="A331" s="12" t="str">
        <f t="shared" si="50"/>
        <v>Residential_Building Shell_Air Sealing (Electric Heat)_ADJAirSealingCool</v>
      </c>
      <c r="B331" t="s">
        <v>162</v>
      </c>
      <c r="C331" t="s">
        <v>167</v>
      </c>
      <c r="D331" t="s">
        <v>412</v>
      </c>
      <c r="E331" s="102" t="s">
        <v>427</v>
      </c>
      <c r="F331" s="105">
        <v>1.1399999999999999</v>
      </c>
      <c r="G331" s="12" t="s">
        <v>428</v>
      </c>
      <c r="H331" s="12" t="s">
        <v>415</v>
      </c>
      <c r="I331" s="12" t="s">
        <v>416</v>
      </c>
      <c r="J331" s="12" t="b">
        <f t="shared" si="52"/>
        <v>0</v>
      </c>
    </row>
    <row r="332" spans="1:10" x14ac:dyDescent="0.25">
      <c r="A332" s="12" t="str">
        <f t="shared" si="50"/>
        <v>Residential_Building Shell_Air Sealing (Electric Heat)_IENetCorrection</v>
      </c>
      <c r="B332" t="s">
        <v>162</v>
      </c>
      <c r="C332" t="s">
        <v>167</v>
      </c>
      <c r="D332" t="s">
        <v>412</v>
      </c>
      <c r="E332" s="102" t="s">
        <v>429</v>
      </c>
      <c r="F332" s="105">
        <f>IF(Dashboard_FS!$K$20="Yes",110%,100%)</f>
        <v>1.1000000000000001</v>
      </c>
      <c r="H332" s="12" t="s">
        <v>415</v>
      </c>
      <c r="I332" s="12" t="s">
        <v>416</v>
      </c>
      <c r="J332" s="12" t="b">
        <f t="shared" si="52"/>
        <v>1</v>
      </c>
    </row>
    <row r="333" spans="1:10" x14ac:dyDescent="0.25">
      <c r="A333" s="12" t="str">
        <f t="shared" si="50"/>
        <v>Residential_Building Shell_Air Sealing (Electric Heat)_%Cool</v>
      </c>
      <c r="B333" t="s">
        <v>162</v>
      </c>
      <c r="C333" t="s">
        <v>167</v>
      </c>
      <c r="D333" t="s">
        <v>412</v>
      </c>
      <c r="E333" s="102" t="s">
        <v>397</v>
      </c>
      <c r="F333" s="105">
        <v>1</v>
      </c>
      <c r="H333" s="12" t="s">
        <v>415</v>
      </c>
      <c r="I333" s="12" t="s">
        <v>416</v>
      </c>
      <c r="J333" s="12" t="b">
        <f t="shared" si="52"/>
        <v>0</v>
      </c>
    </row>
    <row r="334" spans="1:10" x14ac:dyDescent="0.25">
      <c r="A334" s="12" t="str">
        <f t="shared" si="50"/>
        <v>Residential_Building Shell_Air Sealing (Electric Heat)_Delta_kWh_cooling</v>
      </c>
      <c r="B334" t="s">
        <v>162</v>
      </c>
      <c r="C334" t="s">
        <v>167</v>
      </c>
      <c r="D334" t="s">
        <v>412</v>
      </c>
      <c r="E334" s="114" t="s">
        <v>430</v>
      </c>
      <c r="F334" s="116" t="e">
        <f xml:space="preserve"> ((((F319 - F320) / F321) * F322 * F323 * F324 * F325 * F326) / (F327 * F328) * F330 * F331) * F332 * F333</f>
        <v>#N/A</v>
      </c>
      <c r="H334" s="12" t="s">
        <v>415</v>
      </c>
      <c r="I334" s="12" t="s">
        <v>416</v>
      </c>
      <c r="J334" s="12" t="b">
        <f t="shared" si="52"/>
        <v>1</v>
      </c>
    </row>
    <row r="335" spans="1:10" x14ac:dyDescent="0.25">
      <c r="A335" s="12" t="str">
        <f t="shared" si="50"/>
        <v>Residential_Building Shell_Air Sealing (Electric Heat)_Delta_kWh_cooling_Mid-Life_Adj</v>
      </c>
      <c r="B335" t="s">
        <v>162</v>
      </c>
      <c r="C335" t="s">
        <v>167</v>
      </c>
      <c r="D335" t="s">
        <v>412</v>
      </c>
      <c r="E335" s="114" t="s">
        <v>431</v>
      </c>
      <c r="F335" s="116" t="e">
        <f xml:space="preserve"> ((((F319 - F320) / F321) * F322 * F323 * F324 * F325 * F326) / (F327 * F329) * F330 * F331) * F332 * F333</f>
        <v>#N/A</v>
      </c>
      <c r="H335" s="12" t="s">
        <v>415</v>
      </c>
      <c r="I335" s="12" t="s">
        <v>416</v>
      </c>
      <c r="J335" s="12" t="b">
        <f t="shared" si="52"/>
        <v>1</v>
      </c>
    </row>
    <row r="336" spans="1:10" x14ac:dyDescent="0.25">
      <c r="A336" s="12" t="str">
        <f t="shared" si="50"/>
        <v>Residential_Building Shell_Air Sealing (Electric Heat)_CFM50_existing</v>
      </c>
      <c r="B336" t="s">
        <v>162</v>
      </c>
      <c r="C336" t="s">
        <v>167</v>
      </c>
      <c r="D336" t="s">
        <v>412</v>
      </c>
      <c r="E336" s="114" t="s">
        <v>413</v>
      </c>
      <c r="F336" s="116">
        <f>Dashboard_FS!$O$3</f>
        <v>0</v>
      </c>
      <c r="G336" s="12" t="s">
        <v>414</v>
      </c>
      <c r="H336" s="12" t="s">
        <v>415</v>
      </c>
      <c r="I336" s="12" t="s">
        <v>416</v>
      </c>
      <c r="J336" s="12" t="b">
        <f t="shared" si="52"/>
        <v>1</v>
      </c>
    </row>
    <row r="337" spans="1:10" x14ac:dyDescent="0.25">
      <c r="A337" s="12" t="str">
        <f t="shared" si="50"/>
        <v>Residential_Building Shell_Air Sealing (Electric Heat)_CFM50_new</v>
      </c>
      <c r="B337" t="s">
        <v>162</v>
      </c>
      <c r="C337" t="s">
        <v>167</v>
      </c>
      <c r="D337" t="s">
        <v>412</v>
      </c>
      <c r="E337" s="102" t="s">
        <v>417</v>
      </c>
      <c r="F337" s="105">
        <v>0</v>
      </c>
      <c r="G337" s="12" t="s">
        <v>418</v>
      </c>
      <c r="H337" s="12" t="s">
        <v>415</v>
      </c>
      <c r="I337" s="12" t="s">
        <v>416</v>
      </c>
      <c r="J337" s="12" t="b">
        <f t="shared" si="52"/>
        <v>0</v>
      </c>
    </row>
    <row r="338" spans="1:10" x14ac:dyDescent="0.25">
      <c r="A338" s="12" t="str">
        <f t="shared" si="50"/>
        <v>Residential_Building Shell_Air Sealing (Electric Heat)_N_heat</v>
      </c>
      <c r="B338" t="s">
        <v>162</v>
      </c>
      <c r="C338" t="s">
        <v>167</v>
      </c>
      <c r="D338" t="s">
        <v>412</v>
      </c>
      <c r="E338" s="102" t="s">
        <v>432</v>
      </c>
      <c r="F338" s="105">
        <v>21.5</v>
      </c>
      <c r="G338" s="12" t="s">
        <v>420</v>
      </c>
      <c r="H338" s="12" t="s">
        <v>415</v>
      </c>
      <c r="I338" s="12" t="s">
        <v>416</v>
      </c>
      <c r="J338" s="12" t="b">
        <f t="shared" si="52"/>
        <v>0</v>
      </c>
    </row>
    <row r="339" spans="1:10" x14ac:dyDescent="0.25">
      <c r="A339" s="12" t="str">
        <f t="shared" si="50"/>
        <v>Residential_Building Shell_Air Sealing (Electric Heat)_60</v>
      </c>
      <c r="B339" t="s">
        <v>162</v>
      </c>
      <c r="C339" t="s">
        <v>167</v>
      </c>
      <c r="D339" t="s">
        <v>412</v>
      </c>
      <c r="E339" s="102">
        <v>60</v>
      </c>
      <c r="F339" s="105">
        <v>60</v>
      </c>
      <c r="H339" s="12" t="s">
        <v>415</v>
      </c>
      <c r="I339" s="12" t="s">
        <v>416</v>
      </c>
      <c r="J339" s="12" t="b">
        <f t="shared" si="52"/>
        <v>0</v>
      </c>
    </row>
    <row r="340" spans="1:10" x14ac:dyDescent="0.25">
      <c r="A340" s="12" t="str">
        <f t="shared" si="50"/>
        <v>Residential_Building Shell_Air Sealing (Electric Heat)_24</v>
      </c>
      <c r="B340" t="s">
        <v>162</v>
      </c>
      <c r="C340" t="s">
        <v>167</v>
      </c>
      <c r="D340" t="s">
        <v>412</v>
      </c>
      <c r="E340" s="102">
        <v>24</v>
      </c>
      <c r="F340" s="105">
        <v>24</v>
      </c>
      <c r="H340" s="12" t="s">
        <v>415</v>
      </c>
      <c r="I340" s="12" t="s">
        <v>416</v>
      </c>
      <c r="J340" s="12" t="b">
        <f t="shared" si="52"/>
        <v>0</v>
      </c>
    </row>
    <row r="341" spans="1:10" x14ac:dyDescent="0.25">
      <c r="A341" s="12" t="str">
        <f t="shared" si="50"/>
        <v>Residential_Building Shell_Air Sealing (Electric Heat)_HDD</v>
      </c>
      <c r="B341" t="s">
        <v>162</v>
      </c>
      <c r="C341" t="s">
        <v>167</v>
      </c>
      <c r="D341" t="s">
        <v>412</v>
      </c>
      <c r="E341" s="102" t="s">
        <v>433</v>
      </c>
      <c r="F341" s="105" t="e">
        <f>INDEX('CZ Inputs'!G:G,MATCH(A341&amp;"_"&amp;Dashboard_EE!$K$3,'CZ Inputs'!A:A,0))</f>
        <v>#N/A</v>
      </c>
      <c r="G341" s="12" t="s">
        <v>422</v>
      </c>
      <c r="H341" s="12" t="s">
        <v>415</v>
      </c>
      <c r="I341" s="12" t="s">
        <v>416</v>
      </c>
      <c r="J341" s="12" t="b">
        <f t="shared" si="52"/>
        <v>1</v>
      </c>
    </row>
    <row r="342" spans="1:10" x14ac:dyDescent="0.25">
      <c r="A342" s="12" t="str">
        <f t="shared" si="50"/>
        <v>Residential_Building Shell_Air Sealing (Electric Heat)_0.018</v>
      </c>
      <c r="B342" t="s">
        <v>162</v>
      </c>
      <c r="C342" t="s">
        <v>167</v>
      </c>
      <c r="D342" t="s">
        <v>412</v>
      </c>
      <c r="E342" s="102">
        <v>1.7999999999999999E-2</v>
      </c>
      <c r="F342" s="105">
        <v>1.7999999999999999E-2</v>
      </c>
      <c r="H342" s="12" t="s">
        <v>415</v>
      </c>
      <c r="I342" s="12" t="s">
        <v>416</v>
      </c>
      <c r="J342" s="12" t="b">
        <f t="shared" si="52"/>
        <v>0</v>
      </c>
    </row>
    <row r="343" spans="1:10" x14ac:dyDescent="0.25">
      <c r="A343" s="12" t="str">
        <f t="shared" si="50"/>
        <v>Residential_Building Shell_Air Sealing (Electric Heat)_ηHeat</v>
      </c>
      <c r="B343" t="s">
        <v>162</v>
      </c>
      <c r="C343" t="s">
        <v>167</v>
      </c>
      <c r="D343" t="s">
        <v>412</v>
      </c>
      <c r="E343" s="114" t="s">
        <v>434</v>
      </c>
      <c r="F343" s="116">
        <f>Dashboard_FS!$K$6</f>
        <v>0</v>
      </c>
      <c r="G343" s="12" t="s">
        <v>240</v>
      </c>
      <c r="H343" s="12" t="s">
        <v>415</v>
      </c>
      <c r="I343" s="12" t="s">
        <v>416</v>
      </c>
      <c r="J343" s="12" t="b">
        <f t="shared" si="52"/>
        <v>1</v>
      </c>
    </row>
    <row r="344" spans="1:10" x14ac:dyDescent="0.25">
      <c r="A344" s="12" t="str">
        <f t="shared" si="50"/>
        <v>Residential_Building Shell_Air Sealing (Electric Heat)_ηHeat_Mid-Life_Adj</v>
      </c>
      <c r="B344" t="s">
        <v>162</v>
      </c>
      <c r="C344" t="s">
        <v>167</v>
      </c>
      <c r="D344" t="s">
        <v>412</v>
      </c>
      <c r="E344" s="114" t="s">
        <v>435</v>
      </c>
      <c r="F344" s="116">
        <f>Dashboard_FS!$K$6</f>
        <v>0</v>
      </c>
      <c r="G344" s="12" t="s">
        <v>240</v>
      </c>
      <c r="H344" s="12" t="s">
        <v>415</v>
      </c>
      <c r="I344" s="12" t="s">
        <v>416</v>
      </c>
      <c r="J344" s="12" t="b">
        <f t="shared" si="52"/>
        <v>1</v>
      </c>
    </row>
    <row r="345" spans="1:10" x14ac:dyDescent="0.25">
      <c r="A345" s="12" t="str">
        <f t="shared" si="50"/>
        <v>Residential_Building Shell_Air Sealing (Electric Heat)_3412</v>
      </c>
      <c r="B345" t="s">
        <v>162</v>
      </c>
      <c r="C345" t="s">
        <v>167</v>
      </c>
      <c r="D345" t="s">
        <v>412</v>
      </c>
      <c r="E345" s="102">
        <v>3412</v>
      </c>
      <c r="F345" s="105">
        <v>3412</v>
      </c>
      <c r="H345" s="12" t="s">
        <v>415</v>
      </c>
      <c r="I345" s="12" t="s">
        <v>416</v>
      </c>
      <c r="J345" s="12" t="b">
        <f t="shared" si="52"/>
        <v>0</v>
      </c>
    </row>
    <row r="346" spans="1:10" x14ac:dyDescent="0.25">
      <c r="A346" s="12" t="str">
        <f t="shared" si="50"/>
        <v>Residential_Building Shell_Air Sealing (Electric Heat)_%ElectricHeat</v>
      </c>
      <c r="B346" t="s">
        <v>162</v>
      </c>
      <c r="C346" t="s">
        <v>167</v>
      </c>
      <c r="D346" t="s">
        <v>412</v>
      </c>
      <c r="E346" s="102" t="s">
        <v>402</v>
      </c>
      <c r="F346" s="105">
        <v>1</v>
      </c>
      <c r="G346" s="12" t="s">
        <v>436</v>
      </c>
      <c r="H346" s="12" t="s">
        <v>415</v>
      </c>
      <c r="I346" s="12" t="s">
        <v>416</v>
      </c>
      <c r="J346" s="12" t="b">
        <f t="shared" si="52"/>
        <v>0</v>
      </c>
    </row>
    <row r="347" spans="1:10" x14ac:dyDescent="0.25">
      <c r="A347" s="12" t="str">
        <f t="shared" si="50"/>
        <v>Residential_Building Shell_Air Sealing (Electric Heat)_Delta_kWh_heatingElectric</v>
      </c>
      <c r="B347" t="s">
        <v>162</v>
      </c>
      <c r="C347" t="s">
        <v>167</v>
      </c>
      <c r="D347" t="s">
        <v>412</v>
      </c>
      <c r="E347" s="114" t="s">
        <v>437</v>
      </c>
      <c r="F347" s="119" t="e">
        <f xml:space="preserve"> ((((F336 - F337) / F338) * F339 * F340 * F341 * F342) / (F343 * F345)) * F346</f>
        <v>#N/A</v>
      </c>
      <c r="H347" s="12" t="s">
        <v>415</v>
      </c>
      <c r="I347" s="12" t="s">
        <v>416</v>
      </c>
      <c r="J347" s="12" t="b">
        <f t="shared" si="52"/>
        <v>1</v>
      </c>
    </row>
    <row r="348" spans="1:10" x14ac:dyDescent="0.25">
      <c r="A348" s="12" t="str">
        <f t="shared" si="50"/>
        <v>Residential_Building Shell_Air Sealing (Electric Heat)_Delta_kWh_heatingElectric_Mid-Life_Adj</v>
      </c>
      <c r="B348" t="s">
        <v>162</v>
      </c>
      <c r="C348" t="s">
        <v>167</v>
      </c>
      <c r="D348" t="s">
        <v>412</v>
      </c>
      <c r="E348" s="114" t="s">
        <v>438</v>
      </c>
      <c r="F348" s="119" t="e">
        <f xml:space="preserve"> ((((F336 - F337) / F338) * F339 * F340 * F341 * F342) / (F344 * F345)) * F346</f>
        <v>#N/A</v>
      </c>
      <c r="H348" s="12" t="s">
        <v>415</v>
      </c>
      <c r="I348" s="12" t="s">
        <v>416</v>
      </c>
      <c r="J348" s="12" t="b">
        <f t="shared" si="52"/>
        <v>1</v>
      </c>
    </row>
    <row r="349" spans="1:10" x14ac:dyDescent="0.25">
      <c r="A349" s="12" t="str">
        <f t="shared" si="50"/>
        <v>Residential_Building Shell_Air Sealing (Electric Heat)_Fe</v>
      </c>
      <c r="B349" t="s">
        <v>162</v>
      </c>
      <c r="C349" t="s">
        <v>167</v>
      </c>
      <c r="D349" t="s">
        <v>412</v>
      </c>
      <c r="E349" s="102" t="s">
        <v>251</v>
      </c>
      <c r="F349" s="107">
        <v>3.1399999999999997E-2</v>
      </c>
      <c r="H349" s="12" t="s">
        <v>415</v>
      </c>
      <c r="I349" s="12" t="s">
        <v>416</v>
      </c>
      <c r="J349" s="12" t="b">
        <f t="shared" si="52"/>
        <v>0</v>
      </c>
    </row>
    <row r="350" spans="1:10" x14ac:dyDescent="0.25">
      <c r="A350" s="12" t="str">
        <f t="shared" si="50"/>
        <v>Residential_Building Shell_Air Sealing (Electric Heat)_29.3</v>
      </c>
      <c r="B350" t="s">
        <v>162</v>
      </c>
      <c r="C350" t="s">
        <v>167</v>
      </c>
      <c r="D350" t="s">
        <v>412</v>
      </c>
      <c r="E350" s="102">
        <v>29.3</v>
      </c>
      <c r="F350" s="107">
        <v>29.3</v>
      </c>
      <c r="H350" s="12" t="s">
        <v>415</v>
      </c>
      <c r="I350" s="12" t="s">
        <v>416</v>
      </c>
      <c r="J350" s="12" t="b">
        <f t="shared" si="52"/>
        <v>0</v>
      </c>
    </row>
    <row r="351" spans="1:10" x14ac:dyDescent="0.25">
      <c r="A351" s="12" t="str">
        <f t="shared" si="50"/>
        <v>Residential_Building Shell_Air Sealing (Electric Heat)_ADJAirSealingHeatFan</v>
      </c>
      <c r="B351" t="s">
        <v>162</v>
      </c>
      <c r="C351" t="s">
        <v>167</v>
      </c>
      <c r="D351" t="s">
        <v>412</v>
      </c>
      <c r="E351" s="102" t="s">
        <v>439</v>
      </c>
      <c r="F351" s="107">
        <v>1.1299999999999999</v>
      </c>
      <c r="G351" s="12" t="s">
        <v>428</v>
      </c>
      <c r="H351" s="12" t="s">
        <v>415</v>
      </c>
      <c r="I351" s="12" t="s">
        <v>416</v>
      </c>
      <c r="J351" s="12" t="b">
        <f t="shared" si="52"/>
        <v>0</v>
      </c>
    </row>
    <row r="352" spans="1:10" x14ac:dyDescent="0.25">
      <c r="A352" s="12" t="str">
        <f t="shared" si="50"/>
        <v>Residential_Building Shell_Air Sealing (Electric Heat)_IENetCorrection</v>
      </c>
      <c r="B352" t="s">
        <v>162</v>
      </c>
      <c r="C352" t="s">
        <v>167</v>
      </c>
      <c r="D352" t="s">
        <v>412</v>
      </c>
      <c r="E352" s="102" t="s">
        <v>429</v>
      </c>
      <c r="F352" s="107">
        <f>IF(Dashboard_FS!$K$20="Yes",110%,100%)</f>
        <v>1.1000000000000001</v>
      </c>
      <c r="H352" s="12" t="s">
        <v>415</v>
      </c>
      <c r="I352" s="12" t="s">
        <v>416</v>
      </c>
      <c r="J352" s="12" t="b">
        <f t="shared" si="52"/>
        <v>1</v>
      </c>
    </row>
    <row r="353" spans="1:10" x14ac:dyDescent="0.25">
      <c r="A353" s="12" t="str">
        <f t="shared" si="50"/>
        <v>Residential_Building Shell_Air Sealing (Electric Heat)_Delta_kWh_heatingGas</v>
      </c>
      <c r="B353" t="s">
        <v>162</v>
      </c>
      <c r="C353" t="s">
        <v>167</v>
      </c>
      <c r="D353" t="s">
        <v>412</v>
      </c>
      <c r="E353" s="114" t="s">
        <v>440</v>
      </c>
      <c r="F353" s="119">
        <f xml:space="preserve"> F377 * F349 * F350 * F351 * F352</f>
        <v>0</v>
      </c>
      <c r="H353" s="12" t="s">
        <v>415</v>
      </c>
      <c r="I353" s="12" t="s">
        <v>416</v>
      </c>
      <c r="J353" s="12" t="b">
        <f t="shared" si="52"/>
        <v>1</v>
      </c>
    </row>
    <row r="354" spans="1:10" x14ac:dyDescent="0.25">
      <c r="A354" s="12" t="str">
        <f t="shared" si="50"/>
        <v>Residential_Building Shell_Air Sealing (Electric Heat)_Delta_kWh_heatingGas_Mid-Life_Adj</v>
      </c>
      <c r="B354" t="s">
        <v>162</v>
      </c>
      <c r="C354" t="s">
        <v>167</v>
      </c>
      <c r="D354" t="s">
        <v>412</v>
      </c>
      <c r="E354" s="114" t="s">
        <v>441</v>
      </c>
      <c r="F354" s="119">
        <f xml:space="preserve"> F378 * F349 * F350 * F351 * F352</f>
        <v>0</v>
      </c>
      <c r="H354" s="12" t="s">
        <v>415</v>
      </c>
      <c r="I354" s="12" t="s">
        <v>416</v>
      </c>
      <c r="J354" s="12" t="b">
        <f t="shared" si="52"/>
        <v>1</v>
      </c>
    </row>
    <row r="355" spans="1:10" x14ac:dyDescent="0.25">
      <c r="A355" s="12" t="str">
        <f t="shared" si="50"/>
        <v>Residential_Building Shell_Air Sealing (Electric Heat)_FLH_cooling</v>
      </c>
      <c r="B355" t="s">
        <v>162</v>
      </c>
      <c r="C355" t="s">
        <v>167</v>
      </c>
      <c r="D355" t="s">
        <v>412</v>
      </c>
      <c r="E355" s="102" t="s">
        <v>442</v>
      </c>
      <c r="F355" s="105" t="e">
        <f>INDEX('CZ Inputs'!G:G,MATCH(A355&amp;"_"&amp;Dashboard_EE!$K$3,'CZ Inputs'!A:A,0))</f>
        <v>#N/A</v>
      </c>
      <c r="G355" s="12" t="s">
        <v>422</v>
      </c>
      <c r="H355" s="12" t="s">
        <v>415</v>
      </c>
      <c r="I355" s="12" t="s">
        <v>416</v>
      </c>
      <c r="J355" s="12" t="b">
        <f t="shared" si="52"/>
        <v>1</v>
      </c>
    </row>
    <row r="356" spans="1:10" x14ac:dyDescent="0.25">
      <c r="A356" s="12" t="str">
        <f t="shared" si="50"/>
        <v>Residential_Building Shell_Air Sealing (Electric Heat)_CF</v>
      </c>
      <c r="B356" t="s">
        <v>162</v>
      </c>
      <c r="C356" t="s">
        <v>167</v>
      </c>
      <c r="D356" t="s">
        <v>412</v>
      </c>
      <c r="E356" s="102" t="s">
        <v>277</v>
      </c>
      <c r="F356" s="105">
        <v>0.68</v>
      </c>
      <c r="G356" s="12" t="s">
        <v>319</v>
      </c>
      <c r="H356" s="12" t="s">
        <v>415</v>
      </c>
      <c r="I356" s="12" t="s">
        <v>416</v>
      </c>
      <c r="J356" s="12" t="b">
        <f t="shared" si="52"/>
        <v>0</v>
      </c>
    </row>
    <row r="357" spans="1:10" x14ac:dyDescent="0.25">
      <c r="A357" s="12" t="str">
        <f t="shared" si="50"/>
        <v>Residential_Building Shell_Air Sealing (Electric Heat)_Delta_kW</v>
      </c>
      <c r="B357" t="s">
        <v>162</v>
      </c>
      <c r="C357" t="s">
        <v>167</v>
      </c>
      <c r="D357" t="s">
        <v>412</v>
      </c>
      <c r="E357" s="114" t="s">
        <v>279</v>
      </c>
      <c r="F357" s="116" t="e">
        <f>(F334/F355)*F356</f>
        <v>#N/A</v>
      </c>
      <c r="H357" s="12" t="s">
        <v>415</v>
      </c>
      <c r="I357" s="12" t="s">
        <v>416</v>
      </c>
      <c r="J357" s="12" t="b">
        <f t="shared" si="52"/>
        <v>1</v>
      </c>
    </row>
    <row r="358" spans="1:10" x14ac:dyDescent="0.25">
      <c r="A358" s="12" t="str">
        <f t="shared" si="50"/>
        <v>Residential_Building Shell_Air Sealing (Electric Heat)_Delta_kW_Mid-Life_Adj</v>
      </c>
      <c r="B358" t="s">
        <v>162</v>
      </c>
      <c r="C358" t="s">
        <v>167</v>
      </c>
      <c r="D358" t="s">
        <v>412</v>
      </c>
      <c r="E358" s="114" t="s">
        <v>443</v>
      </c>
      <c r="F358" s="116" t="e">
        <f>(F335/F355)*F356</f>
        <v>#N/A</v>
      </c>
      <c r="H358" s="12" t="s">
        <v>415</v>
      </c>
      <c r="I358" s="12" t="s">
        <v>416</v>
      </c>
      <c r="J358" s="12" t="b">
        <f t="shared" si="52"/>
        <v>1</v>
      </c>
    </row>
    <row r="359" spans="1:10" x14ac:dyDescent="0.25">
      <c r="A359" s="12" t="str">
        <f t="shared" si="50"/>
        <v>Residential_Building Shell_Air Sealing (Electric Heat)_CFM50_existing</v>
      </c>
      <c r="B359" t="s">
        <v>162</v>
      </c>
      <c r="C359" t="s">
        <v>167</v>
      </c>
      <c r="D359" t="s">
        <v>412</v>
      </c>
      <c r="E359" s="114" t="s">
        <v>413</v>
      </c>
      <c r="F359" s="116">
        <f>Dashboard_FS!$O$3</f>
        <v>0</v>
      </c>
      <c r="G359" s="12" t="s">
        <v>414</v>
      </c>
      <c r="H359" s="12" t="s">
        <v>415</v>
      </c>
      <c r="I359" s="12" t="s">
        <v>416</v>
      </c>
      <c r="J359" s="12" t="b">
        <f t="shared" si="52"/>
        <v>1</v>
      </c>
    </row>
    <row r="360" spans="1:10" x14ac:dyDescent="0.25">
      <c r="A360" s="12" t="str">
        <f t="shared" si="50"/>
        <v>Residential_Building Shell_Air Sealing (Electric Heat)_CFM50_new</v>
      </c>
      <c r="B360" t="s">
        <v>162</v>
      </c>
      <c r="C360" t="s">
        <v>167</v>
      </c>
      <c r="D360" t="s">
        <v>412</v>
      </c>
      <c r="E360" s="102" t="s">
        <v>417</v>
      </c>
      <c r="F360" s="105">
        <v>0</v>
      </c>
      <c r="G360" s="12" t="s">
        <v>418</v>
      </c>
      <c r="H360" s="12" t="s">
        <v>415</v>
      </c>
      <c r="I360" s="12" t="s">
        <v>416</v>
      </c>
      <c r="J360" s="12" t="b">
        <f t="shared" si="52"/>
        <v>0</v>
      </c>
    </row>
    <row r="361" spans="1:10" x14ac:dyDescent="0.25">
      <c r="A361" s="12" t="str">
        <f t="shared" si="50"/>
        <v>Residential_Building Shell_Air Sealing (Electric Heat)_N_heat</v>
      </c>
      <c r="B361" t="s">
        <v>162</v>
      </c>
      <c r="C361" t="s">
        <v>167</v>
      </c>
      <c r="D361" t="s">
        <v>412</v>
      </c>
      <c r="E361" s="102" t="s">
        <v>432</v>
      </c>
      <c r="F361" s="105">
        <v>21.5</v>
      </c>
      <c r="G361" s="12" t="s">
        <v>420</v>
      </c>
      <c r="H361" s="12" t="s">
        <v>415</v>
      </c>
      <c r="I361" s="12" t="s">
        <v>416</v>
      </c>
      <c r="J361" s="12" t="b">
        <f t="shared" si="52"/>
        <v>0</v>
      </c>
    </row>
    <row r="362" spans="1:10" x14ac:dyDescent="0.25">
      <c r="A362" s="12" t="str">
        <f t="shared" si="50"/>
        <v>Residential_Building Shell_Air Sealing (Electric Heat)_60</v>
      </c>
      <c r="B362" t="s">
        <v>162</v>
      </c>
      <c r="C362" t="s">
        <v>167</v>
      </c>
      <c r="D362" t="s">
        <v>412</v>
      </c>
      <c r="E362" s="102">
        <v>60</v>
      </c>
      <c r="F362" s="105">
        <v>60</v>
      </c>
      <c r="H362" s="12" t="s">
        <v>415</v>
      </c>
      <c r="I362" s="12" t="s">
        <v>416</v>
      </c>
      <c r="J362" s="12" t="b">
        <f t="shared" si="52"/>
        <v>0</v>
      </c>
    </row>
    <row r="363" spans="1:10" x14ac:dyDescent="0.25">
      <c r="A363" s="12" t="str">
        <f t="shared" si="50"/>
        <v>Residential_Building Shell_Air Sealing (Electric Heat)_24</v>
      </c>
      <c r="B363" t="s">
        <v>162</v>
      </c>
      <c r="C363" t="s">
        <v>167</v>
      </c>
      <c r="D363" t="s">
        <v>412</v>
      </c>
      <c r="E363" s="102">
        <v>24</v>
      </c>
      <c r="F363" s="105">
        <v>24</v>
      </c>
      <c r="H363" s="12" t="s">
        <v>415</v>
      </c>
      <c r="I363" s="12" t="s">
        <v>416</v>
      </c>
      <c r="J363" s="12" t="b">
        <f t="shared" si="52"/>
        <v>0</v>
      </c>
    </row>
    <row r="364" spans="1:10" x14ac:dyDescent="0.25">
      <c r="A364" s="12" t="str">
        <f t="shared" si="50"/>
        <v>Residential_Building Shell_Air Sealing (Electric Heat)_HDD</v>
      </c>
      <c r="B364" t="s">
        <v>162</v>
      </c>
      <c r="C364" t="s">
        <v>167</v>
      </c>
      <c r="D364" t="s">
        <v>412</v>
      </c>
      <c r="E364" s="102" t="s">
        <v>433</v>
      </c>
      <c r="F364" s="105" t="e">
        <f>INDEX('CZ Inputs'!G:G,MATCH(A364&amp;"_"&amp;Dashboard_EE!$K$3,'CZ Inputs'!A:A,0))</f>
        <v>#N/A</v>
      </c>
      <c r="G364" s="12" t="s">
        <v>422</v>
      </c>
      <c r="H364" s="12" t="s">
        <v>415</v>
      </c>
      <c r="I364" s="12" t="s">
        <v>416</v>
      </c>
      <c r="J364" s="12" t="b">
        <f t="shared" si="52"/>
        <v>1</v>
      </c>
    </row>
    <row r="365" spans="1:10" x14ac:dyDescent="0.25">
      <c r="A365" s="12" t="str">
        <f t="shared" si="50"/>
        <v>Residential_Building Shell_Air Sealing (Electric Heat)_0.018</v>
      </c>
      <c r="B365" t="s">
        <v>162</v>
      </c>
      <c r="C365" t="s">
        <v>167</v>
      </c>
      <c r="D365" t="s">
        <v>412</v>
      </c>
      <c r="E365" s="102">
        <v>1.7999999999999999E-2</v>
      </c>
      <c r="F365" s="105">
        <v>1.7999999999999999E-2</v>
      </c>
      <c r="H365" s="12" t="s">
        <v>415</v>
      </c>
      <c r="I365" s="12" t="s">
        <v>416</v>
      </c>
      <c r="J365" s="12" t="b">
        <f t="shared" si="52"/>
        <v>0</v>
      </c>
    </row>
    <row r="366" spans="1:10" x14ac:dyDescent="0.25">
      <c r="A366" s="12" t="str">
        <f t="shared" si="50"/>
        <v>Residential_Building Shell_Air Sealing (Electric Heat)_ηHeat</v>
      </c>
      <c r="B366" t="s">
        <v>162</v>
      </c>
      <c r="C366" t="s">
        <v>167</v>
      </c>
      <c r="D366" t="s">
        <v>412</v>
      </c>
      <c r="E366" s="114" t="s">
        <v>434</v>
      </c>
      <c r="F366" s="116">
        <f>Dashboard_FS!$K$8</f>
        <v>0</v>
      </c>
      <c r="G366" s="12" t="s">
        <v>240</v>
      </c>
      <c r="H366" s="12" t="s">
        <v>415</v>
      </c>
      <c r="I366" s="12" t="s">
        <v>416</v>
      </c>
      <c r="J366" s="12" t="b">
        <f t="shared" si="52"/>
        <v>1</v>
      </c>
    </row>
    <row r="367" spans="1:10" x14ac:dyDescent="0.25">
      <c r="A367" s="12" t="str">
        <f t="shared" si="50"/>
        <v>Residential_Building Shell_Air Sealing (Electric Heat)_ηHeat_Mid-Life_Adj</v>
      </c>
      <c r="B367" t="s">
        <v>162</v>
      </c>
      <c r="C367" t="s">
        <v>167</v>
      </c>
      <c r="D367" t="s">
        <v>412</v>
      </c>
      <c r="E367" s="114" t="s">
        <v>435</v>
      </c>
      <c r="F367" s="116">
        <f>Dashboard_FS!$K$8</f>
        <v>0</v>
      </c>
      <c r="G367" s="12" t="s">
        <v>240</v>
      </c>
      <c r="H367" s="12" t="s">
        <v>415</v>
      </c>
      <c r="I367" s="12" t="s">
        <v>416</v>
      </c>
      <c r="J367" s="12" t="b">
        <f t="shared" si="52"/>
        <v>1</v>
      </c>
    </row>
    <row r="368" spans="1:10" x14ac:dyDescent="0.25">
      <c r="A368" s="12" t="str">
        <f t="shared" si="50"/>
        <v>Residential_Building Shell_Air Sealing (Electric Heat)_100000</v>
      </c>
      <c r="B368" t="s">
        <v>162</v>
      </c>
      <c r="C368" t="s">
        <v>167</v>
      </c>
      <c r="D368" t="s">
        <v>412</v>
      </c>
      <c r="E368" s="102">
        <v>100000</v>
      </c>
      <c r="F368" s="105">
        <v>100000</v>
      </c>
      <c r="H368" s="12" t="s">
        <v>415</v>
      </c>
      <c r="I368" s="12" t="s">
        <v>416</v>
      </c>
      <c r="J368" s="12" t="b">
        <f t="shared" si="52"/>
        <v>0</v>
      </c>
    </row>
    <row r="369" spans="1:10" x14ac:dyDescent="0.25">
      <c r="A369" s="12" t="str">
        <f t="shared" si="50"/>
        <v>Residential_Building Shell_Air Sealing (Electric Heat)_ADJAirSealingGasHeat</v>
      </c>
      <c r="B369" t="s">
        <v>162</v>
      </c>
      <c r="C369" t="s">
        <v>167</v>
      </c>
      <c r="D369" t="s">
        <v>412</v>
      </c>
      <c r="E369" s="102" t="s">
        <v>444</v>
      </c>
      <c r="F369" s="105">
        <v>0.72</v>
      </c>
      <c r="G369" s="12" t="s">
        <v>428</v>
      </c>
      <c r="H369" s="12" t="s">
        <v>415</v>
      </c>
      <c r="I369" s="12" t="s">
        <v>416</v>
      </c>
      <c r="J369" s="12" t="b">
        <f t="shared" si="52"/>
        <v>0</v>
      </c>
    </row>
    <row r="370" spans="1:10" x14ac:dyDescent="0.25">
      <c r="A370" s="12" t="str">
        <f t="shared" si="50"/>
        <v>Residential_Building Shell_Air Sealing (Electric Heat)_IENetCorrection</v>
      </c>
      <c r="B370" t="s">
        <v>162</v>
      </c>
      <c r="C370" t="s">
        <v>167</v>
      </c>
      <c r="D370" t="s">
        <v>412</v>
      </c>
      <c r="E370" s="102" t="s">
        <v>429</v>
      </c>
      <c r="F370" s="105">
        <f>IF(Dashboard_FS!$K$20="Yes",110%,100%)</f>
        <v>1.1000000000000001</v>
      </c>
      <c r="H370" s="12" t="s">
        <v>415</v>
      </c>
      <c r="I370" s="12" t="s">
        <v>416</v>
      </c>
      <c r="J370" s="12" t="b">
        <f t="shared" si="52"/>
        <v>1</v>
      </c>
    </row>
    <row r="371" spans="1:10" x14ac:dyDescent="0.25">
      <c r="A371" s="12" t="str">
        <f t="shared" si="50"/>
        <v>Residential_Building Shell_Air Sealing (Electric Heat)_Delta_therms</v>
      </c>
      <c r="B371" t="s">
        <v>162</v>
      </c>
      <c r="C371" t="s">
        <v>167</v>
      </c>
      <c r="D371" t="s">
        <v>412</v>
      </c>
      <c r="E371" s="114" t="s">
        <v>445</v>
      </c>
      <c r="F371" s="116" t="e">
        <f xml:space="preserve"> (((F359 - F360) / F361) * F362 * F363 * F364 * F365) / (F366 * F368) * F369 * F370</f>
        <v>#N/A</v>
      </c>
      <c r="H371" s="12" t="s">
        <v>415</v>
      </c>
      <c r="I371" s="12" t="s">
        <v>416</v>
      </c>
      <c r="J371" s="12" t="b">
        <f t="shared" si="52"/>
        <v>1</v>
      </c>
    </row>
    <row r="372" spans="1:10" x14ac:dyDescent="0.25">
      <c r="A372" s="12" t="str">
        <f t="shared" si="50"/>
        <v>Residential_Building Shell_Air Sealing (Electric Heat)_Delta_therms_Mid-Life_Adj</v>
      </c>
      <c r="B372" t="s">
        <v>162</v>
      </c>
      <c r="C372" t="s">
        <v>167</v>
      </c>
      <c r="D372" t="s">
        <v>412</v>
      </c>
      <c r="E372" s="114" t="s">
        <v>446</v>
      </c>
      <c r="F372" s="116" t="e">
        <f xml:space="preserve"> (((F359 - F360) / F361) * F362 * F363 * F364 * F365) / (F367 * F368) * F369 * F370</f>
        <v>#N/A</v>
      </c>
      <c r="H372" s="12" t="s">
        <v>415</v>
      </c>
      <c r="I372" s="12" t="s">
        <v>416</v>
      </c>
      <c r="J372" s="12" t="b">
        <f t="shared" si="52"/>
        <v>1</v>
      </c>
    </row>
    <row r="373" spans="1:10" x14ac:dyDescent="0.25">
      <c r="A373" s="12" t="str">
        <f t="shared" si="50"/>
        <v>Residential_Building Shell_Air Sealing (Electric Heat)_Remaining Year kWh</v>
      </c>
      <c r="B373" t="s">
        <v>162</v>
      </c>
      <c r="C373" t="s">
        <v>167</v>
      </c>
      <c r="D373" t="s">
        <v>412</v>
      </c>
      <c r="E373" s="111" t="s">
        <v>447</v>
      </c>
      <c r="F373" s="101" t="e">
        <f>F334+F347+F353</f>
        <v>#N/A</v>
      </c>
      <c r="H373" s="12" t="s">
        <v>415</v>
      </c>
      <c r="I373" s="12" t="s">
        <v>416</v>
      </c>
      <c r="J373" s="12" t="b">
        <f t="shared" si="52"/>
        <v>1</v>
      </c>
    </row>
    <row r="374" spans="1:10" x14ac:dyDescent="0.25">
      <c r="A374" s="12" t="str">
        <f t="shared" si="50"/>
        <v>Residential_Building Shell_Air Sealing (Electric Heat)_kWh Saved per Unit</v>
      </c>
      <c r="B374" t="s">
        <v>162</v>
      </c>
      <c r="C374" t="s">
        <v>167</v>
      </c>
      <c r="D374" t="s">
        <v>412</v>
      </c>
      <c r="E374" s="111" t="s">
        <v>280</v>
      </c>
      <c r="F374" s="101" t="e">
        <f>F335+F348+F354</f>
        <v>#N/A</v>
      </c>
      <c r="H374" s="12" t="s">
        <v>415</v>
      </c>
      <c r="I374" s="12" t="s">
        <v>416</v>
      </c>
      <c r="J374" s="12" t="b">
        <f t="shared" si="52"/>
        <v>1</v>
      </c>
    </row>
    <row r="375" spans="1:10" x14ac:dyDescent="0.25">
      <c r="A375" s="12" t="str">
        <f t="shared" si="50"/>
        <v>Residential_Building Shell_Air Sealing (Electric Heat)_Remaining Year kW</v>
      </c>
      <c r="B375" t="s">
        <v>162</v>
      </c>
      <c r="C375" t="s">
        <v>167</v>
      </c>
      <c r="D375" t="s">
        <v>412</v>
      </c>
      <c r="E375" s="111" t="s">
        <v>448</v>
      </c>
      <c r="F375" s="101" t="e">
        <f>F357</f>
        <v>#N/A</v>
      </c>
      <c r="H375" s="12" t="s">
        <v>415</v>
      </c>
      <c r="I375" s="12" t="s">
        <v>416</v>
      </c>
      <c r="J375" s="12" t="b">
        <f t="shared" si="52"/>
        <v>1</v>
      </c>
    </row>
    <row r="376" spans="1:10" x14ac:dyDescent="0.25">
      <c r="A376" s="12" t="str">
        <f t="shared" ref="A376:A439" si="53">B376&amp;"_"&amp;C376&amp;"_"&amp;D376&amp;"_"&amp;E376</f>
        <v>Residential_Building Shell_Air Sealing (Electric Heat)_Coincident Peak kW Saved per Unit</v>
      </c>
      <c r="B376" t="s">
        <v>162</v>
      </c>
      <c r="C376" t="s">
        <v>167</v>
      </c>
      <c r="D376" t="s">
        <v>412</v>
      </c>
      <c r="E376" s="111" t="s">
        <v>281</v>
      </c>
      <c r="F376" s="101" t="e">
        <f>F358</f>
        <v>#N/A</v>
      </c>
      <c r="H376" s="12" t="s">
        <v>415</v>
      </c>
      <c r="I376" s="12" t="s">
        <v>416</v>
      </c>
      <c r="J376" s="12" t="b">
        <f t="shared" si="52"/>
        <v>1</v>
      </c>
    </row>
    <row r="377" spans="1:10" x14ac:dyDescent="0.25">
      <c r="A377" s="12" t="str">
        <f t="shared" si="53"/>
        <v>Residential_Building Shell_Air Sealing (Electric Heat)_Remaining Year Therms</v>
      </c>
      <c r="B377" t="s">
        <v>162</v>
      </c>
      <c r="C377" t="s">
        <v>167</v>
      </c>
      <c r="D377" t="s">
        <v>412</v>
      </c>
      <c r="E377" s="111" t="s">
        <v>449</v>
      </c>
      <c r="F377" s="101">
        <v>0</v>
      </c>
      <c r="G377" s="12" t="s">
        <v>436</v>
      </c>
      <c r="H377" s="12" t="s">
        <v>415</v>
      </c>
      <c r="I377" s="12" t="s">
        <v>416</v>
      </c>
      <c r="J377" s="12" t="b">
        <f t="shared" si="52"/>
        <v>0</v>
      </c>
    </row>
    <row r="378" spans="1:10" x14ac:dyDescent="0.25">
      <c r="A378" s="12" t="str">
        <f t="shared" si="53"/>
        <v>Residential_Building Shell_Air Sealing (Electric Heat)_Therms Saved per Unit</v>
      </c>
      <c r="B378" t="s">
        <v>162</v>
      </c>
      <c r="C378" t="s">
        <v>167</v>
      </c>
      <c r="D378" t="s">
        <v>412</v>
      </c>
      <c r="E378" s="111" t="s">
        <v>376</v>
      </c>
      <c r="F378" s="101">
        <v>0</v>
      </c>
      <c r="G378" s="12" t="s">
        <v>436</v>
      </c>
      <c r="H378" s="12" t="s">
        <v>415</v>
      </c>
      <c r="I378" s="12" t="s">
        <v>416</v>
      </c>
      <c r="J378" s="12" t="b">
        <f t="shared" si="52"/>
        <v>0</v>
      </c>
    </row>
    <row r="379" spans="1:10" x14ac:dyDescent="0.25">
      <c r="A379" s="12" t="str">
        <f t="shared" si="53"/>
        <v>Residential_Building Shell_Air Sealing (Electric Heat)_Remaining Life</v>
      </c>
      <c r="B379" t="s">
        <v>162</v>
      </c>
      <c r="C379" t="s">
        <v>167</v>
      </c>
      <c r="D379" t="s">
        <v>412</v>
      </c>
      <c r="E379" s="111" t="s">
        <v>450</v>
      </c>
      <c r="F379" s="101">
        <v>10</v>
      </c>
      <c r="H379" s="12" t="s">
        <v>415</v>
      </c>
      <c r="I379" s="12" t="s">
        <v>416</v>
      </c>
      <c r="J379" s="12" t="b">
        <f t="shared" si="52"/>
        <v>0</v>
      </c>
    </row>
    <row r="380" spans="1:10" x14ac:dyDescent="0.25">
      <c r="A380" s="12" t="str">
        <f t="shared" si="53"/>
        <v>Residential_Building Shell_Air Sealing (Electric Heat)_Lifetime (years)</v>
      </c>
      <c r="B380" t="s">
        <v>162</v>
      </c>
      <c r="C380" t="s">
        <v>167</v>
      </c>
      <c r="D380" t="s">
        <v>412</v>
      </c>
      <c r="E380" s="111" t="s">
        <v>284</v>
      </c>
      <c r="F380" s="101">
        <v>20</v>
      </c>
      <c r="H380" s="12" t="s">
        <v>415</v>
      </c>
      <c r="I380" s="12" t="s">
        <v>416</v>
      </c>
      <c r="J380" s="12" t="b">
        <f t="shared" si="52"/>
        <v>0</v>
      </c>
    </row>
    <row r="381" spans="1:10" x14ac:dyDescent="0.25">
      <c r="A381" s="12" t="str">
        <f t="shared" si="53"/>
        <v>Residential_Building Shell_Air Sealing (Electric Heat)_Incremental Cost</v>
      </c>
      <c r="B381" t="s">
        <v>162</v>
      </c>
      <c r="C381" t="s">
        <v>167</v>
      </c>
      <c r="D381" t="s">
        <v>412</v>
      </c>
      <c r="E381" s="111" t="s">
        <v>285</v>
      </c>
      <c r="F381" s="100">
        <f>0.35*F319</f>
        <v>0</v>
      </c>
      <c r="G381" s="12" t="s">
        <v>451</v>
      </c>
      <c r="H381" s="12" t="s">
        <v>415</v>
      </c>
      <c r="I381" s="12" t="s">
        <v>416</v>
      </c>
      <c r="J381" s="12" t="b">
        <f t="shared" si="52"/>
        <v>1</v>
      </c>
    </row>
    <row r="382" spans="1:10" x14ac:dyDescent="0.25">
      <c r="A382" s="12" t="str">
        <f t="shared" si="53"/>
        <v>Residential_Building Shell_Air Sealing (Electric Heat)_BTU Impact_Existing_Fossil Fuel</v>
      </c>
      <c r="B382" t="s">
        <v>162</v>
      </c>
      <c r="C382" t="s">
        <v>167</v>
      </c>
      <c r="D382" t="s">
        <v>412</v>
      </c>
      <c r="E382" s="111" t="s">
        <v>287</v>
      </c>
      <c r="F382" s="99">
        <v>0</v>
      </c>
      <c r="H382" s="12" t="s">
        <v>415</v>
      </c>
      <c r="I382" s="12" t="s">
        <v>416</v>
      </c>
      <c r="J382" s="12" t="b">
        <f t="shared" si="52"/>
        <v>0</v>
      </c>
    </row>
    <row r="383" spans="1:10" x14ac:dyDescent="0.25">
      <c r="A383" s="12" t="str">
        <f t="shared" si="53"/>
        <v>Residential_Building Shell_Air Sealing (Electric Heat)_BTU Impact_Existing_Winter Electricity</v>
      </c>
      <c r="B383" t="s">
        <v>162</v>
      </c>
      <c r="C383" t="s">
        <v>167</v>
      </c>
      <c r="D383" t="s">
        <v>412</v>
      </c>
      <c r="E383" s="111" t="s">
        <v>288</v>
      </c>
      <c r="F383" s="99">
        <v>0</v>
      </c>
      <c r="H383" s="12" t="s">
        <v>415</v>
      </c>
      <c r="I383" s="12" t="s">
        <v>416</v>
      </c>
      <c r="J383" s="12" t="b">
        <f t="shared" si="52"/>
        <v>0</v>
      </c>
    </row>
    <row r="384" spans="1:10" x14ac:dyDescent="0.25">
      <c r="A384" s="12" t="str">
        <f t="shared" si="53"/>
        <v>Residential_Building Shell_Air Sealing (Electric Heat)_BTU Impact_Existing_Summer Electricity</v>
      </c>
      <c r="B384" t="s">
        <v>162</v>
      </c>
      <c r="C384" t="s">
        <v>167</v>
      </c>
      <c r="D384" t="s">
        <v>412</v>
      </c>
      <c r="E384" s="111" t="s">
        <v>289</v>
      </c>
      <c r="F384" s="99">
        <v>0</v>
      </c>
      <c r="H384" s="12" t="s">
        <v>415</v>
      </c>
      <c r="I384" s="12" t="s">
        <v>416</v>
      </c>
      <c r="J384" s="12" t="b">
        <f t="shared" si="52"/>
        <v>0</v>
      </c>
    </row>
    <row r="385" spans="1:10" x14ac:dyDescent="0.25">
      <c r="A385" s="12" t="str">
        <f t="shared" si="53"/>
        <v>Residential_Building Shell_Air Sealing (Electric Heat)_BTU Impact_New_Fossil Fuel</v>
      </c>
      <c r="B385" t="s">
        <v>162</v>
      </c>
      <c r="C385" t="s">
        <v>167</v>
      </c>
      <c r="D385" t="s">
        <v>412</v>
      </c>
      <c r="E385" s="111" t="s">
        <v>290</v>
      </c>
      <c r="F385" s="99">
        <v>0</v>
      </c>
      <c r="H385" s="12" t="s">
        <v>415</v>
      </c>
      <c r="I385" s="12" t="s">
        <v>416</v>
      </c>
      <c r="J385" s="12" t="b">
        <f t="shared" si="52"/>
        <v>0</v>
      </c>
    </row>
    <row r="386" spans="1:10" x14ac:dyDescent="0.25">
      <c r="A386" s="12" t="str">
        <f t="shared" si="53"/>
        <v>Residential_Building Shell_Air Sealing (Electric Heat)_BTU Impact_New_Winter Electricity</v>
      </c>
      <c r="B386" t="s">
        <v>162</v>
      </c>
      <c r="C386" t="s">
        <v>167</v>
      </c>
      <c r="D386" t="s">
        <v>412</v>
      </c>
      <c r="E386" s="111" t="s">
        <v>291</v>
      </c>
      <c r="F386" s="99" t="e">
        <f>-F347*3412</f>
        <v>#N/A</v>
      </c>
      <c r="H386" s="12" t="s">
        <v>415</v>
      </c>
      <c r="I386" s="12" t="s">
        <v>416</v>
      </c>
      <c r="J386" s="12" t="b">
        <f t="shared" si="52"/>
        <v>1</v>
      </c>
    </row>
    <row r="387" spans="1:10" x14ac:dyDescent="0.25">
      <c r="A387" s="12" t="str">
        <f t="shared" si="53"/>
        <v>Residential_Building Shell_Air Sealing (Electric Heat)_BTU Impact_New_Summer Electricity</v>
      </c>
      <c r="B387" t="s">
        <v>162</v>
      </c>
      <c r="C387" t="s">
        <v>167</v>
      </c>
      <c r="D387" t="s">
        <v>412</v>
      </c>
      <c r="E387" s="111" t="s">
        <v>292</v>
      </c>
      <c r="F387" s="99" t="e">
        <f>-F334*3412</f>
        <v>#N/A</v>
      </c>
      <c r="H387" s="12" t="s">
        <v>415</v>
      </c>
      <c r="I387" s="12" t="s">
        <v>416</v>
      </c>
      <c r="J387" s="12" t="b">
        <f t="shared" si="52"/>
        <v>1</v>
      </c>
    </row>
    <row r="388" spans="1:10" x14ac:dyDescent="0.25">
      <c r="A388" s="12" t="str">
        <f t="shared" si="53"/>
        <v>Residential_Building Shell_Air Sealing (Electric Heat)_</v>
      </c>
      <c r="B388" t="s">
        <v>162</v>
      </c>
      <c r="C388" t="s">
        <v>167</v>
      </c>
      <c r="D388" t="s">
        <v>412</v>
      </c>
      <c r="H388" s="12" t="s">
        <v>415</v>
      </c>
      <c r="I388" s="12" t="s">
        <v>416</v>
      </c>
      <c r="J388" s="12" t="b">
        <f t="shared" si="52"/>
        <v>0</v>
      </c>
    </row>
    <row r="389" spans="1:10" x14ac:dyDescent="0.25">
      <c r="A389" s="12" t="str">
        <f t="shared" si="53"/>
        <v>Residential_Building Shell_Ceiling/Attic Insulation #1 (Electric Heat)_R_old</v>
      </c>
      <c r="B389" t="s">
        <v>162</v>
      </c>
      <c r="C389" t="s">
        <v>167</v>
      </c>
      <c r="D389" t="s">
        <v>452</v>
      </c>
      <c r="E389" s="102" t="s">
        <v>453</v>
      </c>
      <c r="F389" s="105">
        <f>Dashboard_FS!$O$15</f>
        <v>0</v>
      </c>
      <c r="G389" s="12" t="s">
        <v>240</v>
      </c>
      <c r="H389" s="12" t="s">
        <v>454</v>
      </c>
      <c r="I389" t="s">
        <v>455</v>
      </c>
      <c r="J389" s="12" t="b">
        <f t="shared" si="52"/>
        <v>1</v>
      </c>
    </row>
    <row r="390" spans="1:10" x14ac:dyDescent="0.25">
      <c r="A390" s="12" t="str">
        <f t="shared" si="53"/>
        <v>Residential_Building Shell_Ceiling/Attic Insulation #1 (Electric Heat)_R_attic</v>
      </c>
      <c r="B390" t="s">
        <v>162</v>
      </c>
      <c r="C390" t="s">
        <v>167</v>
      </c>
      <c r="D390" t="s">
        <v>452</v>
      </c>
      <c r="E390" s="102" t="s">
        <v>456</v>
      </c>
      <c r="F390" s="105">
        <f>Dashboard_FS!$P$15</f>
        <v>0</v>
      </c>
      <c r="G390" s="12" t="s">
        <v>240</v>
      </c>
      <c r="H390" s="12" t="s">
        <v>454</v>
      </c>
      <c r="I390" t="s">
        <v>455</v>
      </c>
      <c r="J390" s="12" t="b">
        <f t="shared" si="52"/>
        <v>1</v>
      </c>
    </row>
    <row r="391" spans="1:10" x14ac:dyDescent="0.25">
      <c r="A391" s="12" t="str">
        <f t="shared" si="53"/>
        <v>Residential_Building Shell_Ceiling/Attic Insulation #1 (Electric Heat)_A_attic</v>
      </c>
      <c r="B391" t="s">
        <v>162</v>
      </c>
      <c r="C391" t="s">
        <v>167</v>
      </c>
      <c r="D391" t="s">
        <v>452</v>
      </c>
      <c r="E391" s="114" t="s">
        <v>457</v>
      </c>
      <c r="F391" s="116">
        <f>Dashboard_FS!$O$4</f>
        <v>0</v>
      </c>
      <c r="G391" s="12" t="s">
        <v>240</v>
      </c>
      <c r="H391" s="12" t="s">
        <v>454</v>
      </c>
      <c r="I391" t="s">
        <v>455</v>
      </c>
      <c r="J391" s="12" t="b">
        <f t="shared" si="52"/>
        <v>1</v>
      </c>
    </row>
    <row r="392" spans="1:10" x14ac:dyDescent="0.25">
      <c r="A392" s="12" t="str">
        <f t="shared" si="53"/>
        <v>Residential_Building Shell_Ceiling/Attic Insulation #1 (Electric Heat)_Framing_factor_attic</v>
      </c>
      <c r="B392" t="s">
        <v>162</v>
      </c>
      <c r="C392" t="s">
        <v>167</v>
      </c>
      <c r="D392" t="s">
        <v>452</v>
      </c>
      <c r="E392" s="102" t="s">
        <v>458</v>
      </c>
      <c r="F392" s="105">
        <v>7.0000000000000007E-2</v>
      </c>
      <c r="H392" s="12" t="s">
        <v>454</v>
      </c>
      <c r="I392" t="s">
        <v>455</v>
      </c>
      <c r="J392" s="12" t="b">
        <f t="shared" ref="J392:J661" si="54">_xlfn.ISFORMULA(F392)</f>
        <v>0</v>
      </c>
    </row>
    <row r="393" spans="1:10" x14ac:dyDescent="0.25">
      <c r="A393" s="12" t="str">
        <f t="shared" si="53"/>
        <v>Residential_Building Shell_Ceiling/Attic Insulation #1 (Electric Heat)_24</v>
      </c>
      <c r="B393" t="s">
        <v>162</v>
      </c>
      <c r="C393" t="s">
        <v>167</v>
      </c>
      <c r="D393" t="s">
        <v>452</v>
      </c>
      <c r="E393" s="102">
        <v>24</v>
      </c>
      <c r="F393" s="105">
        <v>24</v>
      </c>
      <c r="H393" s="12" t="s">
        <v>454</v>
      </c>
      <c r="I393" t="s">
        <v>455</v>
      </c>
      <c r="J393" s="12" t="b">
        <f t="shared" si="54"/>
        <v>0</v>
      </c>
    </row>
    <row r="394" spans="1:10" x14ac:dyDescent="0.25">
      <c r="A394" s="12" t="str">
        <f t="shared" si="53"/>
        <v>Residential_Building Shell_Ceiling/Attic Insulation #1 (Electric Heat)_CDD</v>
      </c>
      <c r="B394" t="s">
        <v>162</v>
      </c>
      <c r="C394" t="s">
        <v>167</v>
      </c>
      <c r="D394" t="s">
        <v>452</v>
      </c>
      <c r="E394" s="102" t="s">
        <v>421</v>
      </c>
      <c r="F394" s="105" t="e">
        <f>INDEX('CZ Inputs'!G:G,MATCH(A394&amp;"_"&amp;Dashboard_EE!$K$3,'CZ Inputs'!A:A,0))</f>
        <v>#N/A</v>
      </c>
      <c r="G394" s="12" t="s">
        <v>422</v>
      </c>
      <c r="H394" s="12" t="s">
        <v>454</v>
      </c>
      <c r="I394" t="s">
        <v>455</v>
      </c>
      <c r="J394" s="12" t="b">
        <f t="shared" si="54"/>
        <v>1</v>
      </c>
    </row>
    <row r="395" spans="1:10" x14ac:dyDescent="0.25">
      <c r="A395" s="12" t="str">
        <f t="shared" si="53"/>
        <v>Residential_Building Shell_Ceiling/Attic Insulation #1 (Electric Heat)_DUA</v>
      </c>
      <c r="B395" t="s">
        <v>162</v>
      </c>
      <c r="C395" t="s">
        <v>167</v>
      </c>
      <c r="D395" t="s">
        <v>452</v>
      </c>
      <c r="E395" s="102" t="s">
        <v>423</v>
      </c>
      <c r="F395" s="105">
        <v>0.75</v>
      </c>
      <c r="H395" s="12" t="s">
        <v>454</v>
      </c>
      <c r="I395" t="s">
        <v>455</v>
      </c>
      <c r="J395" s="12" t="b">
        <f t="shared" si="54"/>
        <v>0</v>
      </c>
    </row>
    <row r="396" spans="1:10" x14ac:dyDescent="0.25">
      <c r="A396" s="12" t="str">
        <f t="shared" si="53"/>
        <v>Residential_Building Shell_Ceiling/Attic Insulation #1 (Electric Heat)_1000</v>
      </c>
      <c r="B396" t="s">
        <v>162</v>
      </c>
      <c r="C396" t="s">
        <v>167</v>
      </c>
      <c r="D396" t="s">
        <v>452</v>
      </c>
      <c r="E396" s="102">
        <v>1000</v>
      </c>
      <c r="F396" s="105">
        <v>1000</v>
      </c>
      <c r="H396" s="12" t="s">
        <v>454</v>
      </c>
      <c r="I396" t="s">
        <v>455</v>
      </c>
      <c r="J396" s="12" t="b">
        <f t="shared" si="54"/>
        <v>0</v>
      </c>
    </row>
    <row r="397" spans="1:10" x14ac:dyDescent="0.25">
      <c r="A397" s="12" t="str">
        <f t="shared" si="53"/>
        <v>Residential_Building Shell_Ceiling/Attic Insulation #1 (Electric Heat)_ηCool</v>
      </c>
      <c r="B397" t="s">
        <v>162</v>
      </c>
      <c r="C397" t="s">
        <v>167</v>
      </c>
      <c r="D397" t="s">
        <v>452</v>
      </c>
      <c r="E397" s="114" t="s">
        <v>424</v>
      </c>
      <c r="F397" s="116">
        <f>Dashboard_FS!$K$14</f>
        <v>0</v>
      </c>
      <c r="G397" s="12" t="s">
        <v>240</v>
      </c>
      <c r="H397" s="12" t="s">
        <v>454</v>
      </c>
      <c r="I397" t="s">
        <v>455</v>
      </c>
      <c r="J397" s="12" t="b">
        <f t="shared" si="54"/>
        <v>1</v>
      </c>
    </row>
    <row r="398" spans="1:10" x14ac:dyDescent="0.25">
      <c r="A398" s="12" t="str">
        <f t="shared" si="53"/>
        <v>Residential_Building Shell_Ceiling/Attic Insulation #1 (Electric Heat)_ηCool_Mid-Life_Adj</v>
      </c>
      <c r="B398" t="s">
        <v>162</v>
      </c>
      <c r="C398" t="s">
        <v>167</v>
      </c>
      <c r="D398" t="s">
        <v>452</v>
      </c>
      <c r="E398" s="114" t="s">
        <v>425</v>
      </c>
      <c r="F398" s="116">
        <f>Dashboard_FS!$K$14</f>
        <v>0</v>
      </c>
      <c r="G398" s="12" t="s">
        <v>240</v>
      </c>
      <c r="H398" s="12" t="s">
        <v>454</v>
      </c>
      <c r="I398" t="s">
        <v>455</v>
      </c>
      <c r="J398" s="12" t="b">
        <f t="shared" si="54"/>
        <v>1</v>
      </c>
    </row>
    <row r="399" spans="1:10" x14ac:dyDescent="0.25">
      <c r="A399" s="12" t="str">
        <f t="shared" si="53"/>
        <v>Residential_Building Shell_Ceiling/Attic Insulation #1 (Electric Heat)_ADJAtticCool</v>
      </c>
      <c r="B399" t="s">
        <v>162</v>
      </c>
      <c r="C399" t="s">
        <v>167</v>
      </c>
      <c r="D399" t="s">
        <v>452</v>
      </c>
      <c r="E399" s="102" t="s">
        <v>459</v>
      </c>
      <c r="F399" s="105">
        <v>1.1399999999999999</v>
      </c>
      <c r="H399" s="12" t="s">
        <v>454</v>
      </c>
      <c r="I399" t="s">
        <v>455</v>
      </c>
      <c r="J399" s="12" t="b">
        <f t="shared" si="54"/>
        <v>0</v>
      </c>
    </row>
    <row r="400" spans="1:10" x14ac:dyDescent="0.25">
      <c r="A400" s="12" t="str">
        <f t="shared" si="53"/>
        <v>Residential_Building Shell_Ceiling/Attic Insulation #1 (Electric Heat)_IENetCorrection</v>
      </c>
      <c r="B400" t="s">
        <v>162</v>
      </c>
      <c r="C400" t="s">
        <v>167</v>
      </c>
      <c r="D400" t="s">
        <v>452</v>
      </c>
      <c r="E400" s="102" t="s">
        <v>429</v>
      </c>
      <c r="F400" s="105">
        <f>IF(Dashboard_FS!$K$20="Yes",110%,100%)</f>
        <v>1.1000000000000001</v>
      </c>
      <c r="H400" s="12" t="s">
        <v>454</v>
      </c>
      <c r="I400" t="s">
        <v>455</v>
      </c>
      <c r="J400" s="12" t="b">
        <f t="shared" si="54"/>
        <v>1</v>
      </c>
    </row>
    <row r="401" spans="1:10" x14ac:dyDescent="0.25">
      <c r="A401" s="12" t="str">
        <f t="shared" si="53"/>
        <v>Residential_Building Shell_Ceiling/Attic Insulation #1 (Electric Heat)_%Cool</v>
      </c>
      <c r="B401" t="s">
        <v>162</v>
      </c>
      <c r="C401" t="s">
        <v>167</v>
      </c>
      <c r="D401" t="s">
        <v>452</v>
      </c>
      <c r="E401" s="102" t="s">
        <v>397</v>
      </c>
      <c r="F401" s="105">
        <v>1</v>
      </c>
      <c r="H401" s="12" t="s">
        <v>454</v>
      </c>
      <c r="I401" t="s">
        <v>455</v>
      </c>
      <c r="J401" s="12" t="b">
        <f t="shared" si="54"/>
        <v>0</v>
      </c>
    </row>
    <row r="402" spans="1:10" x14ac:dyDescent="0.25">
      <c r="A402" s="12" t="str">
        <f t="shared" si="53"/>
        <v>Residential_Building Shell_Ceiling/Attic Insulation #1 (Electric Heat)_Delta_kWh_cooling</v>
      </c>
      <c r="B402" t="s">
        <v>162</v>
      </c>
      <c r="C402" t="s">
        <v>167</v>
      </c>
      <c r="D402" t="s">
        <v>452</v>
      </c>
      <c r="E402" s="114" t="s">
        <v>430</v>
      </c>
      <c r="F402" s="116" t="e">
        <f>((((1/ F389 - 1/ F390) * F391 * (1 - F392)) * F393 * F394 * F395) / (F396 * F397)) * F399 * F400 * F401</f>
        <v>#DIV/0!</v>
      </c>
      <c r="H402" s="12" t="s">
        <v>454</v>
      </c>
      <c r="I402" t="s">
        <v>455</v>
      </c>
      <c r="J402" s="12" t="b">
        <f t="shared" si="54"/>
        <v>1</v>
      </c>
    </row>
    <row r="403" spans="1:10" x14ac:dyDescent="0.25">
      <c r="A403" s="12" t="str">
        <f t="shared" si="53"/>
        <v>Residential_Building Shell_Ceiling/Attic Insulation #1 (Electric Heat)_Delta_kWh_cooling_Mid-Life_Adj</v>
      </c>
      <c r="B403" t="s">
        <v>162</v>
      </c>
      <c r="C403" t="s">
        <v>167</v>
      </c>
      <c r="D403" t="s">
        <v>452</v>
      </c>
      <c r="E403" s="114" t="s">
        <v>431</v>
      </c>
      <c r="F403" s="116" t="e">
        <f>((((1/ F389 - 1/ F390) * F391 * (1 - F392)) * F393 * F394 * F395) / (F396 * F398)) * F399 * F400 * F401</f>
        <v>#DIV/0!</v>
      </c>
      <c r="H403" s="12" t="s">
        <v>454</v>
      </c>
      <c r="I403" t="s">
        <v>455</v>
      </c>
      <c r="J403" s="12" t="b">
        <f t="shared" si="54"/>
        <v>1</v>
      </c>
    </row>
    <row r="404" spans="1:10" x14ac:dyDescent="0.25">
      <c r="A404" s="12" t="str">
        <f t="shared" si="53"/>
        <v>Residential_Building Shell_Ceiling/Attic Insulation #1 (Electric Heat)_R_old</v>
      </c>
      <c r="B404" t="s">
        <v>162</v>
      </c>
      <c r="C404" t="s">
        <v>167</v>
      </c>
      <c r="D404" t="s">
        <v>452</v>
      </c>
      <c r="E404" s="102" t="s">
        <v>453</v>
      </c>
      <c r="F404" s="105">
        <f>Dashboard_FS!$O$15</f>
        <v>0</v>
      </c>
      <c r="G404" s="12" t="s">
        <v>240</v>
      </c>
      <c r="H404" s="12" t="s">
        <v>454</v>
      </c>
      <c r="I404" t="s">
        <v>455</v>
      </c>
      <c r="J404" s="12" t="b">
        <f t="shared" si="54"/>
        <v>1</v>
      </c>
    </row>
    <row r="405" spans="1:10" x14ac:dyDescent="0.25">
      <c r="A405" s="12" t="str">
        <f t="shared" si="53"/>
        <v>Residential_Building Shell_Ceiling/Attic Insulation #1 (Electric Heat)_R_attic</v>
      </c>
      <c r="B405" t="s">
        <v>162</v>
      </c>
      <c r="C405" t="s">
        <v>167</v>
      </c>
      <c r="D405" t="s">
        <v>452</v>
      </c>
      <c r="E405" s="102" t="s">
        <v>456</v>
      </c>
      <c r="F405" s="105">
        <f>Dashboard_FS!$P$15</f>
        <v>0</v>
      </c>
      <c r="G405" s="12" t="s">
        <v>240</v>
      </c>
      <c r="H405" s="12" t="s">
        <v>454</v>
      </c>
      <c r="I405" t="s">
        <v>455</v>
      </c>
      <c r="J405" s="12" t="b">
        <f t="shared" si="54"/>
        <v>1</v>
      </c>
    </row>
    <row r="406" spans="1:10" x14ac:dyDescent="0.25">
      <c r="A406" s="12" t="str">
        <f t="shared" si="53"/>
        <v>Residential_Building Shell_Ceiling/Attic Insulation #1 (Electric Heat)_A_attic</v>
      </c>
      <c r="B406" t="s">
        <v>162</v>
      </c>
      <c r="C406" t="s">
        <v>167</v>
      </c>
      <c r="D406" t="s">
        <v>452</v>
      </c>
      <c r="E406" s="114" t="s">
        <v>457</v>
      </c>
      <c r="F406" s="116">
        <f>Dashboard_FS!$O$4</f>
        <v>0</v>
      </c>
      <c r="G406" s="12" t="s">
        <v>240</v>
      </c>
      <c r="H406" s="12" t="s">
        <v>454</v>
      </c>
      <c r="I406" t="s">
        <v>455</v>
      </c>
      <c r="J406" s="12" t="b">
        <f t="shared" si="54"/>
        <v>1</v>
      </c>
    </row>
    <row r="407" spans="1:10" x14ac:dyDescent="0.25">
      <c r="A407" s="12" t="str">
        <f t="shared" si="53"/>
        <v>Residential_Building Shell_Ceiling/Attic Insulation #1 (Electric Heat)_Framing_factor_attic</v>
      </c>
      <c r="B407" t="s">
        <v>162</v>
      </c>
      <c r="C407" t="s">
        <v>167</v>
      </c>
      <c r="D407" t="s">
        <v>452</v>
      </c>
      <c r="E407" s="102" t="s">
        <v>458</v>
      </c>
      <c r="F407" s="105">
        <v>7.0000000000000007E-2</v>
      </c>
      <c r="H407" s="12" t="s">
        <v>454</v>
      </c>
      <c r="I407" t="s">
        <v>455</v>
      </c>
      <c r="J407" s="12" t="b">
        <f t="shared" si="54"/>
        <v>0</v>
      </c>
    </row>
    <row r="408" spans="1:10" x14ac:dyDescent="0.25">
      <c r="A408" s="12" t="str">
        <f t="shared" si="53"/>
        <v>Residential_Building Shell_Ceiling/Attic Insulation #1 (Electric Heat)_24</v>
      </c>
      <c r="B408" t="s">
        <v>162</v>
      </c>
      <c r="C408" t="s">
        <v>167</v>
      </c>
      <c r="D408" t="s">
        <v>452</v>
      </c>
      <c r="E408" s="102">
        <v>24</v>
      </c>
      <c r="F408" s="105">
        <v>24</v>
      </c>
      <c r="H408" s="12" t="s">
        <v>454</v>
      </c>
      <c r="I408" t="s">
        <v>455</v>
      </c>
      <c r="J408" s="12" t="b">
        <f t="shared" si="54"/>
        <v>0</v>
      </c>
    </row>
    <row r="409" spans="1:10" x14ac:dyDescent="0.25">
      <c r="A409" s="12" t="str">
        <f t="shared" si="53"/>
        <v>Residential_Building Shell_Ceiling/Attic Insulation #1 (Electric Heat)_HDD</v>
      </c>
      <c r="B409" t="s">
        <v>162</v>
      </c>
      <c r="C409" t="s">
        <v>167</v>
      </c>
      <c r="D409" t="s">
        <v>452</v>
      </c>
      <c r="E409" s="102" t="s">
        <v>433</v>
      </c>
      <c r="F409" s="105" t="e">
        <f>INDEX('CZ Inputs'!G:G,MATCH(A409&amp;"_"&amp;Dashboard_EE!$K$3,'CZ Inputs'!A:A,0))</f>
        <v>#N/A</v>
      </c>
      <c r="G409" s="12" t="s">
        <v>422</v>
      </c>
      <c r="H409" s="12" t="s">
        <v>454</v>
      </c>
      <c r="I409" t="s">
        <v>455</v>
      </c>
      <c r="J409" s="12" t="b">
        <f t="shared" si="54"/>
        <v>1</v>
      </c>
    </row>
    <row r="410" spans="1:10" x14ac:dyDescent="0.25">
      <c r="A410" s="12" t="str">
        <f t="shared" si="53"/>
        <v>Residential_Building Shell_Ceiling/Attic Insulation #1 (Electric Heat)_ηHeat</v>
      </c>
      <c r="B410" t="s">
        <v>162</v>
      </c>
      <c r="C410" t="s">
        <v>167</v>
      </c>
      <c r="D410" t="s">
        <v>452</v>
      </c>
      <c r="E410" s="114" t="s">
        <v>434</v>
      </c>
      <c r="F410" s="116">
        <f>Dashboard_FS!$K$6</f>
        <v>0</v>
      </c>
      <c r="G410" s="12" t="s">
        <v>240</v>
      </c>
      <c r="H410" s="12" t="s">
        <v>454</v>
      </c>
      <c r="I410" t="s">
        <v>455</v>
      </c>
      <c r="J410" s="12" t="b">
        <f t="shared" si="54"/>
        <v>1</v>
      </c>
    </row>
    <row r="411" spans="1:10" x14ac:dyDescent="0.25">
      <c r="A411" s="12" t="str">
        <f t="shared" si="53"/>
        <v>Residential_Building Shell_Ceiling/Attic Insulation #1 (Electric Heat)_ηHeat_Mid-Life_Adj</v>
      </c>
      <c r="B411" t="s">
        <v>162</v>
      </c>
      <c r="C411" t="s">
        <v>167</v>
      </c>
      <c r="D411" t="s">
        <v>452</v>
      </c>
      <c r="E411" s="114" t="s">
        <v>435</v>
      </c>
      <c r="F411" s="116">
        <f>Dashboard_FS!$K$6</f>
        <v>0</v>
      </c>
      <c r="G411" s="12" t="s">
        <v>240</v>
      </c>
      <c r="H411" s="12" t="s">
        <v>454</v>
      </c>
      <c r="I411" t="s">
        <v>455</v>
      </c>
      <c r="J411" s="12" t="b">
        <f t="shared" si="54"/>
        <v>1</v>
      </c>
    </row>
    <row r="412" spans="1:10" x14ac:dyDescent="0.25">
      <c r="A412" s="12" t="str">
        <f t="shared" si="53"/>
        <v>Residential_Building Shell_Ceiling/Attic Insulation #1 (Electric Heat)_3412</v>
      </c>
      <c r="B412" t="s">
        <v>162</v>
      </c>
      <c r="C412" t="s">
        <v>167</v>
      </c>
      <c r="D412" t="s">
        <v>452</v>
      </c>
      <c r="E412" s="102">
        <v>3412</v>
      </c>
      <c r="F412" s="105">
        <v>3412</v>
      </c>
      <c r="H412" s="12" t="s">
        <v>454</v>
      </c>
      <c r="I412" t="s">
        <v>455</v>
      </c>
      <c r="J412" s="12" t="b">
        <f t="shared" si="54"/>
        <v>0</v>
      </c>
    </row>
    <row r="413" spans="1:10" x14ac:dyDescent="0.25">
      <c r="A413" s="12" t="str">
        <f t="shared" si="53"/>
        <v>Residential_Building Shell_Ceiling/Attic Insulation #1 (Electric Heat)_ADJAtticElectricHeat</v>
      </c>
      <c r="B413" t="s">
        <v>162</v>
      </c>
      <c r="C413" t="s">
        <v>167</v>
      </c>
      <c r="D413" t="s">
        <v>452</v>
      </c>
      <c r="E413" s="102" t="s">
        <v>460</v>
      </c>
      <c r="F413" s="105">
        <v>0.63</v>
      </c>
      <c r="H413" s="12" t="s">
        <v>454</v>
      </c>
      <c r="I413" t="s">
        <v>455</v>
      </c>
      <c r="J413" s="12" t="b">
        <f t="shared" si="54"/>
        <v>0</v>
      </c>
    </row>
    <row r="414" spans="1:10" x14ac:dyDescent="0.25">
      <c r="A414" s="12" t="str">
        <f t="shared" si="53"/>
        <v>Residential_Building Shell_Ceiling/Attic Insulation #1 (Electric Heat)_%ElectricHeat</v>
      </c>
      <c r="B414" t="s">
        <v>162</v>
      </c>
      <c r="C414" t="s">
        <v>167</v>
      </c>
      <c r="D414" t="s">
        <v>452</v>
      </c>
      <c r="E414" s="102" t="s">
        <v>402</v>
      </c>
      <c r="F414" s="105">
        <v>1</v>
      </c>
      <c r="G414" s="12" t="s">
        <v>436</v>
      </c>
      <c r="H414" s="12" t="s">
        <v>454</v>
      </c>
      <c r="I414" t="s">
        <v>455</v>
      </c>
      <c r="J414" s="12" t="b">
        <f t="shared" si="54"/>
        <v>0</v>
      </c>
    </row>
    <row r="415" spans="1:10" x14ac:dyDescent="0.25">
      <c r="A415" s="12" t="str">
        <f t="shared" si="53"/>
        <v>Residential_Building Shell_Ceiling/Attic Insulation #1 (Electric Heat)_Delta_kWh_heatingElectric</v>
      </c>
      <c r="B415" t="s">
        <v>162</v>
      </c>
      <c r="C415" t="s">
        <v>167</v>
      </c>
      <c r="D415" t="s">
        <v>452</v>
      </c>
      <c r="E415" s="114" t="s">
        <v>437</v>
      </c>
      <c r="F415" s="116" t="e">
        <f>((((1/ F404 - 1/ F405) * F406 * (1 - F407)) * F408 * F409) / (F410 * F412)) * F413 * F414</f>
        <v>#DIV/0!</v>
      </c>
      <c r="H415" s="12" t="s">
        <v>454</v>
      </c>
      <c r="I415" t="s">
        <v>455</v>
      </c>
      <c r="J415" s="12" t="b">
        <f t="shared" si="54"/>
        <v>1</v>
      </c>
    </row>
    <row r="416" spans="1:10" x14ac:dyDescent="0.25">
      <c r="A416" s="12" t="str">
        <f t="shared" si="53"/>
        <v>Residential_Building Shell_Ceiling/Attic Insulation #1 (Electric Heat)_Delta_kWh_heatingElectric_Mid-Life_Adj</v>
      </c>
      <c r="B416" t="s">
        <v>162</v>
      </c>
      <c r="C416" t="s">
        <v>167</v>
      </c>
      <c r="D416" t="s">
        <v>452</v>
      </c>
      <c r="E416" s="114" t="s">
        <v>438</v>
      </c>
      <c r="F416" s="116" t="e">
        <f>((((1/ F404 - 1/ F405) * F406 * (1 - F407)) * F408 * F409) / (F411 * F412)) * F413 * F414</f>
        <v>#DIV/0!</v>
      </c>
      <c r="H416" s="12" t="s">
        <v>454</v>
      </c>
      <c r="I416" t="s">
        <v>455</v>
      </c>
      <c r="J416" s="12" t="b">
        <f t="shared" si="54"/>
        <v>1</v>
      </c>
    </row>
    <row r="417" spans="1:10" x14ac:dyDescent="0.25">
      <c r="A417" s="12" t="str">
        <f t="shared" si="53"/>
        <v>Residential_Building Shell_Ceiling/Attic Insulation #1 (Electric Heat)_Fe</v>
      </c>
      <c r="B417" t="s">
        <v>162</v>
      </c>
      <c r="C417" t="s">
        <v>167</v>
      </c>
      <c r="D417" t="s">
        <v>452</v>
      </c>
      <c r="E417" s="102" t="s">
        <v>251</v>
      </c>
      <c r="F417" s="105">
        <v>3.1399999999999997E-2</v>
      </c>
      <c r="H417" s="12" t="s">
        <v>454</v>
      </c>
      <c r="I417" t="s">
        <v>455</v>
      </c>
      <c r="J417" s="12" t="b">
        <f t="shared" si="54"/>
        <v>0</v>
      </c>
    </row>
    <row r="418" spans="1:10" x14ac:dyDescent="0.25">
      <c r="A418" s="12" t="str">
        <f t="shared" si="53"/>
        <v>Residential_Building Shell_Ceiling/Attic Insulation #1 (Electric Heat)_29.3</v>
      </c>
      <c r="B418" t="s">
        <v>162</v>
      </c>
      <c r="C418" t="s">
        <v>167</v>
      </c>
      <c r="D418" t="s">
        <v>452</v>
      </c>
      <c r="E418" s="102">
        <v>29.3</v>
      </c>
      <c r="F418" s="105">
        <v>29.3</v>
      </c>
      <c r="H418" s="12" t="s">
        <v>454</v>
      </c>
      <c r="I418" t="s">
        <v>455</v>
      </c>
      <c r="J418" s="12" t="b">
        <f t="shared" si="54"/>
        <v>0</v>
      </c>
    </row>
    <row r="419" spans="1:10" x14ac:dyDescent="0.25">
      <c r="A419" s="12" t="str">
        <f t="shared" si="53"/>
        <v>Residential_Building Shell_Ceiling/Attic Insulation #1 (Electric Heat)_ADJAtticHeatFan</v>
      </c>
      <c r="B419" t="s">
        <v>162</v>
      </c>
      <c r="C419" t="s">
        <v>167</v>
      </c>
      <c r="D419" t="s">
        <v>452</v>
      </c>
      <c r="E419" s="102" t="s">
        <v>461</v>
      </c>
      <c r="F419" s="105">
        <v>1.1299999999999999</v>
      </c>
      <c r="H419" s="12" t="s">
        <v>454</v>
      </c>
      <c r="I419" t="s">
        <v>455</v>
      </c>
      <c r="J419" s="12" t="b">
        <f t="shared" si="54"/>
        <v>0</v>
      </c>
    </row>
    <row r="420" spans="1:10" x14ac:dyDescent="0.25">
      <c r="A420" s="12" t="str">
        <f t="shared" si="53"/>
        <v>Residential_Building Shell_Ceiling/Attic Insulation #1 (Electric Heat)_IENetCorrection</v>
      </c>
      <c r="B420" t="s">
        <v>162</v>
      </c>
      <c r="C420" t="s">
        <v>167</v>
      </c>
      <c r="D420" t="s">
        <v>452</v>
      </c>
      <c r="E420" s="102" t="s">
        <v>429</v>
      </c>
      <c r="F420" s="105">
        <f>IF(Dashboard_FS!$K$20="Yes",110%,100%)</f>
        <v>1.1000000000000001</v>
      </c>
      <c r="H420" s="12" t="s">
        <v>454</v>
      </c>
      <c r="I420" t="s">
        <v>455</v>
      </c>
      <c r="J420" s="12" t="b">
        <f t="shared" si="54"/>
        <v>1</v>
      </c>
    </row>
    <row r="421" spans="1:10" x14ac:dyDescent="0.25">
      <c r="A421" s="12" t="str">
        <f t="shared" si="53"/>
        <v>Residential_Building Shell_Ceiling/Attic Insulation #1 (Electric Heat)_Delta_kWh_heatingGas</v>
      </c>
      <c r="B421" t="s">
        <v>162</v>
      </c>
      <c r="C421" t="s">
        <v>167</v>
      </c>
      <c r="D421" t="s">
        <v>452</v>
      </c>
      <c r="E421" s="114" t="s">
        <v>440</v>
      </c>
      <c r="F421" s="116" t="e">
        <f xml:space="preserve"> F439 * F417 * F418 * F419 * F420</f>
        <v>#DIV/0!</v>
      </c>
      <c r="H421" s="12" t="s">
        <v>454</v>
      </c>
      <c r="I421" t="s">
        <v>455</v>
      </c>
      <c r="J421" s="12" t="b">
        <f t="shared" si="54"/>
        <v>1</v>
      </c>
    </row>
    <row r="422" spans="1:10" x14ac:dyDescent="0.25">
      <c r="A422" s="12" t="str">
        <f t="shared" si="53"/>
        <v>Residential_Building Shell_Ceiling/Attic Insulation #1 (Electric Heat)_Delta_kWh_heatingGas_Mid-Life_Adj</v>
      </c>
      <c r="B422" t="s">
        <v>162</v>
      </c>
      <c r="C422" t="s">
        <v>167</v>
      </c>
      <c r="D422" t="s">
        <v>452</v>
      </c>
      <c r="E422" s="114" t="s">
        <v>441</v>
      </c>
      <c r="F422" s="116" t="e">
        <f xml:space="preserve"> F440 * F417 * F418 * F419 * F420</f>
        <v>#DIV/0!</v>
      </c>
      <c r="H422" s="12" t="s">
        <v>454</v>
      </c>
      <c r="I422" t="s">
        <v>455</v>
      </c>
      <c r="J422" s="12" t="b">
        <f t="shared" si="54"/>
        <v>1</v>
      </c>
    </row>
    <row r="423" spans="1:10" x14ac:dyDescent="0.25">
      <c r="A423" s="12" t="str">
        <f t="shared" si="53"/>
        <v>Residential_Building Shell_Ceiling/Attic Insulation #1 (Electric Heat)_FLH_cooling</v>
      </c>
      <c r="B423" t="s">
        <v>162</v>
      </c>
      <c r="C423" t="s">
        <v>167</v>
      </c>
      <c r="D423" t="s">
        <v>452</v>
      </c>
      <c r="E423" s="102" t="s">
        <v>442</v>
      </c>
      <c r="F423" s="105" t="e">
        <f>INDEX('CZ Inputs'!G:G,MATCH(A423&amp;"_"&amp;Dashboard_EE!$K$3,'CZ Inputs'!A:A,0))</f>
        <v>#N/A</v>
      </c>
      <c r="G423" s="12" t="s">
        <v>422</v>
      </c>
      <c r="H423" s="12" t="s">
        <v>454</v>
      </c>
      <c r="I423" t="s">
        <v>455</v>
      </c>
      <c r="J423" s="12" t="b">
        <f t="shared" si="54"/>
        <v>1</v>
      </c>
    </row>
    <row r="424" spans="1:10" x14ac:dyDescent="0.25">
      <c r="A424" s="12" t="str">
        <f t="shared" si="53"/>
        <v>Residential_Building Shell_Ceiling/Attic Insulation #1 (Electric Heat)_CF</v>
      </c>
      <c r="B424" t="s">
        <v>162</v>
      </c>
      <c r="C424" t="s">
        <v>167</v>
      </c>
      <c r="D424" t="s">
        <v>452</v>
      </c>
      <c r="E424" s="102" t="s">
        <v>277</v>
      </c>
      <c r="F424" s="105">
        <v>0.68</v>
      </c>
      <c r="G424" s="12" t="s">
        <v>319</v>
      </c>
      <c r="H424" s="12" t="s">
        <v>454</v>
      </c>
      <c r="I424" t="s">
        <v>455</v>
      </c>
      <c r="J424" s="12" t="b">
        <f t="shared" si="54"/>
        <v>0</v>
      </c>
    </row>
    <row r="425" spans="1:10" x14ac:dyDescent="0.25">
      <c r="A425" s="12" t="str">
        <f t="shared" si="53"/>
        <v>Residential_Building Shell_Ceiling/Attic Insulation #1 (Electric Heat)_Delta_kW</v>
      </c>
      <c r="B425" t="s">
        <v>162</v>
      </c>
      <c r="C425" t="s">
        <v>167</v>
      </c>
      <c r="D425" t="s">
        <v>452</v>
      </c>
      <c r="E425" s="114" t="s">
        <v>279</v>
      </c>
      <c r="F425" s="116" t="e">
        <f>(F402/F423)*F424</f>
        <v>#DIV/0!</v>
      </c>
      <c r="H425" s="12" t="s">
        <v>454</v>
      </c>
      <c r="I425" t="s">
        <v>455</v>
      </c>
      <c r="J425" s="12" t="b">
        <f t="shared" si="54"/>
        <v>1</v>
      </c>
    </row>
    <row r="426" spans="1:10" x14ac:dyDescent="0.25">
      <c r="A426" s="12" t="str">
        <f t="shared" si="53"/>
        <v>Residential_Building Shell_Ceiling/Attic Insulation #1 (Electric Heat)_Delta_kW_Mid-Life_Adj</v>
      </c>
      <c r="B426" t="s">
        <v>162</v>
      </c>
      <c r="C426" t="s">
        <v>167</v>
      </c>
      <c r="D426" t="s">
        <v>452</v>
      </c>
      <c r="E426" s="114" t="s">
        <v>443</v>
      </c>
      <c r="F426" s="116" t="e">
        <f>(F403/F423)*F424</f>
        <v>#DIV/0!</v>
      </c>
      <c r="H426" s="12" t="s">
        <v>454</v>
      </c>
      <c r="I426" t="s">
        <v>455</v>
      </c>
      <c r="J426" s="12" t="b">
        <f t="shared" si="54"/>
        <v>1</v>
      </c>
    </row>
    <row r="427" spans="1:10" x14ac:dyDescent="0.25">
      <c r="A427" s="12" t="str">
        <f t="shared" si="53"/>
        <v>Residential_Building Shell_Ceiling/Attic Insulation #1 (Electric Heat)_R_old</v>
      </c>
      <c r="B427" t="s">
        <v>162</v>
      </c>
      <c r="C427" t="s">
        <v>167</v>
      </c>
      <c r="D427" t="s">
        <v>452</v>
      </c>
      <c r="E427" s="102" t="s">
        <v>453</v>
      </c>
      <c r="F427" s="105">
        <f>Dashboard_FS!$O$15</f>
        <v>0</v>
      </c>
      <c r="G427" s="12" t="s">
        <v>240</v>
      </c>
      <c r="H427" s="12" t="s">
        <v>454</v>
      </c>
      <c r="I427" t="s">
        <v>455</v>
      </c>
      <c r="J427" s="12" t="b">
        <f t="shared" si="54"/>
        <v>1</v>
      </c>
    </row>
    <row r="428" spans="1:10" x14ac:dyDescent="0.25">
      <c r="A428" s="12" t="str">
        <f t="shared" si="53"/>
        <v>Residential_Building Shell_Ceiling/Attic Insulation #1 (Electric Heat)_R_attic</v>
      </c>
      <c r="B428" t="s">
        <v>162</v>
      </c>
      <c r="C428" t="s">
        <v>167</v>
      </c>
      <c r="D428" t="s">
        <v>452</v>
      </c>
      <c r="E428" s="102" t="s">
        <v>456</v>
      </c>
      <c r="F428" s="105">
        <f>Dashboard_FS!$P$15</f>
        <v>0</v>
      </c>
      <c r="G428" s="12" t="s">
        <v>240</v>
      </c>
      <c r="H428" s="12" t="s">
        <v>454</v>
      </c>
      <c r="I428" t="s">
        <v>455</v>
      </c>
      <c r="J428" s="12" t="b">
        <f t="shared" si="54"/>
        <v>1</v>
      </c>
    </row>
    <row r="429" spans="1:10" x14ac:dyDescent="0.25">
      <c r="A429" s="12" t="str">
        <f t="shared" si="53"/>
        <v>Residential_Building Shell_Ceiling/Attic Insulation #1 (Electric Heat)_A_attic</v>
      </c>
      <c r="B429" t="s">
        <v>162</v>
      </c>
      <c r="C429" t="s">
        <v>167</v>
      </c>
      <c r="D429" t="s">
        <v>452</v>
      </c>
      <c r="E429" s="114" t="s">
        <v>457</v>
      </c>
      <c r="F429" s="116">
        <f>Dashboard_FS!$O$4</f>
        <v>0</v>
      </c>
      <c r="G429" s="12" t="s">
        <v>240</v>
      </c>
      <c r="H429" s="12" t="s">
        <v>454</v>
      </c>
      <c r="I429" t="s">
        <v>455</v>
      </c>
      <c r="J429" s="12" t="b">
        <f t="shared" si="54"/>
        <v>1</v>
      </c>
    </row>
    <row r="430" spans="1:10" x14ac:dyDescent="0.25">
      <c r="A430" s="12" t="str">
        <f t="shared" si="53"/>
        <v>Residential_Building Shell_Ceiling/Attic Insulation #1 (Electric Heat)_Framing_factor_attic</v>
      </c>
      <c r="B430" t="s">
        <v>162</v>
      </c>
      <c r="C430" t="s">
        <v>167</v>
      </c>
      <c r="D430" t="s">
        <v>452</v>
      </c>
      <c r="E430" s="102" t="s">
        <v>458</v>
      </c>
      <c r="F430" s="105">
        <v>7.0000000000000007E-2</v>
      </c>
      <c r="H430" s="12" t="s">
        <v>454</v>
      </c>
      <c r="I430" t="s">
        <v>455</v>
      </c>
      <c r="J430" s="12" t="b">
        <f t="shared" si="54"/>
        <v>0</v>
      </c>
    </row>
    <row r="431" spans="1:10" x14ac:dyDescent="0.25">
      <c r="A431" s="12" t="str">
        <f t="shared" si="53"/>
        <v>Residential_Building Shell_Ceiling/Attic Insulation #1 (Electric Heat)_24</v>
      </c>
      <c r="B431" t="s">
        <v>162</v>
      </c>
      <c r="C431" t="s">
        <v>167</v>
      </c>
      <c r="D431" t="s">
        <v>452</v>
      </c>
      <c r="E431" s="102">
        <v>24</v>
      </c>
      <c r="F431" s="105">
        <v>24</v>
      </c>
      <c r="H431" s="12" t="s">
        <v>454</v>
      </c>
      <c r="I431" t="s">
        <v>455</v>
      </c>
      <c r="J431" s="12" t="b">
        <f t="shared" si="54"/>
        <v>0</v>
      </c>
    </row>
    <row r="432" spans="1:10" x14ac:dyDescent="0.25">
      <c r="A432" s="12" t="str">
        <f t="shared" si="53"/>
        <v>Residential_Building Shell_Ceiling/Attic Insulation #1 (Electric Heat)_HDD</v>
      </c>
      <c r="B432" t="s">
        <v>162</v>
      </c>
      <c r="C432" t="s">
        <v>167</v>
      </c>
      <c r="D432" t="s">
        <v>452</v>
      </c>
      <c r="E432" s="102" t="s">
        <v>433</v>
      </c>
      <c r="F432" s="105" t="e">
        <f>INDEX('CZ Inputs'!G:G,MATCH(A432&amp;"_"&amp;Dashboard_EE!$K$3,'CZ Inputs'!A:A,0))</f>
        <v>#N/A</v>
      </c>
      <c r="G432" s="12" t="s">
        <v>422</v>
      </c>
      <c r="H432" s="12" t="s">
        <v>454</v>
      </c>
      <c r="I432" t="s">
        <v>455</v>
      </c>
      <c r="J432" s="12" t="b">
        <f t="shared" si="54"/>
        <v>1</v>
      </c>
    </row>
    <row r="433" spans="1:10" x14ac:dyDescent="0.25">
      <c r="A433" s="12" t="str">
        <f t="shared" si="53"/>
        <v>Residential_Building Shell_Ceiling/Attic Insulation #1 (Electric Heat)_ηHeat</v>
      </c>
      <c r="B433" t="s">
        <v>162</v>
      </c>
      <c r="C433" t="s">
        <v>167</v>
      </c>
      <c r="D433" t="s">
        <v>452</v>
      </c>
      <c r="E433" s="114" t="s">
        <v>434</v>
      </c>
      <c r="F433" s="116">
        <f>Dashboard_FS!$K$8</f>
        <v>0</v>
      </c>
      <c r="G433" s="12" t="s">
        <v>240</v>
      </c>
      <c r="H433" s="12" t="s">
        <v>454</v>
      </c>
      <c r="I433" t="s">
        <v>455</v>
      </c>
      <c r="J433" s="12" t="b">
        <f t="shared" si="54"/>
        <v>1</v>
      </c>
    </row>
    <row r="434" spans="1:10" x14ac:dyDescent="0.25">
      <c r="A434" s="12" t="str">
        <f t="shared" si="53"/>
        <v>Residential_Building Shell_Ceiling/Attic Insulation #1 (Electric Heat)_ηHeat_Mid-Life_Adj</v>
      </c>
      <c r="B434" t="s">
        <v>162</v>
      </c>
      <c r="C434" t="s">
        <v>167</v>
      </c>
      <c r="D434" t="s">
        <v>452</v>
      </c>
      <c r="E434" s="114" t="s">
        <v>435</v>
      </c>
      <c r="F434" s="116">
        <f>Dashboard_FS!$K$8</f>
        <v>0</v>
      </c>
      <c r="G434" s="12" t="s">
        <v>240</v>
      </c>
      <c r="H434" s="12" t="s">
        <v>454</v>
      </c>
      <c r="I434" t="s">
        <v>455</v>
      </c>
      <c r="J434" s="12" t="b">
        <f t="shared" si="54"/>
        <v>1</v>
      </c>
    </row>
    <row r="435" spans="1:10" x14ac:dyDescent="0.25">
      <c r="A435" s="12" t="str">
        <f t="shared" si="53"/>
        <v>Residential_Building Shell_Ceiling/Attic Insulation #1 (Electric Heat)_100000</v>
      </c>
      <c r="B435" t="s">
        <v>162</v>
      </c>
      <c r="C435" t="s">
        <v>167</v>
      </c>
      <c r="D435" t="s">
        <v>452</v>
      </c>
      <c r="E435" s="102">
        <v>100000</v>
      </c>
      <c r="F435" s="105">
        <v>100000</v>
      </c>
      <c r="H435" s="12" t="s">
        <v>454</v>
      </c>
      <c r="I435" t="s">
        <v>455</v>
      </c>
      <c r="J435" s="12" t="b">
        <f t="shared" si="54"/>
        <v>0</v>
      </c>
    </row>
    <row r="436" spans="1:10" x14ac:dyDescent="0.25">
      <c r="A436" s="12" t="str">
        <f t="shared" si="53"/>
        <v>Residential_Building Shell_Ceiling/Attic Insulation #1 (Electric Heat)_ADJAtticGasHeat</v>
      </c>
      <c r="B436" t="s">
        <v>162</v>
      </c>
      <c r="C436" t="s">
        <v>167</v>
      </c>
      <c r="D436" t="s">
        <v>452</v>
      </c>
      <c r="E436" s="102" t="s">
        <v>462</v>
      </c>
      <c r="F436" s="105">
        <v>0.76</v>
      </c>
      <c r="H436" s="12" t="s">
        <v>454</v>
      </c>
      <c r="I436" t="s">
        <v>455</v>
      </c>
      <c r="J436" s="12" t="b">
        <f t="shared" si="54"/>
        <v>0</v>
      </c>
    </row>
    <row r="437" spans="1:10" x14ac:dyDescent="0.25">
      <c r="A437" s="12" t="str">
        <f t="shared" si="53"/>
        <v>Residential_Building Shell_Ceiling/Attic Insulation #1 (Electric Heat)_IENetCorrection</v>
      </c>
      <c r="B437" t="s">
        <v>162</v>
      </c>
      <c r="C437" t="s">
        <v>167</v>
      </c>
      <c r="D437" t="s">
        <v>452</v>
      </c>
      <c r="E437" s="102" t="s">
        <v>429</v>
      </c>
      <c r="F437" s="105">
        <f>IF(Dashboard_FS!$K$20="Yes",110%,100%)</f>
        <v>1.1000000000000001</v>
      </c>
      <c r="H437" s="12" t="s">
        <v>454</v>
      </c>
      <c r="I437" t="s">
        <v>455</v>
      </c>
      <c r="J437" s="12" t="b">
        <f t="shared" si="54"/>
        <v>1</v>
      </c>
    </row>
    <row r="438" spans="1:10" x14ac:dyDescent="0.25">
      <c r="A438" s="12" t="str">
        <f t="shared" si="53"/>
        <v>Residential_Building Shell_Ceiling/Attic Insulation #1 (Electric Heat)_%GasHeat</v>
      </c>
      <c r="B438" t="s">
        <v>162</v>
      </c>
      <c r="C438" t="s">
        <v>167</v>
      </c>
      <c r="D438" t="s">
        <v>452</v>
      </c>
      <c r="E438" s="102" t="s">
        <v>463</v>
      </c>
      <c r="F438" s="105">
        <v>0</v>
      </c>
      <c r="G438" s="12" t="s">
        <v>436</v>
      </c>
      <c r="H438" s="12" t="s">
        <v>454</v>
      </c>
      <c r="I438" t="s">
        <v>455</v>
      </c>
      <c r="J438" s="12" t="b">
        <f t="shared" si="54"/>
        <v>0</v>
      </c>
    </row>
    <row r="439" spans="1:10" x14ac:dyDescent="0.25">
      <c r="A439" s="12" t="str">
        <f t="shared" si="53"/>
        <v>Residential_Building Shell_Ceiling/Attic Insulation #1 (Electric Heat)_Delta_therms</v>
      </c>
      <c r="B439" t="s">
        <v>162</v>
      </c>
      <c r="C439" t="s">
        <v>167</v>
      </c>
      <c r="D439" t="s">
        <v>452</v>
      </c>
      <c r="E439" s="114" t="s">
        <v>445</v>
      </c>
      <c r="F439" s="116" t="e">
        <f xml:space="preserve"> ((((1/ F427 - 1/ F428) * F429 * (1 - F430)) * F431 * F432) / (F433 * F435)) * F436 * F437 * F438</f>
        <v>#DIV/0!</v>
      </c>
      <c r="H439" s="12" t="s">
        <v>454</v>
      </c>
      <c r="I439" t="s">
        <v>455</v>
      </c>
      <c r="J439" s="12" t="b">
        <f t="shared" si="54"/>
        <v>1</v>
      </c>
    </row>
    <row r="440" spans="1:10" x14ac:dyDescent="0.25">
      <c r="A440" s="12" t="str">
        <f t="shared" ref="A440:A503" si="55">B440&amp;"_"&amp;C440&amp;"_"&amp;D440&amp;"_"&amp;E440</f>
        <v>Residential_Building Shell_Ceiling/Attic Insulation #1 (Electric Heat)_Delta_therms_Mid-Life_Adj</v>
      </c>
      <c r="B440" t="s">
        <v>162</v>
      </c>
      <c r="C440" t="s">
        <v>167</v>
      </c>
      <c r="D440" t="s">
        <v>452</v>
      </c>
      <c r="E440" s="114" t="s">
        <v>446</v>
      </c>
      <c r="F440" s="116" t="e">
        <f xml:space="preserve"> ((((1/ F427 - 1/ F428) * F429 * (1 - F430)) * F431 * F432) / (F434 * F435)) * F436 * F437 * F438</f>
        <v>#DIV/0!</v>
      </c>
      <c r="H440" s="12" t="s">
        <v>454</v>
      </c>
      <c r="I440" t="s">
        <v>455</v>
      </c>
      <c r="J440" s="12" t="b">
        <f t="shared" si="54"/>
        <v>1</v>
      </c>
    </row>
    <row r="441" spans="1:10" x14ac:dyDescent="0.25">
      <c r="A441" s="12" t="str">
        <f t="shared" si="55"/>
        <v>Residential_Building Shell_Ceiling/Attic Insulation #1 (Electric Heat)_Remaining Year kWh</v>
      </c>
      <c r="B441" t="s">
        <v>162</v>
      </c>
      <c r="C441" t="s">
        <v>167</v>
      </c>
      <c r="D441" t="s">
        <v>452</v>
      </c>
      <c r="E441" s="111" t="s">
        <v>447</v>
      </c>
      <c r="F441" s="101" t="e">
        <f>F402+F415+F421</f>
        <v>#DIV/0!</v>
      </c>
      <c r="H441" s="12" t="s">
        <v>454</v>
      </c>
      <c r="I441" t="s">
        <v>455</v>
      </c>
      <c r="J441" s="12" t="b">
        <f t="shared" si="54"/>
        <v>1</v>
      </c>
    </row>
    <row r="442" spans="1:10" x14ac:dyDescent="0.25">
      <c r="A442" s="12" t="str">
        <f t="shared" si="55"/>
        <v>Residential_Building Shell_Ceiling/Attic Insulation #1 (Electric Heat)_kWh Saved per Unit</v>
      </c>
      <c r="B442" t="s">
        <v>162</v>
      </c>
      <c r="C442" t="s">
        <v>167</v>
      </c>
      <c r="D442" t="s">
        <v>452</v>
      </c>
      <c r="E442" s="111" t="s">
        <v>280</v>
      </c>
      <c r="F442" s="101" t="e">
        <f>F403+F416+F422</f>
        <v>#DIV/0!</v>
      </c>
      <c r="H442" s="12" t="s">
        <v>454</v>
      </c>
      <c r="I442" t="s">
        <v>455</v>
      </c>
      <c r="J442" s="12" t="b">
        <f t="shared" si="54"/>
        <v>1</v>
      </c>
    </row>
    <row r="443" spans="1:10" x14ac:dyDescent="0.25">
      <c r="A443" s="12" t="str">
        <f t="shared" si="55"/>
        <v>Residential_Building Shell_Ceiling/Attic Insulation #1 (Electric Heat)_Remaining Year kW</v>
      </c>
      <c r="B443" t="s">
        <v>162</v>
      </c>
      <c r="C443" t="s">
        <v>167</v>
      </c>
      <c r="D443" t="s">
        <v>452</v>
      </c>
      <c r="E443" s="111" t="s">
        <v>448</v>
      </c>
      <c r="F443" s="101" t="e">
        <f>F425</f>
        <v>#DIV/0!</v>
      </c>
      <c r="H443" s="12" t="s">
        <v>454</v>
      </c>
      <c r="I443" t="s">
        <v>455</v>
      </c>
      <c r="J443" s="12" t="b">
        <f t="shared" si="54"/>
        <v>1</v>
      </c>
    </row>
    <row r="444" spans="1:10" x14ac:dyDescent="0.25">
      <c r="A444" s="12" t="str">
        <f t="shared" si="55"/>
        <v>Residential_Building Shell_Ceiling/Attic Insulation #1 (Electric Heat)_Coincident Peak kW Saved per Unit</v>
      </c>
      <c r="B444" t="s">
        <v>162</v>
      </c>
      <c r="C444" t="s">
        <v>167</v>
      </c>
      <c r="D444" t="s">
        <v>452</v>
      </c>
      <c r="E444" s="111" t="s">
        <v>281</v>
      </c>
      <c r="F444" s="101" t="e">
        <f>F426</f>
        <v>#DIV/0!</v>
      </c>
      <c r="H444" s="12" t="s">
        <v>454</v>
      </c>
      <c r="I444" t="s">
        <v>455</v>
      </c>
      <c r="J444" s="12" t="b">
        <f t="shared" si="54"/>
        <v>1</v>
      </c>
    </row>
    <row r="445" spans="1:10" x14ac:dyDescent="0.25">
      <c r="A445" s="12" t="str">
        <f t="shared" si="55"/>
        <v>Residential_Building Shell_Ceiling/Attic Insulation #1 (Electric Heat)_Remaining Year Therms</v>
      </c>
      <c r="B445" t="s">
        <v>162</v>
      </c>
      <c r="C445" t="s">
        <v>167</v>
      </c>
      <c r="D445" t="s">
        <v>452</v>
      </c>
      <c r="E445" s="111" t="s">
        <v>449</v>
      </c>
      <c r="F445" s="101" t="e">
        <f>F439</f>
        <v>#DIV/0!</v>
      </c>
      <c r="H445" s="12" t="s">
        <v>454</v>
      </c>
      <c r="I445" t="s">
        <v>455</v>
      </c>
      <c r="J445" s="12" t="b">
        <f t="shared" si="54"/>
        <v>1</v>
      </c>
    </row>
    <row r="446" spans="1:10" x14ac:dyDescent="0.25">
      <c r="A446" s="12" t="str">
        <f t="shared" si="55"/>
        <v>Residential_Building Shell_Ceiling/Attic Insulation #1 (Electric Heat)_Therms Saved per Unit</v>
      </c>
      <c r="B446" t="s">
        <v>162</v>
      </c>
      <c r="C446" t="s">
        <v>167</v>
      </c>
      <c r="D446" t="s">
        <v>452</v>
      </c>
      <c r="E446" s="111" t="s">
        <v>376</v>
      </c>
      <c r="F446" s="101" t="e">
        <f>F440</f>
        <v>#DIV/0!</v>
      </c>
      <c r="H446" s="12" t="s">
        <v>454</v>
      </c>
      <c r="I446" t="s">
        <v>455</v>
      </c>
      <c r="J446" s="12" t="b">
        <f t="shared" si="54"/>
        <v>1</v>
      </c>
    </row>
    <row r="447" spans="1:10" x14ac:dyDescent="0.25">
      <c r="A447" s="12" t="str">
        <f t="shared" si="55"/>
        <v>Residential_Building Shell_Ceiling/Attic Insulation #1 (Electric Heat)_Remaining Life</v>
      </c>
      <c r="B447" t="s">
        <v>162</v>
      </c>
      <c r="C447" t="s">
        <v>167</v>
      </c>
      <c r="D447" t="s">
        <v>452</v>
      </c>
      <c r="E447" s="111" t="s">
        <v>450</v>
      </c>
      <c r="F447" s="101">
        <v>10</v>
      </c>
      <c r="H447" s="12" t="s">
        <v>454</v>
      </c>
      <c r="I447" t="s">
        <v>455</v>
      </c>
      <c r="J447" s="12" t="b">
        <f t="shared" si="54"/>
        <v>0</v>
      </c>
    </row>
    <row r="448" spans="1:10" x14ac:dyDescent="0.25">
      <c r="A448" s="12" t="str">
        <f t="shared" si="55"/>
        <v>Residential_Building Shell_Ceiling/Attic Insulation #1 (Electric Heat)_Lifetime (years)</v>
      </c>
      <c r="B448" t="s">
        <v>162</v>
      </c>
      <c r="C448" t="s">
        <v>167</v>
      </c>
      <c r="D448" t="s">
        <v>452</v>
      </c>
      <c r="E448" s="111" t="s">
        <v>284</v>
      </c>
      <c r="F448" s="101">
        <v>30</v>
      </c>
      <c r="H448" s="12" t="s">
        <v>454</v>
      </c>
      <c r="I448" t="s">
        <v>455</v>
      </c>
      <c r="J448" s="12" t="b">
        <f t="shared" si="54"/>
        <v>0</v>
      </c>
    </row>
    <row r="449" spans="1:10" x14ac:dyDescent="0.25">
      <c r="A449" s="12" t="str">
        <f t="shared" si="55"/>
        <v>Residential_Building Shell_Ceiling/Attic Insulation #1 (Electric Heat)_Incremental Cost</v>
      </c>
      <c r="B449" t="s">
        <v>162</v>
      </c>
      <c r="C449" t="s">
        <v>167</v>
      </c>
      <c r="D449" t="s">
        <v>452</v>
      </c>
      <c r="E449" s="111" t="s">
        <v>285</v>
      </c>
      <c r="F449" s="100">
        <f>0.75*F391</f>
        <v>0</v>
      </c>
      <c r="G449" s="12" t="s">
        <v>451</v>
      </c>
      <c r="H449" s="12" t="s">
        <v>454</v>
      </c>
      <c r="I449" t="s">
        <v>455</v>
      </c>
      <c r="J449" s="12" t="b">
        <f t="shared" si="54"/>
        <v>1</v>
      </c>
    </row>
    <row r="450" spans="1:10" x14ac:dyDescent="0.25">
      <c r="A450" s="12" t="str">
        <f t="shared" si="55"/>
        <v>Residential_Building Shell_Ceiling/Attic Insulation #1 (Electric Heat)_BTU Impact_Existing_Fossil Fuel</v>
      </c>
      <c r="B450" t="s">
        <v>162</v>
      </c>
      <c r="C450" t="s">
        <v>167</v>
      </c>
      <c r="D450" t="s">
        <v>452</v>
      </c>
      <c r="E450" s="111" t="s">
        <v>287</v>
      </c>
      <c r="F450" s="99">
        <v>0</v>
      </c>
      <c r="H450" s="12" t="s">
        <v>454</v>
      </c>
      <c r="I450" t="s">
        <v>455</v>
      </c>
      <c r="J450" s="12" t="b">
        <f t="shared" ref="J450:J455" si="56">_xlfn.ISFORMULA(F450)</f>
        <v>0</v>
      </c>
    </row>
    <row r="451" spans="1:10" x14ac:dyDescent="0.25">
      <c r="A451" s="12" t="str">
        <f t="shared" si="55"/>
        <v>Residential_Building Shell_Ceiling/Attic Insulation #1 (Electric Heat)_BTU Impact_Existing_Winter Electricity</v>
      </c>
      <c r="B451" t="s">
        <v>162</v>
      </c>
      <c r="C451" t="s">
        <v>167</v>
      </c>
      <c r="D451" t="s">
        <v>452</v>
      </c>
      <c r="E451" s="111" t="s">
        <v>288</v>
      </c>
      <c r="F451" s="99">
        <v>0</v>
      </c>
      <c r="H451" s="12" t="s">
        <v>454</v>
      </c>
      <c r="I451" t="s">
        <v>455</v>
      </c>
      <c r="J451" s="12" t="b">
        <f t="shared" si="56"/>
        <v>0</v>
      </c>
    </row>
    <row r="452" spans="1:10" x14ac:dyDescent="0.25">
      <c r="A452" s="12" t="str">
        <f t="shared" si="55"/>
        <v>Residential_Building Shell_Ceiling/Attic Insulation #1 (Electric Heat)_BTU Impact_Existing_Summer Electricity</v>
      </c>
      <c r="B452" t="s">
        <v>162</v>
      </c>
      <c r="C452" t="s">
        <v>167</v>
      </c>
      <c r="D452" t="s">
        <v>452</v>
      </c>
      <c r="E452" s="111" t="s">
        <v>289</v>
      </c>
      <c r="F452" s="99">
        <v>0</v>
      </c>
      <c r="H452" s="12" t="s">
        <v>454</v>
      </c>
      <c r="I452" t="s">
        <v>455</v>
      </c>
      <c r="J452" s="12" t="b">
        <f t="shared" si="56"/>
        <v>0</v>
      </c>
    </row>
    <row r="453" spans="1:10" x14ac:dyDescent="0.25">
      <c r="A453" s="12" t="str">
        <f t="shared" si="55"/>
        <v>Residential_Building Shell_Ceiling/Attic Insulation #1 (Electric Heat)_BTU Impact_New_Fossil Fuel</v>
      </c>
      <c r="B453" t="s">
        <v>162</v>
      </c>
      <c r="C453" t="s">
        <v>167</v>
      </c>
      <c r="D453" t="s">
        <v>452</v>
      </c>
      <c r="E453" s="111" t="s">
        <v>290</v>
      </c>
      <c r="F453" s="99">
        <v>0</v>
      </c>
      <c r="H453" s="12" t="s">
        <v>454</v>
      </c>
      <c r="I453" t="s">
        <v>455</v>
      </c>
      <c r="J453" s="12" t="b">
        <f t="shared" si="56"/>
        <v>0</v>
      </c>
    </row>
    <row r="454" spans="1:10" x14ac:dyDescent="0.25">
      <c r="A454" s="12" t="str">
        <f t="shared" si="55"/>
        <v>Residential_Building Shell_Ceiling/Attic Insulation #1 (Electric Heat)_BTU Impact_New_Winter Electricity</v>
      </c>
      <c r="B454" t="s">
        <v>162</v>
      </c>
      <c r="C454" t="s">
        <v>167</v>
      </c>
      <c r="D454" t="s">
        <v>452</v>
      </c>
      <c r="E454" s="111" t="s">
        <v>291</v>
      </c>
      <c r="F454" s="99" t="e">
        <f>-F415*3412</f>
        <v>#DIV/0!</v>
      </c>
      <c r="H454" s="12" t="s">
        <v>454</v>
      </c>
      <c r="I454" t="s">
        <v>455</v>
      </c>
      <c r="J454" s="12" t="b">
        <f t="shared" si="56"/>
        <v>1</v>
      </c>
    </row>
    <row r="455" spans="1:10" x14ac:dyDescent="0.25">
      <c r="A455" s="12" t="str">
        <f t="shared" si="55"/>
        <v>Residential_Building Shell_Ceiling/Attic Insulation #1 (Electric Heat)_BTU Impact_New_Summer Electricity</v>
      </c>
      <c r="B455" t="s">
        <v>162</v>
      </c>
      <c r="C455" t="s">
        <v>167</v>
      </c>
      <c r="D455" t="s">
        <v>452</v>
      </c>
      <c r="E455" s="111" t="s">
        <v>292</v>
      </c>
      <c r="F455" s="99" t="e">
        <f>-F402*3412</f>
        <v>#DIV/0!</v>
      </c>
      <c r="H455" s="12" t="s">
        <v>454</v>
      </c>
      <c r="I455" t="s">
        <v>455</v>
      </c>
      <c r="J455" s="12" t="b">
        <f t="shared" si="56"/>
        <v>1</v>
      </c>
    </row>
    <row r="456" spans="1:10" x14ac:dyDescent="0.25">
      <c r="A456" s="12" t="str">
        <f t="shared" si="55"/>
        <v>Residential_Building Shell_Ceiling/Attic Insulation #1 (Electric Heat)_</v>
      </c>
      <c r="B456" t="s">
        <v>162</v>
      </c>
      <c r="C456" t="s">
        <v>167</v>
      </c>
      <c r="D456" t="s">
        <v>452</v>
      </c>
      <c r="H456" s="12" t="s">
        <v>454</v>
      </c>
      <c r="I456" t="s">
        <v>455</v>
      </c>
      <c r="J456" s="12" t="b">
        <f t="shared" si="54"/>
        <v>0</v>
      </c>
    </row>
    <row r="457" spans="1:10" x14ac:dyDescent="0.25">
      <c r="A457" s="12" t="str">
        <f t="shared" si="55"/>
        <v>Residential_Building Shell_Ceiling/Attic Insulation #2 (Electric Heat)_R_old</v>
      </c>
      <c r="B457" t="s">
        <v>162</v>
      </c>
      <c r="C457" t="s">
        <v>167</v>
      </c>
      <c r="D457" t="s">
        <v>464</v>
      </c>
      <c r="E457" s="102" t="s">
        <v>453</v>
      </c>
      <c r="F457" s="105">
        <f>Dashboard_FS!$O$16</f>
        <v>0</v>
      </c>
      <c r="G457" s="12" t="s">
        <v>240</v>
      </c>
      <c r="H457" s="12" t="s">
        <v>454</v>
      </c>
      <c r="I457" t="s">
        <v>455</v>
      </c>
      <c r="J457" s="12" t="b">
        <f t="shared" si="54"/>
        <v>1</v>
      </c>
    </row>
    <row r="458" spans="1:10" x14ac:dyDescent="0.25">
      <c r="A458" s="12" t="str">
        <f t="shared" si="55"/>
        <v>Residential_Building Shell_Ceiling/Attic Insulation #2 (Electric Heat)_R_attic</v>
      </c>
      <c r="B458" t="s">
        <v>162</v>
      </c>
      <c r="C458" t="s">
        <v>167</v>
      </c>
      <c r="D458" t="s">
        <v>464</v>
      </c>
      <c r="E458" s="102" t="s">
        <v>456</v>
      </c>
      <c r="F458" s="105">
        <f>Dashboard_FS!$P$16</f>
        <v>0</v>
      </c>
      <c r="G458" s="12" t="s">
        <v>240</v>
      </c>
      <c r="H458" s="12" t="s">
        <v>454</v>
      </c>
      <c r="I458" t="s">
        <v>455</v>
      </c>
      <c r="J458" s="12" t="b">
        <f t="shared" si="54"/>
        <v>1</v>
      </c>
    </row>
    <row r="459" spans="1:10" x14ac:dyDescent="0.25">
      <c r="A459" s="12" t="str">
        <f t="shared" si="55"/>
        <v>Residential_Building Shell_Ceiling/Attic Insulation #2 (Electric Heat)_A_attic</v>
      </c>
      <c r="B459" t="s">
        <v>162</v>
      </c>
      <c r="C459" t="s">
        <v>167</v>
      </c>
      <c r="D459" t="s">
        <v>464</v>
      </c>
      <c r="E459" s="114" t="s">
        <v>457</v>
      </c>
      <c r="F459" s="116">
        <f>Dashboard_FS!$O$5</f>
        <v>0</v>
      </c>
      <c r="G459" s="12" t="s">
        <v>240</v>
      </c>
      <c r="H459" s="12" t="s">
        <v>454</v>
      </c>
      <c r="I459" t="s">
        <v>455</v>
      </c>
      <c r="J459" s="12" t="b">
        <f t="shared" si="54"/>
        <v>1</v>
      </c>
    </row>
    <row r="460" spans="1:10" x14ac:dyDescent="0.25">
      <c r="A460" s="12" t="str">
        <f t="shared" si="55"/>
        <v>Residential_Building Shell_Ceiling/Attic Insulation #2 (Electric Heat)_Framing_factor_attic</v>
      </c>
      <c r="B460" t="s">
        <v>162</v>
      </c>
      <c r="C460" t="s">
        <v>167</v>
      </c>
      <c r="D460" t="s">
        <v>464</v>
      </c>
      <c r="E460" s="102" t="s">
        <v>458</v>
      </c>
      <c r="F460" s="105">
        <v>7.0000000000000007E-2</v>
      </c>
      <c r="H460" s="12" t="s">
        <v>454</v>
      </c>
      <c r="I460" t="s">
        <v>455</v>
      </c>
      <c r="J460" s="12" t="b">
        <f t="shared" ref="J460:J524" si="57">_xlfn.ISFORMULA(F460)</f>
        <v>0</v>
      </c>
    </row>
    <row r="461" spans="1:10" x14ac:dyDescent="0.25">
      <c r="A461" s="12" t="str">
        <f t="shared" si="55"/>
        <v>Residential_Building Shell_Ceiling/Attic Insulation #2 (Electric Heat)_24</v>
      </c>
      <c r="B461" t="s">
        <v>162</v>
      </c>
      <c r="C461" t="s">
        <v>167</v>
      </c>
      <c r="D461" t="s">
        <v>464</v>
      </c>
      <c r="E461" s="102">
        <v>24</v>
      </c>
      <c r="F461" s="105">
        <v>24</v>
      </c>
      <c r="H461" s="12" t="s">
        <v>454</v>
      </c>
      <c r="I461" t="s">
        <v>455</v>
      </c>
      <c r="J461" s="12" t="b">
        <f t="shared" si="57"/>
        <v>0</v>
      </c>
    </row>
    <row r="462" spans="1:10" x14ac:dyDescent="0.25">
      <c r="A462" s="12" t="str">
        <f t="shared" si="55"/>
        <v>Residential_Building Shell_Ceiling/Attic Insulation #2 (Electric Heat)_CDD</v>
      </c>
      <c r="B462" t="s">
        <v>162</v>
      </c>
      <c r="C462" t="s">
        <v>167</v>
      </c>
      <c r="D462" t="s">
        <v>464</v>
      </c>
      <c r="E462" s="102" t="s">
        <v>421</v>
      </c>
      <c r="F462" s="105" t="e">
        <f>INDEX('CZ Inputs'!G:G,MATCH(A462&amp;"_"&amp;Dashboard_EE!$K$3,'CZ Inputs'!A:A,0))</f>
        <v>#N/A</v>
      </c>
      <c r="G462" s="12" t="s">
        <v>422</v>
      </c>
      <c r="H462" s="12" t="s">
        <v>454</v>
      </c>
      <c r="I462" t="s">
        <v>455</v>
      </c>
      <c r="J462" s="12" t="b">
        <f t="shared" si="57"/>
        <v>1</v>
      </c>
    </row>
    <row r="463" spans="1:10" x14ac:dyDescent="0.25">
      <c r="A463" s="12" t="str">
        <f t="shared" si="55"/>
        <v>Residential_Building Shell_Ceiling/Attic Insulation #2 (Electric Heat)_DUA</v>
      </c>
      <c r="B463" t="s">
        <v>162</v>
      </c>
      <c r="C463" t="s">
        <v>167</v>
      </c>
      <c r="D463" t="s">
        <v>464</v>
      </c>
      <c r="E463" s="102" t="s">
        <v>423</v>
      </c>
      <c r="F463" s="105">
        <v>0.75</v>
      </c>
      <c r="H463" s="12" t="s">
        <v>454</v>
      </c>
      <c r="I463" t="s">
        <v>455</v>
      </c>
      <c r="J463" s="12" t="b">
        <f t="shared" si="57"/>
        <v>0</v>
      </c>
    </row>
    <row r="464" spans="1:10" x14ac:dyDescent="0.25">
      <c r="A464" s="12" t="str">
        <f t="shared" si="55"/>
        <v>Residential_Building Shell_Ceiling/Attic Insulation #2 (Electric Heat)_1000</v>
      </c>
      <c r="B464" t="s">
        <v>162</v>
      </c>
      <c r="C464" t="s">
        <v>167</v>
      </c>
      <c r="D464" t="s">
        <v>464</v>
      </c>
      <c r="E464" s="102">
        <v>1000</v>
      </c>
      <c r="F464" s="105">
        <v>1000</v>
      </c>
      <c r="H464" s="12" t="s">
        <v>454</v>
      </c>
      <c r="I464" t="s">
        <v>455</v>
      </c>
      <c r="J464" s="12" t="b">
        <f t="shared" si="57"/>
        <v>0</v>
      </c>
    </row>
    <row r="465" spans="1:10" x14ac:dyDescent="0.25">
      <c r="A465" s="12" t="str">
        <f t="shared" si="55"/>
        <v>Residential_Building Shell_Ceiling/Attic Insulation #2 (Electric Heat)_ηCool</v>
      </c>
      <c r="B465" t="s">
        <v>162</v>
      </c>
      <c r="C465" t="s">
        <v>167</v>
      </c>
      <c r="D465" t="s">
        <v>464</v>
      </c>
      <c r="E465" s="114" t="s">
        <v>424</v>
      </c>
      <c r="F465" s="116">
        <f>Dashboard_FS!$K$14</f>
        <v>0</v>
      </c>
      <c r="G465" s="12" t="s">
        <v>240</v>
      </c>
      <c r="H465" s="12" t="s">
        <v>454</v>
      </c>
      <c r="I465" t="s">
        <v>455</v>
      </c>
      <c r="J465" s="12" t="b">
        <f t="shared" si="57"/>
        <v>1</v>
      </c>
    </row>
    <row r="466" spans="1:10" x14ac:dyDescent="0.25">
      <c r="A466" s="12" t="str">
        <f t="shared" si="55"/>
        <v>Residential_Building Shell_Ceiling/Attic Insulation #2 (Electric Heat)_ηCool_Mid-Life_Adj</v>
      </c>
      <c r="B466" t="s">
        <v>162</v>
      </c>
      <c r="C466" t="s">
        <v>167</v>
      </c>
      <c r="D466" t="s">
        <v>464</v>
      </c>
      <c r="E466" s="114" t="s">
        <v>425</v>
      </c>
      <c r="F466" s="116">
        <f>Dashboard_FS!$K$14</f>
        <v>0</v>
      </c>
      <c r="G466" s="12" t="s">
        <v>240</v>
      </c>
      <c r="H466" s="12" t="s">
        <v>454</v>
      </c>
      <c r="I466" t="s">
        <v>455</v>
      </c>
      <c r="J466" s="12" t="b">
        <f t="shared" si="57"/>
        <v>1</v>
      </c>
    </row>
    <row r="467" spans="1:10" x14ac:dyDescent="0.25">
      <c r="A467" s="12" t="str">
        <f t="shared" si="55"/>
        <v>Residential_Building Shell_Ceiling/Attic Insulation #2 (Electric Heat)_ADJAtticCool</v>
      </c>
      <c r="B467" t="s">
        <v>162</v>
      </c>
      <c r="C467" t="s">
        <v>167</v>
      </c>
      <c r="D467" t="s">
        <v>464</v>
      </c>
      <c r="E467" s="102" t="s">
        <v>459</v>
      </c>
      <c r="F467" s="105">
        <v>1.1399999999999999</v>
      </c>
      <c r="H467" s="12" t="s">
        <v>454</v>
      </c>
      <c r="I467" t="s">
        <v>455</v>
      </c>
      <c r="J467" s="12" t="b">
        <f t="shared" si="57"/>
        <v>0</v>
      </c>
    </row>
    <row r="468" spans="1:10" x14ac:dyDescent="0.25">
      <c r="A468" s="12" t="str">
        <f t="shared" si="55"/>
        <v>Residential_Building Shell_Ceiling/Attic Insulation #2 (Electric Heat)_IENetCorrection</v>
      </c>
      <c r="B468" t="s">
        <v>162</v>
      </c>
      <c r="C468" t="s">
        <v>167</v>
      </c>
      <c r="D468" t="s">
        <v>464</v>
      </c>
      <c r="E468" s="102" t="s">
        <v>429</v>
      </c>
      <c r="F468" s="105">
        <f>IF(Dashboard_FS!$K$20="Yes",110%,100%)</f>
        <v>1.1000000000000001</v>
      </c>
      <c r="H468" s="12" t="s">
        <v>454</v>
      </c>
      <c r="I468" t="s">
        <v>455</v>
      </c>
      <c r="J468" s="12" t="b">
        <f t="shared" si="57"/>
        <v>1</v>
      </c>
    </row>
    <row r="469" spans="1:10" x14ac:dyDescent="0.25">
      <c r="A469" s="12" t="str">
        <f t="shared" si="55"/>
        <v>Residential_Building Shell_Ceiling/Attic Insulation #2 (Electric Heat)_%Cool</v>
      </c>
      <c r="B469" t="s">
        <v>162</v>
      </c>
      <c r="C469" t="s">
        <v>167</v>
      </c>
      <c r="D469" t="s">
        <v>464</v>
      </c>
      <c r="E469" s="102" t="s">
        <v>397</v>
      </c>
      <c r="F469" s="105">
        <v>1</v>
      </c>
      <c r="H469" s="12" t="s">
        <v>454</v>
      </c>
      <c r="I469" t="s">
        <v>455</v>
      </c>
      <c r="J469" s="12" t="b">
        <f t="shared" si="57"/>
        <v>0</v>
      </c>
    </row>
    <row r="470" spans="1:10" x14ac:dyDescent="0.25">
      <c r="A470" s="12" t="str">
        <f t="shared" si="55"/>
        <v>Residential_Building Shell_Ceiling/Attic Insulation #2 (Electric Heat)_Delta_kWh_cooling</v>
      </c>
      <c r="B470" t="s">
        <v>162</v>
      </c>
      <c r="C470" t="s">
        <v>167</v>
      </c>
      <c r="D470" t="s">
        <v>464</v>
      </c>
      <c r="E470" s="114" t="s">
        <v>430</v>
      </c>
      <c r="F470" s="116" t="e">
        <f>((((1/ F457 - 1/ F458) * F459 * (1 - F460)) * F461 * F462 * F463) / (F464 * F465)) * F467 * F468 * F469</f>
        <v>#DIV/0!</v>
      </c>
      <c r="H470" s="12" t="s">
        <v>454</v>
      </c>
      <c r="I470" t="s">
        <v>455</v>
      </c>
      <c r="J470" s="12" t="b">
        <f t="shared" si="57"/>
        <v>1</v>
      </c>
    </row>
    <row r="471" spans="1:10" x14ac:dyDescent="0.25">
      <c r="A471" s="12" t="str">
        <f t="shared" si="55"/>
        <v>Residential_Building Shell_Ceiling/Attic Insulation #2 (Electric Heat)_Delta_kWh_cooling_Mid-Life_Adj</v>
      </c>
      <c r="B471" t="s">
        <v>162</v>
      </c>
      <c r="C471" t="s">
        <v>167</v>
      </c>
      <c r="D471" t="s">
        <v>464</v>
      </c>
      <c r="E471" s="114" t="s">
        <v>431</v>
      </c>
      <c r="F471" s="116" t="e">
        <f>((((1/ F457 - 1/ F458) * F459 * (1 - F460)) * F461 * F462 * F463) / (F464 * F466)) * F467 * F468 * F469</f>
        <v>#DIV/0!</v>
      </c>
      <c r="H471" s="12" t="s">
        <v>454</v>
      </c>
      <c r="I471" t="s">
        <v>455</v>
      </c>
      <c r="J471" s="12" t="b">
        <f t="shared" si="57"/>
        <v>1</v>
      </c>
    </row>
    <row r="472" spans="1:10" x14ac:dyDescent="0.25">
      <c r="A472" s="12" t="str">
        <f t="shared" si="55"/>
        <v>Residential_Building Shell_Ceiling/Attic Insulation #2 (Electric Heat)_R_old</v>
      </c>
      <c r="B472" t="s">
        <v>162</v>
      </c>
      <c r="C472" t="s">
        <v>167</v>
      </c>
      <c r="D472" t="s">
        <v>464</v>
      </c>
      <c r="E472" s="102" t="s">
        <v>453</v>
      </c>
      <c r="F472" s="105">
        <f>Dashboard_FS!$O$16</f>
        <v>0</v>
      </c>
      <c r="G472" s="12" t="s">
        <v>240</v>
      </c>
      <c r="H472" s="12" t="s">
        <v>454</v>
      </c>
      <c r="I472" t="s">
        <v>455</v>
      </c>
      <c r="J472" s="12" t="b">
        <f t="shared" si="57"/>
        <v>1</v>
      </c>
    </row>
    <row r="473" spans="1:10" x14ac:dyDescent="0.25">
      <c r="A473" s="12" t="str">
        <f t="shared" si="55"/>
        <v>Residential_Building Shell_Ceiling/Attic Insulation #2 (Electric Heat)_R_attic</v>
      </c>
      <c r="B473" t="s">
        <v>162</v>
      </c>
      <c r="C473" t="s">
        <v>167</v>
      </c>
      <c r="D473" t="s">
        <v>464</v>
      </c>
      <c r="E473" s="102" t="s">
        <v>456</v>
      </c>
      <c r="F473" s="105">
        <f>Dashboard_FS!$P$16</f>
        <v>0</v>
      </c>
      <c r="G473" s="12" t="s">
        <v>240</v>
      </c>
      <c r="H473" s="12" t="s">
        <v>454</v>
      </c>
      <c r="I473" t="s">
        <v>455</v>
      </c>
      <c r="J473" s="12" t="b">
        <f t="shared" si="57"/>
        <v>1</v>
      </c>
    </row>
    <row r="474" spans="1:10" x14ac:dyDescent="0.25">
      <c r="A474" s="12" t="str">
        <f t="shared" si="55"/>
        <v>Residential_Building Shell_Ceiling/Attic Insulation #2 (Electric Heat)_A_attic</v>
      </c>
      <c r="B474" t="s">
        <v>162</v>
      </c>
      <c r="C474" t="s">
        <v>167</v>
      </c>
      <c r="D474" t="s">
        <v>464</v>
      </c>
      <c r="E474" s="114" t="s">
        <v>457</v>
      </c>
      <c r="F474" s="116">
        <f>Dashboard_FS!$O$5</f>
        <v>0</v>
      </c>
      <c r="G474" s="12" t="s">
        <v>240</v>
      </c>
      <c r="H474" s="12" t="s">
        <v>454</v>
      </c>
      <c r="I474" t="s">
        <v>455</v>
      </c>
      <c r="J474" s="12" t="b">
        <f t="shared" si="57"/>
        <v>1</v>
      </c>
    </row>
    <row r="475" spans="1:10" x14ac:dyDescent="0.25">
      <c r="A475" s="12" t="str">
        <f t="shared" si="55"/>
        <v>Residential_Building Shell_Ceiling/Attic Insulation #2 (Electric Heat)_Framing_factor_attic</v>
      </c>
      <c r="B475" t="s">
        <v>162</v>
      </c>
      <c r="C475" t="s">
        <v>167</v>
      </c>
      <c r="D475" t="s">
        <v>464</v>
      </c>
      <c r="E475" s="102" t="s">
        <v>458</v>
      </c>
      <c r="F475" s="105">
        <v>7.0000000000000007E-2</v>
      </c>
      <c r="H475" s="12" t="s">
        <v>454</v>
      </c>
      <c r="I475" t="s">
        <v>455</v>
      </c>
      <c r="J475" s="12" t="b">
        <f t="shared" si="57"/>
        <v>0</v>
      </c>
    </row>
    <row r="476" spans="1:10" x14ac:dyDescent="0.25">
      <c r="A476" s="12" t="str">
        <f t="shared" si="55"/>
        <v>Residential_Building Shell_Ceiling/Attic Insulation #2 (Electric Heat)_24</v>
      </c>
      <c r="B476" t="s">
        <v>162</v>
      </c>
      <c r="C476" t="s">
        <v>167</v>
      </c>
      <c r="D476" t="s">
        <v>464</v>
      </c>
      <c r="E476" s="102">
        <v>24</v>
      </c>
      <c r="F476" s="105">
        <v>24</v>
      </c>
      <c r="H476" s="12" t="s">
        <v>454</v>
      </c>
      <c r="I476" t="s">
        <v>455</v>
      </c>
      <c r="J476" s="12" t="b">
        <f t="shared" si="57"/>
        <v>0</v>
      </c>
    </row>
    <row r="477" spans="1:10" x14ac:dyDescent="0.25">
      <c r="A477" s="12" t="str">
        <f t="shared" si="55"/>
        <v>Residential_Building Shell_Ceiling/Attic Insulation #2 (Electric Heat)_HDD</v>
      </c>
      <c r="B477" t="s">
        <v>162</v>
      </c>
      <c r="C477" t="s">
        <v>167</v>
      </c>
      <c r="D477" t="s">
        <v>464</v>
      </c>
      <c r="E477" s="102" t="s">
        <v>433</v>
      </c>
      <c r="F477" s="105" t="e">
        <f>INDEX('CZ Inputs'!G:G,MATCH(A477&amp;"_"&amp;Dashboard_EE!$K$3,'CZ Inputs'!A:A,0))</f>
        <v>#N/A</v>
      </c>
      <c r="G477" s="12" t="s">
        <v>422</v>
      </c>
      <c r="H477" s="12" t="s">
        <v>454</v>
      </c>
      <c r="I477" t="s">
        <v>455</v>
      </c>
      <c r="J477" s="12" t="b">
        <f t="shared" si="57"/>
        <v>1</v>
      </c>
    </row>
    <row r="478" spans="1:10" x14ac:dyDescent="0.25">
      <c r="A478" s="12" t="str">
        <f t="shared" si="55"/>
        <v>Residential_Building Shell_Ceiling/Attic Insulation #2 (Electric Heat)_ηHeat</v>
      </c>
      <c r="B478" t="s">
        <v>162</v>
      </c>
      <c r="C478" t="s">
        <v>167</v>
      </c>
      <c r="D478" t="s">
        <v>464</v>
      </c>
      <c r="E478" s="114" t="s">
        <v>434</v>
      </c>
      <c r="F478" s="116">
        <f>Dashboard_FS!$K$6</f>
        <v>0</v>
      </c>
      <c r="G478" s="12" t="s">
        <v>240</v>
      </c>
      <c r="H478" s="12" t="s">
        <v>454</v>
      </c>
      <c r="I478" t="s">
        <v>455</v>
      </c>
      <c r="J478" s="12" t="b">
        <f t="shared" si="57"/>
        <v>1</v>
      </c>
    </row>
    <row r="479" spans="1:10" x14ac:dyDescent="0.25">
      <c r="A479" s="12" t="str">
        <f t="shared" si="55"/>
        <v>Residential_Building Shell_Ceiling/Attic Insulation #2 (Electric Heat)_ηHeat_Mid-Life_Adj</v>
      </c>
      <c r="B479" t="s">
        <v>162</v>
      </c>
      <c r="C479" t="s">
        <v>167</v>
      </c>
      <c r="D479" t="s">
        <v>464</v>
      </c>
      <c r="E479" s="114" t="s">
        <v>435</v>
      </c>
      <c r="F479" s="116">
        <f>Dashboard_FS!$K$6</f>
        <v>0</v>
      </c>
      <c r="G479" s="12" t="s">
        <v>240</v>
      </c>
      <c r="H479" s="12" t="s">
        <v>454</v>
      </c>
      <c r="I479" t="s">
        <v>455</v>
      </c>
      <c r="J479" s="12" t="b">
        <f t="shared" si="57"/>
        <v>1</v>
      </c>
    </row>
    <row r="480" spans="1:10" x14ac:dyDescent="0.25">
      <c r="A480" s="12" t="str">
        <f t="shared" si="55"/>
        <v>Residential_Building Shell_Ceiling/Attic Insulation #2 (Electric Heat)_3412</v>
      </c>
      <c r="B480" t="s">
        <v>162</v>
      </c>
      <c r="C480" t="s">
        <v>167</v>
      </c>
      <c r="D480" t="s">
        <v>464</v>
      </c>
      <c r="E480" s="102">
        <v>3412</v>
      </c>
      <c r="F480" s="105">
        <v>3412</v>
      </c>
      <c r="H480" s="12" t="s">
        <v>454</v>
      </c>
      <c r="I480" t="s">
        <v>455</v>
      </c>
      <c r="J480" s="12" t="b">
        <f t="shared" si="57"/>
        <v>0</v>
      </c>
    </row>
    <row r="481" spans="1:10" x14ac:dyDescent="0.25">
      <c r="A481" s="12" t="str">
        <f t="shared" si="55"/>
        <v>Residential_Building Shell_Ceiling/Attic Insulation #2 (Electric Heat)_ADJAtticElectricHeat</v>
      </c>
      <c r="B481" t="s">
        <v>162</v>
      </c>
      <c r="C481" t="s">
        <v>167</v>
      </c>
      <c r="D481" t="s">
        <v>464</v>
      </c>
      <c r="E481" s="102" t="s">
        <v>460</v>
      </c>
      <c r="F481" s="105">
        <v>0.63</v>
      </c>
      <c r="H481" s="12" t="s">
        <v>454</v>
      </c>
      <c r="I481" t="s">
        <v>455</v>
      </c>
      <c r="J481" s="12" t="b">
        <f t="shared" si="57"/>
        <v>0</v>
      </c>
    </row>
    <row r="482" spans="1:10" x14ac:dyDescent="0.25">
      <c r="A482" s="12" t="str">
        <f t="shared" si="55"/>
        <v>Residential_Building Shell_Ceiling/Attic Insulation #2 (Electric Heat)_%ElectricHeat</v>
      </c>
      <c r="B482" t="s">
        <v>162</v>
      </c>
      <c r="C482" t="s">
        <v>167</v>
      </c>
      <c r="D482" t="s">
        <v>464</v>
      </c>
      <c r="E482" s="102" t="s">
        <v>402</v>
      </c>
      <c r="F482" s="105">
        <v>1</v>
      </c>
      <c r="G482" s="12" t="s">
        <v>436</v>
      </c>
      <c r="H482" s="12" t="s">
        <v>454</v>
      </c>
      <c r="I482" t="s">
        <v>455</v>
      </c>
      <c r="J482" s="12" t="b">
        <f t="shared" si="57"/>
        <v>0</v>
      </c>
    </row>
    <row r="483" spans="1:10" x14ac:dyDescent="0.25">
      <c r="A483" s="12" t="str">
        <f t="shared" si="55"/>
        <v>Residential_Building Shell_Ceiling/Attic Insulation #2 (Electric Heat)_Delta_kWh_heatingElectric</v>
      </c>
      <c r="B483" t="s">
        <v>162</v>
      </c>
      <c r="C483" t="s">
        <v>167</v>
      </c>
      <c r="D483" t="s">
        <v>464</v>
      </c>
      <c r="E483" s="114" t="s">
        <v>437</v>
      </c>
      <c r="F483" s="116" t="e">
        <f>((((1/ F472 - 1/ F473) * F474 * (1 - F475)) * F476 * F477) / (F478 * F480)) * F481 * F482</f>
        <v>#DIV/0!</v>
      </c>
      <c r="H483" s="12" t="s">
        <v>454</v>
      </c>
      <c r="I483" t="s">
        <v>455</v>
      </c>
      <c r="J483" s="12" t="b">
        <f t="shared" si="57"/>
        <v>1</v>
      </c>
    </row>
    <row r="484" spans="1:10" x14ac:dyDescent="0.25">
      <c r="A484" s="12" t="str">
        <f t="shared" si="55"/>
        <v>Residential_Building Shell_Ceiling/Attic Insulation #2 (Electric Heat)_Delta_kWh_heatingElectric_Mid-Life_Adj</v>
      </c>
      <c r="B484" t="s">
        <v>162</v>
      </c>
      <c r="C484" t="s">
        <v>167</v>
      </c>
      <c r="D484" t="s">
        <v>464</v>
      </c>
      <c r="E484" s="114" t="s">
        <v>438</v>
      </c>
      <c r="F484" s="116" t="e">
        <f>((((1/ F472 - 1/ F473) * F474 * (1 - F475)) * F476 * F477) / (F479 * F480)) * F481 * F482</f>
        <v>#DIV/0!</v>
      </c>
      <c r="H484" s="12" t="s">
        <v>454</v>
      </c>
      <c r="I484" t="s">
        <v>455</v>
      </c>
      <c r="J484" s="12" t="b">
        <f t="shared" si="57"/>
        <v>1</v>
      </c>
    </row>
    <row r="485" spans="1:10" x14ac:dyDescent="0.25">
      <c r="A485" s="12" t="str">
        <f t="shared" si="55"/>
        <v>Residential_Building Shell_Ceiling/Attic Insulation #2 (Electric Heat)_Fe</v>
      </c>
      <c r="B485" t="s">
        <v>162</v>
      </c>
      <c r="C485" t="s">
        <v>167</v>
      </c>
      <c r="D485" t="s">
        <v>464</v>
      </c>
      <c r="E485" s="102" t="s">
        <v>251</v>
      </c>
      <c r="F485" s="105">
        <v>3.1399999999999997E-2</v>
      </c>
      <c r="H485" s="12" t="s">
        <v>454</v>
      </c>
      <c r="I485" t="s">
        <v>455</v>
      </c>
      <c r="J485" s="12" t="b">
        <f t="shared" si="57"/>
        <v>0</v>
      </c>
    </row>
    <row r="486" spans="1:10" x14ac:dyDescent="0.25">
      <c r="A486" s="12" t="str">
        <f t="shared" si="55"/>
        <v>Residential_Building Shell_Ceiling/Attic Insulation #2 (Electric Heat)_29.3</v>
      </c>
      <c r="B486" t="s">
        <v>162</v>
      </c>
      <c r="C486" t="s">
        <v>167</v>
      </c>
      <c r="D486" t="s">
        <v>464</v>
      </c>
      <c r="E486" s="102">
        <v>29.3</v>
      </c>
      <c r="F486" s="105">
        <v>29.3</v>
      </c>
      <c r="H486" s="12" t="s">
        <v>454</v>
      </c>
      <c r="I486" t="s">
        <v>455</v>
      </c>
      <c r="J486" s="12" t="b">
        <f t="shared" si="57"/>
        <v>0</v>
      </c>
    </row>
    <row r="487" spans="1:10" x14ac:dyDescent="0.25">
      <c r="A487" s="12" t="str">
        <f t="shared" si="55"/>
        <v>Residential_Building Shell_Ceiling/Attic Insulation #2 (Electric Heat)_ADJAtticHeatFan</v>
      </c>
      <c r="B487" t="s">
        <v>162</v>
      </c>
      <c r="C487" t="s">
        <v>167</v>
      </c>
      <c r="D487" t="s">
        <v>464</v>
      </c>
      <c r="E487" s="102" t="s">
        <v>461</v>
      </c>
      <c r="F487" s="105">
        <v>1.1299999999999999</v>
      </c>
      <c r="H487" s="12" t="s">
        <v>454</v>
      </c>
      <c r="I487" t="s">
        <v>455</v>
      </c>
      <c r="J487" s="12" t="b">
        <f t="shared" si="57"/>
        <v>0</v>
      </c>
    </row>
    <row r="488" spans="1:10" x14ac:dyDescent="0.25">
      <c r="A488" s="12" t="str">
        <f t="shared" si="55"/>
        <v>Residential_Building Shell_Ceiling/Attic Insulation #2 (Electric Heat)_IENetCorrection</v>
      </c>
      <c r="B488" t="s">
        <v>162</v>
      </c>
      <c r="C488" t="s">
        <v>167</v>
      </c>
      <c r="D488" t="s">
        <v>464</v>
      </c>
      <c r="E488" s="102" t="s">
        <v>429</v>
      </c>
      <c r="F488" s="105">
        <f>IF(Dashboard_FS!$K$20="Yes",110%,100%)</f>
        <v>1.1000000000000001</v>
      </c>
      <c r="H488" s="12" t="s">
        <v>454</v>
      </c>
      <c r="I488" t="s">
        <v>455</v>
      </c>
      <c r="J488" s="12" t="b">
        <f t="shared" si="57"/>
        <v>1</v>
      </c>
    </row>
    <row r="489" spans="1:10" x14ac:dyDescent="0.25">
      <c r="A489" s="12" t="str">
        <f t="shared" si="55"/>
        <v>Residential_Building Shell_Ceiling/Attic Insulation #2 (Electric Heat)_Delta_kWh_heatingGas</v>
      </c>
      <c r="B489" t="s">
        <v>162</v>
      </c>
      <c r="C489" t="s">
        <v>167</v>
      </c>
      <c r="D489" t="s">
        <v>464</v>
      </c>
      <c r="E489" s="114" t="s">
        <v>440</v>
      </c>
      <c r="F489" s="116" t="e">
        <f xml:space="preserve"> F507 * F485 * F486 * F487 * F488</f>
        <v>#DIV/0!</v>
      </c>
      <c r="H489" s="12" t="s">
        <v>454</v>
      </c>
      <c r="I489" t="s">
        <v>455</v>
      </c>
      <c r="J489" s="12" t="b">
        <f t="shared" si="57"/>
        <v>1</v>
      </c>
    </row>
    <row r="490" spans="1:10" x14ac:dyDescent="0.25">
      <c r="A490" s="12" t="str">
        <f t="shared" si="55"/>
        <v>Residential_Building Shell_Ceiling/Attic Insulation #2 (Electric Heat)_Delta_kWh_heatingGas_Mid-Life_Adj</v>
      </c>
      <c r="B490" t="s">
        <v>162</v>
      </c>
      <c r="C490" t="s">
        <v>167</v>
      </c>
      <c r="D490" t="s">
        <v>464</v>
      </c>
      <c r="E490" s="114" t="s">
        <v>441</v>
      </c>
      <c r="F490" s="116" t="e">
        <f xml:space="preserve"> F508 * F485 * F486 * F487 * F488</f>
        <v>#DIV/0!</v>
      </c>
      <c r="H490" s="12" t="s">
        <v>454</v>
      </c>
      <c r="I490" t="s">
        <v>455</v>
      </c>
      <c r="J490" s="12" t="b">
        <f t="shared" si="57"/>
        <v>1</v>
      </c>
    </row>
    <row r="491" spans="1:10" x14ac:dyDescent="0.25">
      <c r="A491" s="12" t="str">
        <f t="shared" si="55"/>
        <v>Residential_Building Shell_Ceiling/Attic Insulation #2 (Electric Heat)_FLH_cooling</v>
      </c>
      <c r="B491" t="s">
        <v>162</v>
      </c>
      <c r="C491" t="s">
        <v>167</v>
      </c>
      <c r="D491" t="s">
        <v>464</v>
      </c>
      <c r="E491" s="102" t="s">
        <v>442</v>
      </c>
      <c r="F491" s="105" t="e">
        <f>INDEX('CZ Inputs'!G:G,MATCH(A491&amp;"_"&amp;Dashboard_EE!$K$3,'CZ Inputs'!A:A,0))</f>
        <v>#N/A</v>
      </c>
      <c r="G491" s="12" t="s">
        <v>422</v>
      </c>
      <c r="H491" s="12" t="s">
        <v>454</v>
      </c>
      <c r="I491" t="s">
        <v>455</v>
      </c>
      <c r="J491" s="12" t="b">
        <f t="shared" si="57"/>
        <v>1</v>
      </c>
    </row>
    <row r="492" spans="1:10" x14ac:dyDescent="0.25">
      <c r="A492" s="12" t="str">
        <f t="shared" si="55"/>
        <v>Residential_Building Shell_Ceiling/Attic Insulation #2 (Electric Heat)_CF</v>
      </c>
      <c r="B492" t="s">
        <v>162</v>
      </c>
      <c r="C492" t="s">
        <v>167</v>
      </c>
      <c r="D492" t="s">
        <v>464</v>
      </c>
      <c r="E492" s="102" t="s">
        <v>277</v>
      </c>
      <c r="F492" s="105">
        <v>0.68</v>
      </c>
      <c r="G492" s="12" t="s">
        <v>319</v>
      </c>
      <c r="H492" s="12" t="s">
        <v>454</v>
      </c>
      <c r="I492" t="s">
        <v>455</v>
      </c>
      <c r="J492" s="12" t="b">
        <f t="shared" si="57"/>
        <v>0</v>
      </c>
    </row>
    <row r="493" spans="1:10" x14ac:dyDescent="0.25">
      <c r="A493" s="12" t="str">
        <f t="shared" si="55"/>
        <v>Residential_Building Shell_Ceiling/Attic Insulation #2 (Electric Heat)_Delta_kW</v>
      </c>
      <c r="B493" t="s">
        <v>162</v>
      </c>
      <c r="C493" t="s">
        <v>167</v>
      </c>
      <c r="D493" t="s">
        <v>464</v>
      </c>
      <c r="E493" s="114" t="s">
        <v>279</v>
      </c>
      <c r="F493" s="116" t="e">
        <f>(F470/F491)*F492</f>
        <v>#DIV/0!</v>
      </c>
      <c r="H493" s="12" t="s">
        <v>454</v>
      </c>
      <c r="I493" t="s">
        <v>455</v>
      </c>
      <c r="J493" s="12" t="b">
        <f t="shared" si="57"/>
        <v>1</v>
      </c>
    </row>
    <row r="494" spans="1:10" x14ac:dyDescent="0.25">
      <c r="A494" s="12" t="str">
        <f t="shared" si="55"/>
        <v>Residential_Building Shell_Ceiling/Attic Insulation #2 (Electric Heat)_Delta_kW_Mid-Life_Adj</v>
      </c>
      <c r="B494" t="s">
        <v>162</v>
      </c>
      <c r="C494" t="s">
        <v>167</v>
      </c>
      <c r="D494" t="s">
        <v>464</v>
      </c>
      <c r="E494" s="114" t="s">
        <v>443</v>
      </c>
      <c r="F494" s="116" t="e">
        <f>(F471/F491)*F492</f>
        <v>#DIV/0!</v>
      </c>
      <c r="H494" s="12" t="s">
        <v>454</v>
      </c>
      <c r="I494" t="s">
        <v>455</v>
      </c>
      <c r="J494" s="12" t="b">
        <f t="shared" si="57"/>
        <v>1</v>
      </c>
    </row>
    <row r="495" spans="1:10" x14ac:dyDescent="0.25">
      <c r="A495" s="12" t="str">
        <f t="shared" si="55"/>
        <v>Residential_Building Shell_Ceiling/Attic Insulation #2 (Electric Heat)_R_old</v>
      </c>
      <c r="B495" t="s">
        <v>162</v>
      </c>
      <c r="C495" t="s">
        <v>167</v>
      </c>
      <c r="D495" t="s">
        <v>464</v>
      </c>
      <c r="E495" s="102" t="s">
        <v>453</v>
      </c>
      <c r="F495" s="105">
        <f>Dashboard_FS!$O$16</f>
        <v>0</v>
      </c>
      <c r="G495" s="12" t="s">
        <v>240</v>
      </c>
      <c r="H495" s="12" t="s">
        <v>454</v>
      </c>
      <c r="I495" t="s">
        <v>455</v>
      </c>
      <c r="J495" s="12" t="b">
        <f t="shared" si="57"/>
        <v>1</v>
      </c>
    </row>
    <row r="496" spans="1:10" x14ac:dyDescent="0.25">
      <c r="A496" s="12" t="str">
        <f t="shared" si="55"/>
        <v>Residential_Building Shell_Ceiling/Attic Insulation #2 (Electric Heat)_R_attic</v>
      </c>
      <c r="B496" t="s">
        <v>162</v>
      </c>
      <c r="C496" t="s">
        <v>167</v>
      </c>
      <c r="D496" t="s">
        <v>464</v>
      </c>
      <c r="E496" s="102" t="s">
        <v>456</v>
      </c>
      <c r="F496" s="105">
        <f>Dashboard_FS!$P$16</f>
        <v>0</v>
      </c>
      <c r="G496" s="12" t="s">
        <v>240</v>
      </c>
      <c r="H496" s="12" t="s">
        <v>454</v>
      </c>
      <c r="I496" t="s">
        <v>455</v>
      </c>
      <c r="J496" s="12" t="b">
        <f t="shared" si="57"/>
        <v>1</v>
      </c>
    </row>
    <row r="497" spans="1:10" x14ac:dyDescent="0.25">
      <c r="A497" s="12" t="str">
        <f t="shared" si="55"/>
        <v>Residential_Building Shell_Ceiling/Attic Insulation #2 (Electric Heat)_A_attic</v>
      </c>
      <c r="B497" t="s">
        <v>162</v>
      </c>
      <c r="C497" t="s">
        <v>167</v>
      </c>
      <c r="D497" t="s">
        <v>464</v>
      </c>
      <c r="E497" s="114" t="s">
        <v>457</v>
      </c>
      <c r="F497" s="116">
        <f>Dashboard_FS!$O$5</f>
        <v>0</v>
      </c>
      <c r="G497" s="12" t="s">
        <v>240</v>
      </c>
      <c r="H497" s="12" t="s">
        <v>454</v>
      </c>
      <c r="I497" t="s">
        <v>455</v>
      </c>
      <c r="J497" s="12" t="b">
        <f t="shared" si="57"/>
        <v>1</v>
      </c>
    </row>
    <row r="498" spans="1:10" x14ac:dyDescent="0.25">
      <c r="A498" s="12" t="str">
        <f t="shared" si="55"/>
        <v>Residential_Building Shell_Ceiling/Attic Insulation #2 (Electric Heat)_Framing_factor_attic</v>
      </c>
      <c r="B498" t="s">
        <v>162</v>
      </c>
      <c r="C498" t="s">
        <v>167</v>
      </c>
      <c r="D498" t="s">
        <v>464</v>
      </c>
      <c r="E498" s="102" t="s">
        <v>458</v>
      </c>
      <c r="F498" s="105">
        <v>7.0000000000000007E-2</v>
      </c>
      <c r="H498" s="12" t="s">
        <v>454</v>
      </c>
      <c r="I498" t="s">
        <v>455</v>
      </c>
      <c r="J498" s="12" t="b">
        <f t="shared" si="57"/>
        <v>0</v>
      </c>
    </row>
    <row r="499" spans="1:10" x14ac:dyDescent="0.25">
      <c r="A499" s="12" t="str">
        <f t="shared" si="55"/>
        <v>Residential_Building Shell_Ceiling/Attic Insulation #2 (Electric Heat)_24</v>
      </c>
      <c r="B499" t="s">
        <v>162</v>
      </c>
      <c r="C499" t="s">
        <v>167</v>
      </c>
      <c r="D499" t="s">
        <v>464</v>
      </c>
      <c r="E499" s="102">
        <v>24</v>
      </c>
      <c r="F499" s="105">
        <v>24</v>
      </c>
      <c r="H499" s="12" t="s">
        <v>454</v>
      </c>
      <c r="I499" t="s">
        <v>455</v>
      </c>
      <c r="J499" s="12" t="b">
        <f t="shared" si="57"/>
        <v>0</v>
      </c>
    </row>
    <row r="500" spans="1:10" x14ac:dyDescent="0.25">
      <c r="A500" s="12" t="str">
        <f t="shared" si="55"/>
        <v>Residential_Building Shell_Ceiling/Attic Insulation #2 (Electric Heat)_HDD</v>
      </c>
      <c r="B500" t="s">
        <v>162</v>
      </c>
      <c r="C500" t="s">
        <v>167</v>
      </c>
      <c r="D500" t="s">
        <v>464</v>
      </c>
      <c r="E500" s="102" t="s">
        <v>433</v>
      </c>
      <c r="F500" s="105" t="e">
        <f>INDEX('CZ Inputs'!G:G,MATCH(A500&amp;"_"&amp;Dashboard_EE!$K$3,'CZ Inputs'!A:A,0))</f>
        <v>#N/A</v>
      </c>
      <c r="G500" s="12" t="s">
        <v>422</v>
      </c>
      <c r="H500" s="12" t="s">
        <v>454</v>
      </c>
      <c r="I500" t="s">
        <v>455</v>
      </c>
      <c r="J500" s="12" t="b">
        <f t="shared" si="57"/>
        <v>1</v>
      </c>
    </row>
    <row r="501" spans="1:10" x14ac:dyDescent="0.25">
      <c r="A501" s="12" t="str">
        <f t="shared" si="55"/>
        <v>Residential_Building Shell_Ceiling/Attic Insulation #2 (Electric Heat)_ηHeat</v>
      </c>
      <c r="B501" t="s">
        <v>162</v>
      </c>
      <c r="C501" t="s">
        <v>167</v>
      </c>
      <c r="D501" t="s">
        <v>464</v>
      </c>
      <c r="E501" s="114" t="s">
        <v>434</v>
      </c>
      <c r="F501" s="116">
        <f>Dashboard_FS!$K$8</f>
        <v>0</v>
      </c>
      <c r="G501" s="12" t="s">
        <v>240</v>
      </c>
      <c r="H501" s="12" t="s">
        <v>454</v>
      </c>
      <c r="I501" t="s">
        <v>455</v>
      </c>
      <c r="J501" s="12" t="b">
        <f t="shared" si="57"/>
        <v>1</v>
      </c>
    </row>
    <row r="502" spans="1:10" x14ac:dyDescent="0.25">
      <c r="A502" s="12" t="str">
        <f t="shared" si="55"/>
        <v>Residential_Building Shell_Ceiling/Attic Insulation #2 (Electric Heat)_ηHeat_Mid-Life_Adj</v>
      </c>
      <c r="B502" t="s">
        <v>162</v>
      </c>
      <c r="C502" t="s">
        <v>167</v>
      </c>
      <c r="D502" t="s">
        <v>464</v>
      </c>
      <c r="E502" s="114" t="s">
        <v>435</v>
      </c>
      <c r="F502" s="116">
        <f>Dashboard_FS!$K$8</f>
        <v>0</v>
      </c>
      <c r="G502" s="12" t="s">
        <v>240</v>
      </c>
      <c r="H502" s="12" t="s">
        <v>454</v>
      </c>
      <c r="I502" t="s">
        <v>455</v>
      </c>
      <c r="J502" s="12" t="b">
        <f t="shared" si="57"/>
        <v>1</v>
      </c>
    </row>
    <row r="503" spans="1:10" x14ac:dyDescent="0.25">
      <c r="A503" s="12" t="str">
        <f t="shared" si="55"/>
        <v>Residential_Building Shell_Ceiling/Attic Insulation #2 (Electric Heat)_100000</v>
      </c>
      <c r="B503" t="s">
        <v>162</v>
      </c>
      <c r="C503" t="s">
        <v>167</v>
      </c>
      <c r="D503" t="s">
        <v>464</v>
      </c>
      <c r="E503" s="102">
        <v>100000</v>
      </c>
      <c r="F503" s="105">
        <v>100000</v>
      </c>
      <c r="H503" s="12" t="s">
        <v>454</v>
      </c>
      <c r="I503" t="s">
        <v>455</v>
      </c>
      <c r="J503" s="12" t="b">
        <f t="shared" si="57"/>
        <v>0</v>
      </c>
    </row>
    <row r="504" spans="1:10" x14ac:dyDescent="0.25">
      <c r="A504" s="12" t="str">
        <f t="shared" ref="A504:A567" si="58">B504&amp;"_"&amp;C504&amp;"_"&amp;D504&amp;"_"&amp;E504</f>
        <v>Residential_Building Shell_Ceiling/Attic Insulation #2 (Electric Heat)_ADJAtticGasHeat</v>
      </c>
      <c r="B504" t="s">
        <v>162</v>
      </c>
      <c r="C504" t="s">
        <v>167</v>
      </c>
      <c r="D504" t="s">
        <v>464</v>
      </c>
      <c r="E504" s="102" t="s">
        <v>462</v>
      </c>
      <c r="F504" s="105">
        <v>0.76</v>
      </c>
      <c r="H504" s="12" t="s">
        <v>454</v>
      </c>
      <c r="I504" t="s">
        <v>455</v>
      </c>
      <c r="J504" s="12" t="b">
        <f t="shared" si="57"/>
        <v>0</v>
      </c>
    </row>
    <row r="505" spans="1:10" x14ac:dyDescent="0.25">
      <c r="A505" s="12" t="str">
        <f t="shared" si="58"/>
        <v>Residential_Building Shell_Ceiling/Attic Insulation #2 (Electric Heat)_IENetCorrection</v>
      </c>
      <c r="B505" t="s">
        <v>162</v>
      </c>
      <c r="C505" t="s">
        <v>167</v>
      </c>
      <c r="D505" t="s">
        <v>464</v>
      </c>
      <c r="E505" s="102" t="s">
        <v>429</v>
      </c>
      <c r="F505" s="105">
        <f>IF(Dashboard_FS!$K$20="Yes",110%,100%)</f>
        <v>1.1000000000000001</v>
      </c>
      <c r="H505" s="12" t="s">
        <v>454</v>
      </c>
      <c r="I505" t="s">
        <v>455</v>
      </c>
      <c r="J505" s="12" t="b">
        <f t="shared" si="57"/>
        <v>1</v>
      </c>
    </row>
    <row r="506" spans="1:10" x14ac:dyDescent="0.25">
      <c r="A506" s="12" t="str">
        <f t="shared" si="58"/>
        <v>Residential_Building Shell_Ceiling/Attic Insulation #2 (Electric Heat)_%GasHeat</v>
      </c>
      <c r="B506" t="s">
        <v>162</v>
      </c>
      <c r="C506" t="s">
        <v>167</v>
      </c>
      <c r="D506" t="s">
        <v>464</v>
      </c>
      <c r="E506" s="102" t="s">
        <v>463</v>
      </c>
      <c r="F506" s="105">
        <v>0</v>
      </c>
      <c r="G506" s="12" t="s">
        <v>436</v>
      </c>
      <c r="H506" s="12" t="s">
        <v>454</v>
      </c>
      <c r="I506" t="s">
        <v>455</v>
      </c>
      <c r="J506" s="12" t="b">
        <f t="shared" si="57"/>
        <v>0</v>
      </c>
    </row>
    <row r="507" spans="1:10" x14ac:dyDescent="0.25">
      <c r="A507" s="12" t="str">
        <f t="shared" si="58"/>
        <v>Residential_Building Shell_Ceiling/Attic Insulation #2 (Electric Heat)_Delta_therms</v>
      </c>
      <c r="B507" t="s">
        <v>162</v>
      </c>
      <c r="C507" t="s">
        <v>167</v>
      </c>
      <c r="D507" t="s">
        <v>464</v>
      </c>
      <c r="E507" s="114" t="s">
        <v>445</v>
      </c>
      <c r="F507" s="116" t="e">
        <f xml:space="preserve"> ((((1/ F495 - 1/ F496) * F497 * (1 - F498)) * F499 * F500) / (F501 * F503)) * F504 * F505 * F506</f>
        <v>#DIV/0!</v>
      </c>
      <c r="H507" s="12" t="s">
        <v>454</v>
      </c>
      <c r="I507" t="s">
        <v>455</v>
      </c>
      <c r="J507" s="12" t="b">
        <f t="shared" si="57"/>
        <v>1</v>
      </c>
    </row>
    <row r="508" spans="1:10" x14ac:dyDescent="0.25">
      <c r="A508" s="12" t="str">
        <f t="shared" si="58"/>
        <v>Residential_Building Shell_Ceiling/Attic Insulation #2 (Electric Heat)_Delta_therms_Mid-Life_Adj</v>
      </c>
      <c r="B508" t="s">
        <v>162</v>
      </c>
      <c r="C508" t="s">
        <v>167</v>
      </c>
      <c r="D508" t="s">
        <v>464</v>
      </c>
      <c r="E508" s="114" t="s">
        <v>446</v>
      </c>
      <c r="F508" s="116" t="e">
        <f xml:space="preserve"> ((((1/ F495 - 1/ F496) * F497 * (1 - F498)) * F499 * F500) / (F502 * F503)) * F504 * F505 * F506</f>
        <v>#DIV/0!</v>
      </c>
      <c r="H508" s="12" t="s">
        <v>454</v>
      </c>
      <c r="I508" t="s">
        <v>455</v>
      </c>
      <c r="J508" s="12" t="b">
        <f t="shared" si="57"/>
        <v>1</v>
      </c>
    </row>
    <row r="509" spans="1:10" x14ac:dyDescent="0.25">
      <c r="A509" s="12" t="str">
        <f t="shared" si="58"/>
        <v>Residential_Building Shell_Ceiling/Attic Insulation #2 (Electric Heat)_Remaining Year kWh</v>
      </c>
      <c r="B509" t="s">
        <v>162</v>
      </c>
      <c r="C509" t="s">
        <v>167</v>
      </c>
      <c r="D509" t="s">
        <v>464</v>
      </c>
      <c r="E509" s="111" t="s">
        <v>447</v>
      </c>
      <c r="F509" s="101" t="e">
        <f>F470+F483+F489</f>
        <v>#DIV/0!</v>
      </c>
      <c r="H509" s="12" t="s">
        <v>454</v>
      </c>
      <c r="I509" t="s">
        <v>455</v>
      </c>
      <c r="J509" s="12" t="b">
        <f t="shared" si="57"/>
        <v>1</v>
      </c>
    </row>
    <row r="510" spans="1:10" x14ac:dyDescent="0.25">
      <c r="A510" s="12" t="str">
        <f t="shared" si="58"/>
        <v>Residential_Building Shell_Ceiling/Attic Insulation #2 (Electric Heat)_kWh Saved per Unit</v>
      </c>
      <c r="B510" t="s">
        <v>162</v>
      </c>
      <c r="C510" t="s">
        <v>167</v>
      </c>
      <c r="D510" t="s">
        <v>464</v>
      </c>
      <c r="E510" s="111" t="s">
        <v>280</v>
      </c>
      <c r="F510" s="101" t="e">
        <f>F471+F484+F490</f>
        <v>#DIV/0!</v>
      </c>
      <c r="H510" s="12" t="s">
        <v>454</v>
      </c>
      <c r="I510" t="s">
        <v>455</v>
      </c>
      <c r="J510" s="12" t="b">
        <f t="shared" si="57"/>
        <v>1</v>
      </c>
    </row>
    <row r="511" spans="1:10" x14ac:dyDescent="0.25">
      <c r="A511" s="12" t="str">
        <f t="shared" si="58"/>
        <v>Residential_Building Shell_Ceiling/Attic Insulation #2 (Electric Heat)_Remaining Year kW</v>
      </c>
      <c r="B511" t="s">
        <v>162</v>
      </c>
      <c r="C511" t="s">
        <v>167</v>
      </c>
      <c r="D511" t="s">
        <v>464</v>
      </c>
      <c r="E511" s="111" t="s">
        <v>448</v>
      </c>
      <c r="F511" s="101" t="e">
        <f>F493</f>
        <v>#DIV/0!</v>
      </c>
      <c r="H511" s="12" t="s">
        <v>454</v>
      </c>
      <c r="I511" t="s">
        <v>455</v>
      </c>
      <c r="J511" s="12" t="b">
        <f t="shared" si="57"/>
        <v>1</v>
      </c>
    </row>
    <row r="512" spans="1:10" x14ac:dyDescent="0.25">
      <c r="A512" s="12" t="str">
        <f t="shared" si="58"/>
        <v>Residential_Building Shell_Ceiling/Attic Insulation #2 (Electric Heat)_Coincident Peak kW Saved per Unit</v>
      </c>
      <c r="B512" t="s">
        <v>162</v>
      </c>
      <c r="C512" t="s">
        <v>167</v>
      </c>
      <c r="D512" t="s">
        <v>464</v>
      </c>
      <c r="E512" s="111" t="s">
        <v>281</v>
      </c>
      <c r="F512" s="101" t="e">
        <f>F494</f>
        <v>#DIV/0!</v>
      </c>
      <c r="H512" s="12" t="s">
        <v>454</v>
      </c>
      <c r="I512" t="s">
        <v>455</v>
      </c>
      <c r="J512" s="12" t="b">
        <f t="shared" si="57"/>
        <v>1</v>
      </c>
    </row>
    <row r="513" spans="1:10" x14ac:dyDescent="0.25">
      <c r="A513" s="12" t="str">
        <f t="shared" si="58"/>
        <v>Residential_Building Shell_Ceiling/Attic Insulation #2 (Electric Heat)_Remaining Year Therms</v>
      </c>
      <c r="B513" t="s">
        <v>162</v>
      </c>
      <c r="C513" t="s">
        <v>167</v>
      </c>
      <c r="D513" t="s">
        <v>464</v>
      </c>
      <c r="E513" s="111" t="s">
        <v>449</v>
      </c>
      <c r="F513" s="101" t="e">
        <f>F507</f>
        <v>#DIV/0!</v>
      </c>
      <c r="H513" s="12" t="s">
        <v>454</v>
      </c>
      <c r="I513" t="s">
        <v>455</v>
      </c>
      <c r="J513" s="12" t="b">
        <f t="shared" si="57"/>
        <v>1</v>
      </c>
    </row>
    <row r="514" spans="1:10" x14ac:dyDescent="0.25">
      <c r="A514" s="12" t="str">
        <f t="shared" si="58"/>
        <v>Residential_Building Shell_Ceiling/Attic Insulation #2 (Electric Heat)_Therms Saved per Unit</v>
      </c>
      <c r="B514" t="s">
        <v>162</v>
      </c>
      <c r="C514" t="s">
        <v>167</v>
      </c>
      <c r="D514" t="s">
        <v>464</v>
      </c>
      <c r="E514" s="111" t="s">
        <v>376</v>
      </c>
      <c r="F514" s="101" t="e">
        <f>F508</f>
        <v>#DIV/0!</v>
      </c>
      <c r="H514" s="12" t="s">
        <v>454</v>
      </c>
      <c r="I514" t="s">
        <v>455</v>
      </c>
      <c r="J514" s="12" t="b">
        <f t="shared" si="57"/>
        <v>1</v>
      </c>
    </row>
    <row r="515" spans="1:10" x14ac:dyDescent="0.25">
      <c r="A515" s="12" t="str">
        <f t="shared" si="58"/>
        <v>Residential_Building Shell_Ceiling/Attic Insulation #2 (Electric Heat)_Remaining Life</v>
      </c>
      <c r="B515" t="s">
        <v>162</v>
      </c>
      <c r="C515" t="s">
        <v>167</v>
      </c>
      <c r="D515" t="s">
        <v>464</v>
      </c>
      <c r="E515" s="111" t="s">
        <v>450</v>
      </c>
      <c r="F515" s="101">
        <v>10</v>
      </c>
      <c r="H515" s="12" t="s">
        <v>454</v>
      </c>
      <c r="I515" t="s">
        <v>455</v>
      </c>
      <c r="J515" s="12" t="b">
        <f t="shared" si="57"/>
        <v>0</v>
      </c>
    </row>
    <row r="516" spans="1:10" x14ac:dyDescent="0.25">
      <c r="A516" s="12" t="str">
        <f t="shared" si="58"/>
        <v>Residential_Building Shell_Ceiling/Attic Insulation #2 (Electric Heat)_Lifetime (years)</v>
      </c>
      <c r="B516" t="s">
        <v>162</v>
      </c>
      <c r="C516" t="s">
        <v>167</v>
      </c>
      <c r="D516" t="s">
        <v>464</v>
      </c>
      <c r="E516" s="111" t="s">
        <v>284</v>
      </c>
      <c r="F516" s="101">
        <v>30</v>
      </c>
      <c r="H516" s="12" t="s">
        <v>454</v>
      </c>
      <c r="I516" t="s">
        <v>455</v>
      </c>
      <c r="J516" s="12" t="b">
        <f t="shared" si="57"/>
        <v>0</v>
      </c>
    </row>
    <row r="517" spans="1:10" x14ac:dyDescent="0.25">
      <c r="A517" s="12" t="str">
        <f t="shared" si="58"/>
        <v>Residential_Building Shell_Ceiling/Attic Insulation #2 (Electric Heat)_Incremental Cost</v>
      </c>
      <c r="B517" t="s">
        <v>162</v>
      </c>
      <c r="C517" t="s">
        <v>167</v>
      </c>
      <c r="D517" t="s">
        <v>464</v>
      </c>
      <c r="E517" s="111" t="s">
        <v>285</v>
      </c>
      <c r="F517" s="100">
        <f>0.75*F459</f>
        <v>0</v>
      </c>
      <c r="G517" s="12" t="s">
        <v>451</v>
      </c>
      <c r="H517" s="12" t="s">
        <v>454</v>
      </c>
      <c r="I517" t="s">
        <v>455</v>
      </c>
      <c r="J517" s="12" t="b">
        <f t="shared" si="57"/>
        <v>1</v>
      </c>
    </row>
    <row r="518" spans="1:10" x14ac:dyDescent="0.25">
      <c r="A518" s="12" t="str">
        <f t="shared" si="58"/>
        <v>Residential_Building Shell_Ceiling/Attic Insulation #2 (Electric Heat)_BTU Impact_Existing_Fossil Fuel</v>
      </c>
      <c r="B518" t="s">
        <v>162</v>
      </c>
      <c r="C518" t="s">
        <v>167</v>
      </c>
      <c r="D518" t="s">
        <v>464</v>
      </c>
      <c r="E518" s="111" t="s">
        <v>287</v>
      </c>
      <c r="F518" s="99">
        <v>0</v>
      </c>
      <c r="H518" s="12" t="s">
        <v>454</v>
      </c>
      <c r="I518" t="s">
        <v>455</v>
      </c>
      <c r="J518" s="12" t="b">
        <f t="shared" si="57"/>
        <v>0</v>
      </c>
    </row>
    <row r="519" spans="1:10" x14ac:dyDescent="0.25">
      <c r="A519" s="12" t="str">
        <f t="shared" si="58"/>
        <v>Residential_Building Shell_Ceiling/Attic Insulation #2 (Electric Heat)_BTU Impact_Existing_Winter Electricity</v>
      </c>
      <c r="B519" t="s">
        <v>162</v>
      </c>
      <c r="C519" t="s">
        <v>167</v>
      </c>
      <c r="D519" t="s">
        <v>464</v>
      </c>
      <c r="E519" s="111" t="s">
        <v>288</v>
      </c>
      <c r="F519" s="99">
        <v>0</v>
      </c>
      <c r="H519" s="12" t="s">
        <v>454</v>
      </c>
      <c r="I519" t="s">
        <v>455</v>
      </c>
      <c r="J519" s="12" t="b">
        <f t="shared" si="57"/>
        <v>0</v>
      </c>
    </row>
    <row r="520" spans="1:10" x14ac:dyDescent="0.25">
      <c r="A520" s="12" t="str">
        <f t="shared" si="58"/>
        <v>Residential_Building Shell_Ceiling/Attic Insulation #2 (Electric Heat)_BTU Impact_Existing_Summer Electricity</v>
      </c>
      <c r="B520" t="s">
        <v>162</v>
      </c>
      <c r="C520" t="s">
        <v>167</v>
      </c>
      <c r="D520" t="s">
        <v>464</v>
      </c>
      <c r="E520" s="111" t="s">
        <v>289</v>
      </c>
      <c r="F520" s="99">
        <v>0</v>
      </c>
      <c r="H520" s="12" t="s">
        <v>454</v>
      </c>
      <c r="I520" t="s">
        <v>455</v>
      </c>
      <c r="J520" s="12" t="b">
        <f t="shared" si="57"/>
        <v>0</v>
      </c>
    </row>
    <row r="521" spans="1:10" x14ac:dyDescent="0.25">
      <c r="A521" s="12" t="str">
        <f t="shared" si="58"/>
        <v>Residential_Building Shell_Ceiling/Attic Insulation #2 (Electric Heat)_BTU Impact_New_Fossil Fuel</v>
      </c>
      <c r="B521" t="s">
        <v>162</v>
      </c>
      <c r="C521" t="s">
        <v>167</v>
      </c>
      <c r="D521" t="s">
        <v>464</v>
      </c>
      <c r="E521" s="111" t="s">
        <v>290</v>
      </c>
      <c r="F521" s="99">
        <v>0</v>
      </c>
      <c r="H521" s="12" t="s">
        <v>454</v>
      </c>
      <c r="I521" t="s">
        <v>455</v>
      </c>
      <c r="J521" s="12" t="b">
        <f t="shared" si="57"/>
        <v>0</v>
      </c>
    </row>
    <row r="522" spans="1:10" x14ac:dyDescent="0.25">
      <c r="A522" s="12" t="str">
        <f t="shared" si="58"/>
        <v>Residential_Building Shell_Ceiling/Attic Insulation #2 (Electric Heat)_BTU Impact_New_Winter Electricity</v>
      </c>
      <c r="B522" t="s">
        <v>162</v>
      </c>
      <c r="C522" t="s">
        <v>167</v>
      </c>
      <c r="D522" t="s">
        <v>464</v>
      </c>
      <c r="E522" s="111" t="s">
        <v>291</v>
      </c>
      <c r="F522" s="99" t="e">
        <f>-F483*3412</f>
        <v>#DIV/0!</v>
      </c>
      <c r="H522" s="12" t="s">
        <v>454</v>
      </c>
      <c r="I522" t="s">
        <v>455</v>
      </c>
      <c r="J522" s="12" t="b">
        <f t="shared" si="57"/>
        <v>1</v>
      </c>
    </row>
    <row r="523" spans="1:10" x14ac:dyDescent="0.25">
      <c r="A523" s="12" t="str">
        <f t="shared" si="58"/>
        <v>Residential_Building Shell_Ceiling/Attic Insulation #2 (Electric Heat)_BTU Impact_New_Summer Electricity</v>
      </c>
      <c r="B523" t="s">
        <v>162</v>
      </c>
      <c r="C523" t="s">
        <v>167</v>
      </c>
      <c r="D523" t="s">
        <v>464</v>
      </c>
      <c r="E523" s="111" t="s">
        <v>292</v>
      </c>
      <c r="F523" s="99" t="e">
        <f>-F470*3412</f>
        <v>#DIV/0!</v>
      </c>
      <c r="H523" s="12" t="s">
        <v>454</v>
      </c>
      <c r="I523" t="s">
        <v>455</v>
      </c>
      <c r="J523" s="12" t="b">
        <f t="shared" si="57"/>
        <v>1</v>
      </c>
    </row>
    <row r="524" spans="1:10" x14ac:dyDescent="0.25">
      <c r="A524" s="12" t="str">
        <f t="shared" si="58"/>
        <v>Residential_Building Shell_Ceiling/Attic Insulation #2 (Electric Heat)_</v>
      </c>
      <c r="B524" t="s">
        <v>162</v>
      </c>
      <c r="C524" t="s">
        <v>167</v>
      </c>
      <c r="D524" t="s">
        <v>464</v>
      </c>
      <c r="H524" s="12" t="s">
        <v>454</v>
      </c>
      <c r="I524" t="s">
        <v>455</v>
      </c>
      <c r="J524" s="12" t="b">
        <f t="shared" si="57"/>
        <v>0</v>
      </c>
    </row>
    <row r="525" spans="1:10" x14ac:dyDescent="0.25">
      <c r="A525" s="12" t="str">
        <f t="shared" si="58"/>
        <v>Residential_Building Shell_Attic Kneewall Insulation #1 (Electric Heat)_R_old</v>
      </c>
      <c r="B525" t="s">
        <v>162</v>
      </c>
      <c r="C525" t="s">
        <v>167</v>
      </c>
      <c r="D525" t="s">
        <v>465</v>
      </c>
      <c r="E525" s="114" t="s">
        <v>453</v>
      </c>
      <c r="F525" s="116">
        <f>Dashboard_FS!$O$17</f>
        <v>1</v>
      </c>
      <c r="G525" s="12" t="s">
        <v>240</v>
      </c>
      <c r="H525" s="12" t="s">
        <v>466</v>
      </c>
      <c r="I525" s="12" t="s">
        <v>467</v>
      </c>
      <c r="J525" s="12" t="b">
        <f t="shared" ref="J525:J590" si="59">_xlfn.ISFORMULA(F525)</f>
        <v>1</v>
      </c>
    </row>
    <row r="526" spans="1:10" x14ac:dyDescent="0.25">
      <c r="A526" s="12" t="str">
        <f t="shared" si="58"/>
        <v>Residential_Building Shell_Attic Kneewall Insulation #1 (Electric Heat)_R_wall</v>
      </c>
      <c r="B526" t="s">
        <v>162</v>
      </c>
      <c r="C526" t="s">
        <v>167</v>
      </c>
      <c r="D526" t="s">
        <v>465</v>
      </c>
      <c r="E526" s="114" t="s">
        <v>468</v>
      </c>
      <c r="F526" s="116">
        <f>Dashboard_FS!$P$17</f>
        <v>0</v>
      </c>
      <c r="G526" s="12" t="s">
        <v>240</v>
      </c>
      <c r="H526" s="12" t="s">
        <v>466</v>
      </c>
      <c r="I526" s="12" t="s">
        <v>467</v>
      </c>
      <c r="J526" s="12" t="b">
        <f t="shared" si="59"/>
        <v>1</v>
      </c>
    </row>
    <row r="527" spans="1:10" x14ac:dyDescent="0.25">
      <c r="A527" s="12" t="str">
        <f t="shared" si="58"/>
        <v>Residential_Building Shell_Attic Kneewall Insulation #1 (Electric Heat)_A_wall</v>
      </c>
      <c r="B527" t="s">
        <v>162</v>
      </c>
      <c r="C527" t="s">
        <v>167</v>
      </c>
      <c r="D527" t="s">
        <v>465</v>
      </c>
      <c r="E527" s="114" t="s">
        <v>469</v>
      </c>
      <c r="F527" s="116">
        <f>Dashboard_FS!$O$6</f>
        <v>0</v>
      </c>
      <c r="G527" s="12" t="s">
        <v>240</v>
      </c>
      <c r="H527" s="12" t="s">
        <v>466</v>
      </c>
      <c r="I527" s="12" t="s">
        <v>467</v>
      </c>
      <c r="J527" s="12" t="b">
        <f t="shared" si="59"/>
        <v>1</v>
      </c>
    </row>
    <row r="528" spans="1:10" x14ac:dyDescent="0.25">
      <c r="A528" s="12" t="str">
        <f t="shared" si="58"/>
        <v>Residential_Building Shell_Attic Kneewall Insulation #1 (Electric Heat)_Framing_factor_wall</v>
      </c>
      <c r="B528" t="s">
        <v>162</v>
      </c>
      <c r="C528" t="s">
        <v>167</v>
      </c>
      <c r="D528" t="s">
        <v>465</v>
      </c>
      <c r="E528" s="102" t="s">
        <v>470</v>
      </c>
      <c r="F528" s="105">
        <v>0.25</v>
      </c>
      <c r="H528" s="12" t="s">
        <v>466</v>
      </c>
      <c r="I528" s="12" t="s">
        <v>467</v>
      </c>
      <c r="J528" s="12" t="b">
        <f t="shared" si="59"/>
        <v>0</v>
      </c>
    </row>
    <row r="529" spans="1:10" x14ac:dyDescent="0.25">
      <c r="A529" s="12" t="str">
        <f t="shared" si="58"/>
        <v>Residential_Building Shell_Attic Kneewall Insulation #1 (Electric Heat)_24</v>
      </c>
      <c r="B529" t="s">
        <v>162</v>
      </c>
      <c r="C529" t="s">
        <v>167</v>
      </c>
      <c r="D529" t="s">
        <v>465</v>
      </c>
      <c r="E529" s="102">
        <v>24</v>
      </c>
      <c r="F529" s="105">
        <v>24</v>
      </c>
      <c r="H529" s="12" t="s">
        <v>466</v>
      </c>
      <c r="I529" s="12" t="s">
        <v>467</v>
      </c>
      <c r="J529" s="12" t="b">
        <f t="shared" si="59"/>
        <v>0</v>
      </c>
    </row>
    <row r="530" spans="1:10" x14ac:dyDescent="0.25">
      <c r="A530" s="12" t="str">
        <f t="shared" si="58"/>
        <v>Residential_Building Shell_Attic Kneewall Insulation #1 (Electric Heat)_CDD</v>
      </c>
      <c r="B530" t="s">
        <v>162</v>
      </c>
      <c r="C530" t="s">
        <v>167</v>
      </c>
      <c r="D530" t="s">
        <v>465</v>
      </c>
      <c r="E530" s="102" t="s">
        <v>421</v>
      </c>
      <c r="F530" s="105" t="e">
        <f>INDEX('CZ Inputs'!G:G,MATCH(A530&amp;"_"&amp;Dashboard_EE!$K$3,'CZ Inputs'!A:A,0))</f>
        <v>#N/A</v>
      </c>
      <c r="G530" s="12" t="s">
        <v>422</v>
      </c>
      <c r="H530" s="12" t="s">
        <v>466</v>
      </c>
      <c r="I530" s="12" t="s">
        <v>467</v>
      </c>
      <c r="J530" s="12" t="b">
        <f t="shared" si="59"/>
        <v>1</v>
      </c>
    </row>
    <row r="531" spans="1:10" x14ac:dyDescent="0.25">
      <c r="A531" s="12" t="str">
        <f t="shared" si="58"/>
        <v>Residential_Building Shell_Attic Kneewall Insulation #1 (Electric Heat)_DUA</v>
      </c>
      <c r="B531" t="s">
        <v>162</v>
      </c>
      <c r="C531" t="s">
        <v>167</v>
      </c>
      <c r="D531" t="s">
        <v>465</v>
      </c>
      <c r="E531" s="102" t="s">
        <v>423</v>
      </c>
      <c r="F531" s="105">
        <v>0.75</v>
      </c>
      <c r="H531" s="12" t="s">
        <v>466</v>
      </c>
      <c r="I531" s="12" t="s">
        <v>467</v>
      </c>
      <c r="J531" s="12" t="b">
        <f t="shared" si="59"/>
        <v>0</v>
      </c>
    </row>
    <row r="532" spans="1:10" x14ac:dyDescent="0.25">
      <c r="A532" s="12" t="str">
        <f t="shared" si="58"/>
        <v>Residential_Building Shell_Attic Kneewall Insulation #1 (Electric Heat)_1000</v>
      </c>
      <c r="B532" t="s">
        <v>162</v>
      </c>
      <c r="C532" t="s">
        <v>167</v>
      </c>
      <c r="D532" t="s">
        <v>465</v>
      </c>
      <c r="E532" s="102">
        <v>1000</v>
      </c>
      <c r="F532" s="105">
        <v>1000</v>
      </c>
      <c r="H532" s="12" t="s">
        <v>466</v>
      </c>
      <c r="I532" s="12" t="s">
        <v>467</v>
      </c>
      <c r="J532" s="12" t="b">
        <f t="shared" si="59"/>
        <v>0</v>
      </c>
    </row>
    <row r="533" spans="1:10" x14ac:dyDescent="0.25">
      <c r="A533" s="12" t="str">
        <f t="shared" si="58"/>
        <v>Residential_Building Shell_Attic Kneewall Insulation #1 (Electric Heat)_ηCool</v>
      </c>
      <c r="B533" t="s">
        <v>162</v>
      </c>
      <c r="C533" t="s">
        <v>167</v>
      </c>
      <c r="D533" t="s">
        <v>465</v>
      </c>
      <c r="E533" s="114" t="s">
        <v>424</v>
      </c>
      <c r="F533" s="116">
        <f>Dashboard_FS!$K$14</f>
        <v>0</v>
      </c>
      <c r="G533" s="12" t="s">
        <v>240</v>
      </c>
      <c r="H533" s="12" t="s">
        <v>466</v>
      </c>
      <c r="I533" s="12" t="s">
        <v>467</v>
      </c>
      <c r="J533" s="12" t="b">
        <f t="shared" si="59"/>
        <v>1</v>
      </c>
    </row>
    <row r="534" spans="1:10" x14ac:dyDescent="0.25">
      <c r="A534" s="12" t="str">
        <f t="shared" si="58"/>
        <v>Residential_Building Shell_Attic Kneewall Insulation #1 (Electric Heat)_ηCool_Mid-Life_Adj</v>
      </c>
      <c r="B534" t="s">
        <v>162</v>
      </c>
      <c r="C534" t="s">
        <v>167</v>
      </c>
      <c r="D534" t="s">
        <v>465</v>
      </c>
      <c r="E534" s="114" t="s">
        <v>425</v>
      </c>
      <c r="F534" s="116">
        <f>Dashboard_FS!$K$14</f>
        <v>0</v>
      </c>
      <c r="G534" s="12" t="s">
        <v>240</v>
      </c>
      <c r="H534" s="12" t="s">
        <v>466</v>
      </c>
      <c r="I534" s="12" t="s">
        <v>467</v>
      </c>
      <c r="J534" s="12" t="b">
        <f t="shared" si="59"/>
        <v>1</v>
      </c>
    </row>
    <row r="535" spans="1:10" x14ac:dyDescent="0.25">
      <c r="A535" s="12" t="str">
        <f t="shared" si="58"/>
        <v>Residential_Building Shell_Attic Kneewall Insulation #1 (Electric Heat)_ADJWallCool</v>
      </c>
      <c r="B535" t="s">
        <v>162</v>
      </c>
      <c r="C535" t="s">
        <v>167</v>
      </c>
      <c r="D535" t="s">
        <v>465</v>
      </c>
      <c r="E535" s="102" t="s">
        <v>471</v>
      </c>
      <c r="F535" s="105">
        <v>0.75</v>
      </c>
      <c r="H535" s="12" t="s">
        <v>466</v>
      </c>
      <c r="I535" s="12" t="s">
        <v>467</v>
      </c>
      <c r="J535" s="12" t="b">
        <f t="shared" si="59"/>
        <v>0</v>
      </c>
    </row>
    <row r="536" spans="1:10" x14ac:dyDescent="0.25">
      <c r="A536" s="12" t="str">
        <f t="shared" si="58"/>
        <v>Residential_Building Shell_Attic Kneewall Insulation #1 (Electric Heat)_%Cool</v>
      </c>
      <c r="B536" t="s">
        <v>162</v>
      </c>
      <c r="C536" t="s">
        <v>167</v>
      </c>
      <c r="D536" t="s">
        <v>465</v>
      </c>
      <c r="E536" s="102" t="s">
        <v>397</v>
      </c>
      <c r="F536" s="105">
        <v>1</v>
      </c>
      <c r="H536" s="12" t="s">
        <v>466</v>
      </c>
      <c r="I536" s="12" t="s">
        <v>467</v>
      </c>
      <c r="J536" s="12" t="b">
        <f t="shared" si="59"/>
        <v>0</v>
      </c>
    </row>
    <row r="537" spans="1:10" x14ac:dyDescent="0.25">
      <c r="A537" s="12" t="str">
        <f t="shared" si="58"/>
        <v>Residential_Building Shell_Attic Kneewall Insulation #1 (Electric Heat)_Delta_kWh_cooling</v>
      </c>
      <c r="B537" t="s">
        <v>162</v>
      </c>
      <c r="C537" t="s">
        <v>167</v>
      </c>
      <c r="D537" t="s">
        <v>465</v>
      </c>
      <c r="E537" s="114" t="s">
        <v>430</v>
      </c>
      <c r="F537" s="116" t="e">
        <f xml:space="preserve"> ((((1/ F525 - 1/ F526) * F527 * (1 - F528)) * F529 * F530 * F531) / (F532 * F533)) * F535 * F536</f>
        <v>#DIV/0!</v>
      </c>
      <c r="H537" s="12" t="s">
        <v>466</v>
      </c>
      <c r="I537" s="12" t="s">
        <v>467</v>
      </c>
      <c r="J537" s="12" t="b">
        <f t="shared" si="59"/>
        <v>1</v>
      </c>
    </row>
    <row r="538" spans="1:10" x14ac:dyDescent="0.25">
      <c r="A538" s="12" t="str">
        <f t="shared" si="58"/>
        <v>Residential_Building Shell_Attic Kneewall Insulation #1 (Electric Heat)_Delta_kWh_cooling_Mid-Life_Adj</v>
      </c>
      <c r="B538" t="s">
        <v>162</v>
      </c>
      <c r="C538" t="s">
        <v>167</v>
      </c>
      <c r="D538" t="s">
        <v>465</v>
      </c>
      <c r="E538" s="114" t="s">
        <v>431</v>
      </c>
      <c r="F538" s="116" t="e">
        <f xml:space="preserve"> ((((1/ F525 - 1/ F526) * F527 * (1 - F528)) * F529 * F530 * F531) / (F532 * F534)) * F535 * F536</f>
        <v>#DIV/0!</v>
      </c>
      <c r="H538" s="12" t="s">
        <v>466</v>
      </c>
      <c r="I538" s="12" t="s">
        <v>467</v>
      </c>
      <c r="J538" s="12" t="b">
        <f t="shared" si="59"/>
        <v>1</v>
      </c>
    </row>
    <row r="539" spans="1:10" x14ac:dyDescent="0.25">
      <c r="A539" s="12" t="str">
        <f t="shared" si="58"/>
        <v>Residential_Building Shell_Attic Kneewall Insulation #1 (Electric Heat)_R_old</v>
      </c>
      <c r="B539" t="s">
        <v>162</v>
      </c>
      <c r="C539" t="s">
        <v>167</v>
      </c>
      <c r="D539" t="s">
        <v>465</v>
      </c>
      <c r="E539" s="114" t="s">
        <v>453</v>
      </c>
      <c r="F539" s="116">
        <f>Dashboard_FS!$O$17</f>
        <v>1</v>
      </c>
      <c r="G539" s="12" t="s">
        <v>240</v>
      </c>
      <c r="H539" s="12" t="s">
        <v>466</v>
      </c>
      <c r="I539" s="12" t="s">
        <v>467</v>
      </c>
      <c r="J539" s="12" t="b">
        <f t="shared" si="59"/>
        <v>1</v>
      </c>
    </row>
    <row r="540" spans="1:10" x14ac:dyDescent="0.25">
      <c r="A540" s="12" t="str">
        <f t="shared" si="58"/>
        <v>Residential_Building Shell_Attic Kneewall Insulation #1 (Electric Heat)_R_wall</v>
      </c>
      <c r="B540" t="s">
        <v>162</v>
      </c>
      <c r="C540" t="s">
        <v>167</v>
      </c>
      <c r="D540" t="s">
        <v>465</v>
      </c>
      <c r="E540" s="114" t="s">
        <v>468</v>
      </c>
      <c r="F540" s="116">
        <f>Dashboard_FS!$P$17</f>
        <v>0</v>
      </c>
      <c r="G540" s="12" t="s">
        <v>240</v>
      </c>
      <c r="H540" s="12" t="s">
        <v>466</v>
      </c>
      <c r="I540" s="12" t="s">
        <v>467</v>
      </c>
      <c r="J540" s="12" t="b">
        <f t="shared" si="59"/>
        <v>1</v>
      </c>
    </row>
    <row r="541" spans="1:10" x14ac:dyDescent="0.25">
      <c r="A541" s="12" t="str">
        <f t="shared" si="58"/>
        <v>Residential_Building Shell_Attic Kneewall Insulation #1 (Electric Heat)_A_wall</v>
      </c>
      <c r="B541" t="s">
        <v>162</v>
      </c>
      <c r="C541" t="s">
        <v>167</v>
      </c>
      <c r="D541" t="s">
        <v>465</v>
      </c>
      <c r="E541" s="114" t="s">
        <v>469</v>
      </c>
      <c r="F541" s="116">
        <f>Dashboard_FS!$O$6</f>
        <v>0</v>
      </c>
      <c r="G541" s="12" t="s">
        <v>240</v>
      </c>
      <c r="H541" s="12" t="s">
        <v>466</v>
      </c>
      <c r="I541" s="12" t="s">
        <v>467</v>
      </c>
      <c r="J541" s="12" t="b">
        <f t="shared" si="59"/>
        <v>1</v>
      </c>
    </row>
    <row r="542" spans="1:10" x14ac:dyDescent="0.25">
      <c r="A542" s="12" t="str">
        <f t="shared" si="58"/>
        <v>Residential_Building Shell_Attic Kneewall Insulation #1 (Electric Heat)_Framing_factor_wall</v>
      </c>
      <c r="B542" t="s">
        <v>162</v>
      </c>
      <c r="C542" t="s">
        <v>167</v>
      </c>
      <c r="D542" t="s">
        <v>465</v>
      </c>
      <c r="E542" s="102" t="s">
        <v>470</v>
      </c>
      <c r="F542" s="105">
        <v>0.25</v>
      </c>
      <c r="H542" s="12" t="s">
        <v>466</v>
      </c>
      <c r="I542" s="12" t="s">
        <v>467</v>
      </c>
      <c r="J542" s="12" t="b">
        <f t="shared" si="59"/>
        <v>0</v>
      </c>
    </row>
    <row r="543" spans="1:10" x14ac:dyDescent="0.25">
      <c r="A543" s="12" t="str">
        <f t="shared" si="58"/>
        <v>Residential_Building Shell_Attic Kneewall Insulation #1 (Electric Heat)_24</v>
      </c>
      <c r="B543" t="s">
        <v>162</v>
      </c>
      <c r="C543" t="s">
        <v>167</v>
      </c>
      <c r="D543" t="s">
        <v>465</v>
      </c>
      <c r="E543" s="102">
        <v>24</v>
      </c>
      <c r="F543" s="105">
        <v>24</v>
      </c>
      <c r="H543" s="12" t="s">
        <v>466</v>
      </c>
      <c r="I543" s="12" t="s">
        <v>467</v>
      </c>
      <c r="J543" s="12" t="b">
        <f t="shared" si="59"/>
        <v>0</v>
      </c>
    </row>
    <row r="544" spans="1:10" x14ac:dyDescent="0.25">
      <c r="A544" s="12" t="str">
        <f t="shared" si="58"/>
        <v>Residential_Building Shell_Attic Kneewall Insulation #1 (Electric Heat)_HDD</v>
      </c>
      <c r="B544" t="s">
        <v>162</v>
      </c>
      <c r="C544" t="s">
        <v>167</v>
      </c>
      <c r="D544" t="s">
        <v>465</v>
      </c>
      <c r="E544" s="102" t="s">
        <v>433</v>
      </c>
      <c r="F544" s="105" t="e">
        <f>INDEX('CZ Inputs'!G:G,MATCH(A544&amp;"_"&amp;Dashboard_EE!$K$3,'CZ Inputs'!A:A,0))</f>
        <v>#N/A</v>
      </c>
      <c r="G544" s="12" t="s">
        <v>422</v>
      </c>
      <c r="H544" s="12" t="s">
        <v>466</v>
      </c>
      <c r="I544" s="12" t="s">
        <v>467</v>
      </c>
      <c r="J544" s="12" t="b">
        <f t="shared" si="59"/>
        <v>1</v>
      </c>
    </row>
    <row r="545" spans="1:10" x14ac:dyDescent="0.25">
      <c r="A545" s="12" t="str">
        <f t="shared" si="58"/>
        <v>Residential_Building Shell_Attic Kneewall Insulation #1 (Electric Heat)_ηHeat</v>
      </c>
      <c r="B545" t="s">
        <v>162</v>
      </c>
      <c r="C545" t="s">
        <v>167</v>
      </c>
      <c r="D545" t="s">
        <v>465</v>
      </c>
      <c r="E545" s="114" t="s">
        <v>434</v>
      </c>
      <c r="F545" s="116">
        <f>Dashboard_FS!$K$6</f>
        <v>0</v>
      </c>
      <c r="G545" s="12" t="s">
        <v>240</v>
      </c>
      <c r="H545" s="12" t="s">
        <v>466</v>
      </c>
      <c r="I545" s="12" t="s">
        <v>467</v>
      </c>
      <c r="J545" s="12" t="b">
        <f t="shared" si="59"/>
        <v>1</v>
      </c>
    </row>
    <row r="546" spans="1:10" x14ac:dyDescent="0.25">
      <c r="A546" s="12" t="str">
        <f t="shared" si="58"/>
        <v>Residential_Building Shell_Attic Kneewall Insulation #1 (Electric Heat)_ηHeat_Mid-Life_Adj</v>
      </c>
      <c r="B546" t="s">
        <v>162</v>
      </c>
      <c r="C546" t="s">
        <v>167</v>
      </c>
      <c r="D546" t="s">
        <v>465</v>
      </c>
      <c r="E546" s="114" t="s">
        <v>435</v>
      </c>
      <c r="F546" s="116">
        <f>Dashboard_FS!$K$6</f>
        <v>0</v>
      </c>
      <c r="G546" s="12" t="s">
        <v>240</v>
      </c>
      <c r="H546" s="12" t="s">
        <v>466</v>
      </c>
      <c r="I546" s="12" t="s">
        <v>467</v>
      </c>
      <c r="J546" s="12" t="b">
        <f t="shared" si="59"/>
        <v>1</v>
      </c>
    </row>
    <row r="547" spans="1:10" x14ac:dyDescent="0.25">
      <c r="A547" s="12" t="str">
        <f t="shared" si="58"/>
        <v>Residential_Building Shell_Attic Kneewall Insulation #1 (Electric Heat)_3412</v>
      </c>
      <c r="B547" t="s">
        <v>162</v>
      </c>
      <c r="C547" t="s">
        <v>167</v>
      </c>
      <c r="D547" t="s">
        <v>465</v>
      </c>
      <c r="E547" s="102">
        <v>3412</v>
      </c>
      <c r="F547" s="105">
        <v>3412</v>
      </c>
      <c r="H547" s="12" t="s">
        <v>466</v>
      </c>
      <c r="I547" s="12" t="s">
        <v>467</v>
      </c>
      <c r="J547" s="12" t="b">
        <f t="shared" si="59"/>
        <v>0</v>
      </c>
    </row>
    <row r="548" spans="1:10" x14ac:dyDescent="0.25">
      <c r="A548" s="12" t="str">
        <f t="shared" si="58"/>
        <v>Residential_Building Shell_Attic Kneewall Insulation #1 (Electric Heat)_ADJWallHeat</v>
      </c>
      <c r="B548" t="s">
        <v>162</v>
      </c>
      <c r="C548" t="s">
        <v>167</v>
      </c>
      <c r="D548" t="s">
        <v>465</v>
      </c>
      <c r="E548" s="102" t="s">
        <v>472</v>
      </c>
      <c r="F548" s="105">
        <v>0.63</v>
      </c>
      <c r="H548" s="12" t="s">
        <v>466</v>
      </c>
      <c r="I548" s="12" t="s">
        <v>467</v>
      </c>
      <c r="J548" s="12" t="b">
        <f t="shared" si="59"/>
        <v>0</v>
      </c>
    </row>
    <row r="549" spans="1:10" x14ac:dyDescent="0.25">
      <c r="A549" s="12" t="str">
        <f t="shared" si="58"/>
        <v>Residential_Building Shell_Attic Kneewall Insulation #1 (Electric Heat)_%ElectricHeat</v>
      </c>
      <c r="B549" t="s">
        <v>162</v>
      </c>
      <c r="C549" t="s">
        <v>167</v>
      </c>
      <c r="D549" t="s">
        <v>465</v>
      </c>
      <c r="E549" s="102" t="s">
        <v>402</v>
      </c>
      <c r="F549" s="105">
        <v>1</v>
      </c>
      <c r="G549" s="12" t="s">
        <v>436</v>
      </c>
      <c r="H549" s="12" t="s">
        <v>466</v>
      </c>
      <c r="I549" s="12" t="s">
        <v>467</v>
      </c>
      <c r="J549" s="12" t="b">
        <f t="shared" si="59"/>
        <v>0</v>
      </c>
    </row>
    <row r="550" spans="1:10" x14ac:dyDescent="0.25">
      <c r="A550" s="12" t="str">
        <f t="shared" si="58"/>
        <v>Residential_Building Shell_Attic Kneewall Insulation #1 (Electric Heat)_Delta_kWh_heatingElectric</v>
      </c>
      <c r="B550" t="s">
        <v>162</v>
      </c>
      <c r="C550" t="s">
        <v>167</v>
      </c>
      <c r="D550" t="s">
        <v>465</v>
      </c>
      <c r="E550" s="114" t="s">
        <v>437</v>
      </c>
      <c r="F550" s="116" t="e">
        <f xml:space="preserve"> (((1/ F539 - 1/ F540) * F541 * (1 - F542) * F543 * F544) / (F545 * F547)) * F548 * F549</f>
        <v>#DIV/0!</v>
      </c>
      <c r="H550" s="12" t="s">
        <v>466</v>
      </c>
      <c r="I550" s="12" t="s">
        <v>467</v>
      </c>
      <c r="J550" s="12" t="b">
        <f t="shared" si="59"/>
        <v>1</v>
      </c>
    </row>
    <row r="551" spans="1:10" x14ac:dyDescent="0.25">
      <c r="A551" s="12" t="str">
        <f t="shared" si="58"/>
        <v>Residential_Building Shell_Attic Kneewall Insulation #1 (Electric Heat)_Delta_kWh_heatingElectric_Mid-Life_Adj</v>
      </c>
      <c r="B551" t="s">
        <v>162</v>
      </c>
      <c r="C551" t="s">
        <v>167</v>
      </c>
      <c r="D551" t="s">
        <v>465</v>
      </c>
      <c r="E551" s="114" t="s">
        <v>438</v>
      </c>
      <c r="F551" s="116" t="e">
        <f xml:space="preserve"> (((1/ F539 - 1/ F540) * F541 * (1 - F542) * F543 * F544) / (F546 * F547)) * F548 * F549</f>
        <v>#DIV/0!</v>
      </c>
      <c r="H551" s="12" t="s">
        <v>466</v>
      </c>
      <c r="I551" s="12" t="s">
        <v>467</v>
      </c>
      <c r="J551" s="12" t="b">
        <f t="shared" si="59"/>
        <v>1</v>
      </c>
    </row>
    <row r="552" spans="1:10" x14ac:dyDescent="0.25">
      <c r="A552" s="12" t="str">
        <f t="shared" si="58"/>
        <v>Residential_Building Shell_Attic Kneewall Insulation #1 (Electric Heat)_Delta_Therms</v>
      </c>
      <c r="B552" t="s">
        <v>162</v>
      </c>
      <c r="C552" t="s">
        <v>167</v>
      </c>
      <c r="D552" t="s">
        <v>465</v>
      </c>
      <c r="E552" s="114" t="s">
        <v>354</v>
      </c>
      <c r="F552" s="116" t="e">
        <f>F573</f>
        <v>#DIV/0!</v>
      </c>
      <c r="H552" s="12" t="s">
        <v>466</v>
      </c>
      <c r="I552" s="12" t="s">
        <v>467</v>
      </c>
      <c r="J552" s="12" t="b">
        <f t="shared" si="59"/>
        <v>1</v>
      </c>
    </row>
    <row r="553" spans="1:10" x14ac:dyDescent="0.25">
      <c r="A553" s="12" t="str">
        <f t="shared" si="58"/>
        <v>Residential_Building Shell_Attic Kneewall Insulation #1 (Electric Heat)_Delta_Therms_Mid-Life_Adj</v>
      </c>
      <c r="B553" t="s">
        <v>162</v>
      </c>
      <c r="C553" t="s">
        <v>167</v>
      </c>
      <c r="D553" t="s">
        <v>465</v>
      </c>
      <c r="E553" s="114" t="s">
        <v>473</v>
      </c>
      <c r="F553" s="116" t="e">
        <f>F574</f>
        <v>#DIV/0!</v>
      </c>
      <c r="H553" s="12" t="s">
        <v>466</v>
      </c>
      <c r="I553" s="12" t="s">
        <v>467</v>
      </c>
      <c r="J553" s="12" t="b">
        <f t="shared" si="59"/>
        <v>1</v>
      </c>
    </row>
    <row r="554" spans="1:10" x14ac:dyDescent="0.25">
      <c r="A554" s="12" t="str">
        <f t="shared" si="58"/>
        <v>Residential_Building Shell_Attic Kneewall Insulation #1 (Electric Heat)_Fe</v>
      </c>
      <c r="B554" t="s">
        <v>162</v>
      </c>
      <c r="C554" t="s">
        <v>167</v>
      </c>
      <c r="D554" t="s">
        <v>465</v>
      </c>
      <c r="E554" s="102" t="s">
        <v>251</v>
      </c>
      <c r="F554" s="105">
        <v>3.1399999999999997E-2</v>
      </c>
      <c r="H554" s="12" t="s">
        <v>466</v>
      </c>
      <c r="I554" s="12" t="s">
        <v>467</v>
      </c>
      <c r="J554" s="12" t="b">
        <f t="shared" si="59"/>
        <v>0</v>
      </c>
    </row>
    <row r="555" spans="1:10" x14ac:dyDescent="0.25">
      <c r="A555" s="12" t="str">
        <f t="shared" si="58"/>
        <v>Residential_Building Shell_Attic Kneewall Insulation #1 (Electric Heat)_29.3</v>
      </c>
      <c r="B555" t="s">
        <v>162</v>
      </c>
      <c r="C555" t="s">
        <v>167</v>
      </c>
      <c r="D555" t="s">
        <v>465</v>
      </c>
      <c r="E555" s="102">
        <v>29.3</v>
      </c>
      <c r="F555" s="105">
        <v>29.3</v>
      </c>
      <c r="H555" s="12" t="s">
        <v>466</v>
      </c>
      <c r="I555" s="12" t="s">
        <v>467</v>
      </c>
      <c r="J555" s="12" t="b">
        <f t="shared" si="59"/>
        <v>0</v>
      </c>
    </row>
    <row r="556" spans="1:10" x14ac:dyDescent="0.25">
      <c r="A556" s="12" t="str">
        <f t="shared" si="58"/>
        <v>Residential_Building Shell_Attic Kneewall Insulation #1 (Electric Heat)_Delta_kWh_heatingGas</v>
      </c>
      <c r="B556" t="s">
        <v>162</v>
      </c>
      <c r="C556" t="s">
        <v>167</v>
      </c>
      <c r="D556" t="s">
        <v>465</v>
      </c>
      <c r="E556" s="114" t="s">
        <v>440</v>
      </c>
      <c r="F556" s="116" t="e">
        <f>F552*F554*F555</f>
        <v>#DIV/0!</v>
      </c>
      <c r="H556" s="12" t="s">
        <v>466</v>
      </c>
      <c r="I556" s="12" t="s">
        <v>467</v>
      </c>
      <c r="J556" s="12" t="b">
        <f t="shared" si="59"/>
        <v>1</v>
      </c>
    </row>
    <row r="557" spans="1:10" x14ac:dyDescent="0.25">
      <c r="A557" s="12" t="str">
        <f t="shared" si="58"/>
        <v>Residential_Building Shell_Attic Kneewall Insulation #1 (Electric Heat)_Delta_kWh_heatingGas_Mid-Life_Adj</v>
      </c>
      <c r="B557" t="s">
        <v>162</v>
      </c>
      <c r="C557" t="s">
        <v>167</v>
      </c>
      <c r="D557" t="s">
        <v>465</v>
      </c>
      <c r="E557" s="114" t="s">
        <v>441</v>
      </c>
      <c r="F557" s="116" t="e">
        <f>F553*F554*F555</f>
        <v>#DIV/0!</v>
      </c>
      <c r="H557" s="12" t="s">
        <v>466</v>
      </c>
      <c r="I557" s="12" t="s">
        <v>467</v>
      </c>
      <c r="J557" s="12" t="b">
        <f t="shared" si="59"/>
        <v>1</v>
      </c>
    </row>
    <row r="558" spans="1:10" x14ac:dyDescent="0.25">
      <c r="A558" s="12" t="str">
        <f t="shared" si="58"/>
        <v>Residential_Building Shell_Attic Kneewall Insulation #1 (Electric Heat)_FLH_cooling</v>
      </c>
      <c r="B558" t="s">
        <v>162</v>
      </c>
      <c r="C558" t="s">
        <v>167</v>
      </c>
      <c r="D558" t="s">
        <v>465</v>
      </c>
      <c r="E558" s="102" t="s">
        <v>442</v>
      </c>
      <c r="F558" s="105" t="e">
        <f>INDEX('CZ Inputs'!G:G,MATCH(A558&amp;"_"&amp;Dashboard_EE!$K$3,'CZ Inputs'!A:A,0))</f>
        <v>#N/A</v>
      </c>
      <c r="G558" s="12" t="s">
        <v>422</v>
      </c>
      <c r="H558" s="12" t="s">
        <v>466</v>
      </c>
      <c r="I558" s="12" t="s">
        <v>467</v>
      </c>
      <c r="J558" s="12" t="b">
        <f t="shared" si="59"/>
        <v>1</v>
      </c>
    </row>
    <row r="559" spans="1:10" x14ac:dyDescent="0.25">
      <c r="A559" s="12" t="str">
        <f t="shared" si="58"/>
        <v>Residential_Building Shell_Attic Kneewall Insulation #1 (Electric Heat)_CF</v>
      </c>
      <c r="B559" t="s">
        <v>162</v>
      </c>
      <c r="C559" t="s">
        <v>167</v>
      </c>
      <c r="D559" t="s">
        <v>465</v>
      </c>
      <c r="E559" s="102" t="s">
        <v>277</v>
      </c>
      <c r="F559" s="105">
        <v>0.68</v>
      </c>
      <c r="G559" s="12" t="s">
        <v>319</v>
      </c>
      <c r="H559" s="12" t="s">
        <v>466</v>
      </c>
      <c r="I559" s="12" t="s">
        <v>467</v>
      </c>
      <c r="J559" s="12" t="b">
        <f t="shared" si="59"/>
        <v>0</v>
      </c>
    </row>
    <row r="560" spans="1:10" x14ac:dyDescent="0.25">
      <c r="A560" s="12" t="str">
        <f t="shared" si="58"/>
        <v>Residential_Building Shell_Attic Kneewall Insulation #1 (Electric Heat)_Delta_kW</v>
      </c>
      <c r="B560" t="s">
        <v>162</v>
      </c>
      <c r="C560" t="s">
        <v>167</v>
      </c>
      <c r="D560" t="s">
        <v>465</v>
      </c>
      <c r="E560" s="114" t="s">
        <v>279</v>
      </c>
      <c r="F560" s="116" t="e">
        <f>(F537/F558)*F559</f>
        <v>#DIV/0!</v>
      </c>
      <c r="H560" s="12" t="s">
        <v>466</v>
      </c>
      <c r="I560" s="12" t="s">
        <v>467</v>
      </c>
      <c r="J560" s="12" t="b">
        <f t="shared" si="59"/>
        <v>1</v>
      </c>
    </row>
    <row r="561" spans="1:10" x14ac:dyDescent="0.25">
      <c r="A561" s="12" t="str">
        <f t="shared" si="58"/>
        <v>Residential_Building Shell_Attic Kneewall Insulation #1 (Electric Heat)_Delta_kW_Mid-Life_Adj</v>
      </c>
      <c r="B561" t="s">
        <v>162</v>
      </c>
      <c r="C561" t="s">
        <v>167</v>
      </c>
      <c r="D561" t="s">
        <v>465</v>
      </c>
      <c r="E561" s="114" t="s">
        <v>443</v>
      </c>
      <c r="F561" s="116" t="e">
        <f>(F538/F558)*F559</f>
        <v>#DIV/0!</v>
      </c>
      <c r="H561" s="12" t="s">
        <v>466</v>
      </c>
      <c r="I561" s="12" t="s">
        <v>467</v>
      </c>
      <c r="J561" s="12" t="b">
        <f t="shared" si="59"/>
        <v>1</v>
      </c>
    </row>
    <row r="562" spans="1:10" x14ac:dyDescent="0.25">
      <c r="A562" s="12" t="str">
        <f t="shared" si="58"/>
        <v>Residential_Building Shell_Attic Kneewall Insulation #1 (Electric Heat)_R_old</v>
      </c>
      <c r="B562" t="s">
        <v>162</v>
      </c>
      <c r="C562" t="s">
        <v>167</v>
      </c>
      <c r="D562" t="s">
        <v>465</v>
      </c>
      <c r="E562" s="114" t="s">
        <v>453</v>
      </c>
      <c r="F562" s="116">
        <f>Dashboard_FS!$O$17</f>
        <v>1</v>
      </c>
      <c r="G562" s="12" t="s">
        <v>240</v>
      </c>
      <c r="H562" s="12" t="s">
        <v>466</v>
      </c>
      <c r="I562" s="12" t="s">
        <v>467</v>
      </c>
      <c r="J562" s="12" t="b">
        <f t="shared" si="59"/>
        <v>1</v>
      </c>
    </row>
    <row r="563" spans="1:10" x14ac:dyDescent="0.25">
      <c r="A563" s="12" t="str">
        <f t="shared" si="58"/>
        <v>Residential_Building Shell_Attic Kneewall Insulation #1 (Electric Heat)_R_wall</v>
      </c>
      <c r="B563" t="s">
        <v>162</v>
      </c>
      <c r="C563" t="s">
        <v>167</v>
      </c>
      <c r="D563" t="s">
        <v>465</v>
      </c>
      <c r="E563" s="114" t="s">
        <v>468</v>
      </c>
      <c r="F563" s="116">
        <f>Dashboard_FS!$P$17</f>
        <v>0</v>
      </c>
      <c r="G563" s="12" t="s">
        <v>240</v>
      </c>
      <c r="H563" s="12" t="s">
        <v>466</v>
      </c>
      <c r="I563" s="12" t="s">
        <v>467</v>
      </c>
      <c r="J563" s="12" t="b">
        <f t="shared" si="59"/>
        <v>1</v>
      </c>
    </row>
    <row r="564" spans="1:10" x14ac:dyDescent="0.25">
      <c r="A564" s="12" t="str">
        <f t="shared" si="58"/>
        <v>Residential_Building Shell_Attic Kneewall Insulation #1 (Electric Heat)_A_wall</v>
      </c>
      <c r="B564" t="s">
        <v>162</v>
      </c>
      <c r="C564" t="s">
        <v>167</v>
      </c>
      <c r="D564" t="s">
        <v>465</v>
      </c>
      <c r="E564" s="114" t="s">
        <v>469</v>
      </c>
      <c r="F564" s="116">
        <f>Dashboard_FS!$O$6</f>
        <v>0</v>
      </c>
      <c r="G564" s="12" t="s">
        <v>240</v>
      </c>
      <c r="H564" s="12" t="s">
        <v>466</v>
      </c>
      <c r="I564" s="12" t="s">
        <v>467</v>
      </c>
      <c r="J564" s="12" t="b">
        <f t="shared" si="59"/>
        <v>1</v>
      </c>
    </row>
    <row r="565" spans="1:10" x14ac:dyDescent="0.25">
      <c r="A565" s="12" t="str">
        <f t="shared" si="58"/>
        <v>Residential_Building Shell_Attic Kneewall Insulation #1 (Electric Heat)_Framing_factor_wall</v>
      </c>
      <c r="B565" t="s">
        <v>162</v>
      </c>
      <c r="C565" t="s">
        <v>167</v>
      </c>
      <c r="D565" t="s">
        <v>465</v>
      </c>
      <c r="E565" s="102" t="s">
        <v>470</v>
      </c>
      <c r="F565" s="105">
        <v>0.25</v>
      </c>
      <c r="H565" s="12" t="s">
        <v>466</v>
      </c>
      <c r="I565" s="12" t="s">
        <v>467</v>
      </c>
      <c r="J565" s="12" t="b">
        <f t="shared" si="59"/>
        <v>0</v>
      </c>
    </row>
    <row r="566" spans="1:10" x14ac:dyDescent="0.25">
      <c r="A566" s="12" t="str">
        <f t="shared" si="58"/>
        <v>Residential_Building Shell_Attic Kneewall Insulation #1 (Electric Heat)_24</v>
      </c>
      <c r="B566" t="s">
        <v>162</v>
      </c>
      <c r="C566" t="s">
        <v>167</v>
      </c>
      <c r="D566" t="s">
        <v>465</v>
      </c>
      <c r="E566" s="102">
        <v>24</v>
      </c>
      <c r="F566" s="105">
        <v>24</v>
      </c>
      <c r="H566" s="12" t="s">
        <v>466</v>
      </c>
      <c r="I566" s="12" t="s">
        <v>467</v>
      </c>
      <c r="J566" s="12" t="b">
        <f t="shared" si="59"/>
        <v>0</v>
      </c>
    </row>
    <row r="567" spans="1:10" x14ac:dyDescent="0.25">
      <c r="A567" s="12" t="str">
        <f t="shared" si="58"/>
        <v>Residential_Building Shell_Attic Kneewall Insulation #1 (Electric Heat)_HDD</v>
      </c>
      <c r="B567" t="s">
        <v>162</v>
      </c>
      <c r="C567" t="s">
        <v>167</v>
      </c>
      <c r="D567" t="s">
        <v>465</v>
      </c>
      <c r="E567" s="102" t="s">
        <v>433</v>
      </c>
      <c r="F567" s="105" t="e">
        <f>INDEX('CZ Inputs'!G:G,MATCH(A567&amp;"_"&amp;Dashboard_EE!$K$3,'CZ Inputs'!A:A,0))</f>
        <v>#N/A</v>
      </c>
      <c r="G567" s="12" t="s">
        <v>422</v>
      </c>
      <c r="H567" s="12" t="s">
        <v>466</v>
      </c>
      <c r="I567" s="12" t="s">
        <v>467</v>
      </c>
      <c r="J567" s="12" t="b">
        <f t="shared" si="59"/>
        <v>1</v>
      </c>
    </row>
    <row r="568" spans="1:10" x14ac:dyDescent="0.25">
      <c r="A568" s="12" t="str">
        <f t="shared" ref="A568:A631" si="60">B568&amp;"_"&amp;C568&amp;"_"&amp;D568&amp;"_"&amp;E568</f>
        <v>Residential_Building Shell_Attic Kneewall Insulation #1 (Electric Heat)_ηHeat</v>
      </c>
      <c r="B568" t="s">
        <v>162</v>
      </c>
      <c r="C568" t="s">
        <v>167</v>
      </c>
      <c r="D568" t="s">
        <v>465</v>
      </c>
      <c r="E568" s="114" t="s">
        <v>434</v>
      </c>
      <c r="F568" s="116">
        <f>Dashboard_FS!$K$8</f>
        <v>0</v>
      </c>
      <c r="G568" s="12" t="s">
        <v>240</v>
      </c>
      <c r="H568" s="12" t="s">
        <v>466</v>
      </c>
      <c r="I568" s="12" t="s">
        <v>467</v>
      </c>
      <c r="J568" s="12" t="b">
        <f t="shared" si="59"/>
        <v>1</v>
      </c>
    </row>
    <row r="569" spans="1:10" x14ac:dyDescent="0.25">
      <c r="A569" s="12" t="str">
        <f t="shared" si="60"/>
        <v>Residential_Building Shell_Attic Kneewall Insulation #1 (Electric Heat)_ηHeat_Mid-Life_Adj</v>
      </c>
      <c r="B569" t="s">
        <v>162</v>
      </c>
      <c r="C569" t="s">
        <v>167</v>
      </c>
      <c r="D569" t="s">
        <v>465</v>
      </c>
      <c r="E569" s="114" t="s">
        <v>435</v>
      </c>
      <c r="F569" s="116">
        <f>Dashboard_FS!$K$8</f>
        <v>0</v>
      </c>
      <c r="G569" s="12" t="s">
        <v>240</v>
      </c>
      <c r="H569" s="12" t="s">
        <v>466</v>
      </c>
      <c r="I569" s="12" t="s">
        <v>467</v>
      </c>
      <c r="J569" s="12" t="b">
        <f t="shared" si="59"/>
        <v>1</v>
      </c>
    </row>
    <row r="570" spans="1:10" x14ac:dyDescent="0.25">
      <c r="A570" s="12" t="str">
        <f t="shared" si="60"/>
        <v>Residential_Building Shell_Attic Kneewall Insulation #1 (Electric Heat)_100000</v>
      </c>
      <c r="B570" t="s">
        <v>162</v>
      </c>
      <c r="C570" t="s">
        <v>167</v>
      </c>
      <c r="D570" t="s">
        <v>465</v>
      </c>
      <c r="E570" s="102">
        <v>100000</v>
      </c>
      <c r="F570" s="105">
        <v>100000</v>
      </c>
      <c r="H570" s="12" t="s">
        <v>466</v>
      </c>
      <c r="I570" s="12" t="s">
        <v>467</v>
      </c>
      <c r="J570" s="12" t="b">
        <f t="shared" si="59"/>
        <v>0</v>
      </c>
    </row>
    <row r="571" spans="1:10" x14ac:dyDescent="0.25">
      <c r="A571" s="12" t="str">
        <f t="shared" si="60"/>
        <v>Residential_Building Shell_Attic Kneewall Insulation #1 (Electric Heat)_ADJWallHeat</v>
      </c>
      <c r="B571" t="s">
        <v>162</v>
      </c>
      <c r="C571" t="s">
        <v>167</v>
      </c>
      <c r="D571" t="s">
        <v>465</v>
      </c>
      <c r="E571" s="102" t="s">
        <v>472</v>
      </c>
      <c r="F571" s="105">
        <v>0.63</v>
      </c>
      <c r="H571" s="12" t="s">
        <v>466</v>
      </c>
      <c r="I571" s="12" t="s">
        <v>467</v>
      </c>
      <c r="J571" s="12" t="b">
        <f t="shared" si="59"/>
        <v>0</v>
      </c>
    </row>
    <row r="572" spans="1:10" x14ac:dyDescent="0.25">
      <c r="A572" s="12" t="str">
        <f t="shared" si="60"/>
        <v>Residential_Building Shell_Attic Kneewall Insulation #1 (Electric Heat)_%GasHeat</v>
      </c>
      <c r="B572" t="s">
        <v>162</v>
      </c>
      <c r="C572" t="s">
        <v>167</v>
      </c>
      <c r="D572" t="s">
        <v>465</v>
      </c>
      <c r="E572" s="102" t="s">
        <v>463</v>
      </c>
      <c r="F572" s="105">
        <v>0</v>
      </c>
      <c r="G572" s="12" t="s">
        <v>436</v>
      </c>
      <c r="H572" s="12" t="s">
        <v>466</v>
      </c>
      <c r="I572" s="12" t="s">
        <v>467</v>
      </c>
      <c r="J572" s="12" t="b">
        <f t="shared" si="59"/>
        <v>0</v>
      </c>
    </row>
    <row r="573" spans="1:10" x14ac:dyDescent="0.25">
      <c r="A573" s="12" t="str">
        <f t="shared" si="60"/>
        <v>Residential_Building Shell_Attic Kneewall Insulation #1 (Electric Heat)_Delta_Therms</v>
      </c>
      <c r="B573" t="s">
        <v>162</v>
      </c>
      <c r="C573" t="s">
        <v>167</v>
      </c>
      <c r="D573" t="s">
        <v>465</v>
      </c>
      <c r="E573" s="114" t="s">
        <v>354</v>
      </c>
      <c r="F573" s="116" t="e">
        <f xml:space="preserve"> (((1/ F562 - 1/ F563) * F564 * (1 - F565) * F566 * F567) / (F568 * F570)) * F571 * F572</f>
        <v>#DIV/0!</v>
      </c>
      <c r="H573" s="12" t="s">
        <v>466</v>
      </c>
      <c r="I573" s="12" t="s">
        <v>467</v>
      </c>
      <c r="J573" s="12" t="b">
        <f t="shared" si="59"/>
        <v>1</v>
      </c>
    </row>
    <row r="574" spans="1:10" x14ac:dyDescent="0.25">
      <c r="A574" s="12" t="str">
        <f t="shared" si="60"/>
        <v>Residential_Building Shell_Attic Kneewall Insulation #1 (Electric Heat)_Delta_Therms_Mid-Life_Adj</v>
      </c>
      <c r="B574" t="s">
        <v>162</v>
      </c>
      <c r="C574" t="s">
        <v>167</v>
      </c>
      <c r="D574" t="s">
        <v>465</v>
      </c>
      <c r="E574" s="114" t="s">
        <v>473</v>
      </c>
      <c r="F574" s="116" t="e">
        <f xml:space="preserve"> (((1/ F562 - 1/ F563) * F564 * (1 - F565) * F566 * F567) / (F569 * F570)) * F571 * F572</f>
        <v>#DIV/0!</v>
      </c>
      <c r="H574" s="12" t="s">
        <v>466</v>
      </c>
      <c r="I574" s="12" t="s">
        <v>467</v>
      </c>
      <c r="J574" s="12" t="b">
        <f t="shared" si="59"/>
        <v>1</v>
      </c>
    </row>
    <row r="575" spans="1:10" x14ac:dyDescent="0.25">
      <c r="A575" s="12" t="str">
        <f t="shared" si="60"/>
        <v>Residential_Building Shell_Attic Kneewall Insulation #1 (Electric Heat)_Remaining Year kWh</v>
      </c>
      <c r="B575" t="s">
        <v>162</v>
      </c>
      <c r="C575" t="s">
        <v>167</v>
      </c>
      <c r="D575" t="s">
        <v>465</v>
      </c>
      <c r="E575" s="111" t="s">
        <v>447</v>
      </c>
      <c r="F575" s="101" t="e">
        <f>F537+F550+F556</f>
        <v>#DIV/0!</v>
      </c>
      <c r="H575" s="12" t="s">
        <v>466</v>
      </c>
      <c r="I575" s="12" t="s">
        <v>467</v>
      </c>
      <c r="J575" s="12" t="b">
        <f t="shared" si="59"/>
        <v>1</v>
      </c>
    </row>
    <row r="576" spans="1:10" x14ac:dyDescent="0.25">
      <c r="A576" s="12" t="str">
        <f t="shared" si="60"/>
        <v>Residential_Building Shell_Attic Kneewall Insulation #1 (Electric Heat)_kWh Saved per Unit</v>
      </c>
      <c r="B576" t="s">
        <v>162</v>
      </c>
      <c r="C576" t="s">
        <v>167</v>
      </c>
      <c r="D576" t="s">
        <v>465</v>
      </c>
      <c r="E576" s="111" t="s">
        <v>280</v>
      </c>
      <c r="F576" s="101" t="e">
        <f>F538+F551+F557</f>
        <v>#DIV/0!</v>
      </c>
      <c r="H576" s="12" t="s">
        <v>466</v>
      </c>
      <c r="I576" s="12" t="s">
        <v>467</v>
      </c>
      <c r="J576" s="12" t="b">
        <f t="shared" si="59"/>
        <v>1</v>
      </c>
    </row>
    <row r="577" spans="1:10" x14ac:dyDescent="0.25">
      <c r="A577" s="12" t="str">
        <f t="shared" si="60"/>
        <v>Residential_Building Shell_Attic Kneewall Insulation #1 (Electric Heat)_Remaining Year kW</v>
      </c>
      <c r="B577" t="s">
        <v>162</v>
      </c>
      <c r="C577" t="s">
        <v>167</v>
      </c>
      <c r="D577" t="s">
        <v>465</v>
      </c>
      <c r="E577" s="111" t="s">
        <v>448</v>
      </c>
      <c r="F577" s="101" t="e">
        <f>F560</f>
        <v>#DIV/0!</v>
      </c>
      <c r="H577" s="12" t="s">
        <v>466</v>
      </c>
      <c r="I577" s="12" t="s">
        <v>467</v>
      </c>
      <c r="J577" s="12" t="b">
        <f t="shared" si="59"/>
        <v>1</v>
      </c>
    </row>
    <row r="578" spans="1:10" x14ac:dyDescent="0.25">
      <c r="A578" s="12" t="str">
        <f t="shared" si="60"/>
        <v>Residential_Building Shell_Attic Kneewall Insulation #1 (Electric Heat)_Coincident Peak kW Saved per Unit</v>
      </c>
      <c r="B578" t="s">
        <v>162</v>
      </c>
      <c r="C578" t="s">
        <v>167</v>
      </c>
      <c r="D578" t="s">
        <v>465</v>
      </c>
      <c r="E578" s="111" t="s">
        <v>281</v>
      </c>
      <c r="F578" s="101" t="e">
        <f>F561</f>
        <v>#DIV/0!</v>
      </c>
      <c r="H578" s="12" t="s">
        <v>466</v>
      </c>
      <c r="I578" s="12" t="s">
        <v>467</v>
      </c>
      <c r="J578" s="12" t="b">
        <f t="shared" si="59"/>
        <v>1</v>
      </c>
    </row>
    <row r="579" spans="1:10" x14ac:dyDescent="0.25">
      <c r="A579" s="12" t="str">
        <f t="shared" si="60"/>
        <v>Residential_Building Shell_Attic Kneewall Insulation #1 (Electric Heat)_Remaining Year Therms</v>
      </c>
      <c r="B579" t="s">
        <v>162</v>
      </c>
      <c r="C579" t="s">
        <v>167</v>
      </c>
      <c r="D579" t="s">
        <v>465</v>
      </c>
      <c r="E579" s="111" t="s">
        <v>449</v>
      </c>
      <c r="F579" s="101" t="e">
        <f>F573</f>
        <v>#DIV/0!</v>
      </c>
      <c r="H579" s="12" t="s">
        <v>466</v>
      </c>
      <c r="I579" s="12" t="s">
        <v>467</v>
      </c>
      <c r="J579" s="12" t="b">
        <f t="shared" si="59"/>
        <v>1</v>
      </c>
    </row>
    <row r="580" spans="1:10" x14ac:dyDescent="0.25">
      <c r="A580" s="12" t="str">
        <f t="shared" si="60"/>
        <v>Residential_Building Shell_Attic Kneewall Insulation #1 (Electric Heat)_Therms Saved per Unit</v>
      </c>
      <c r="B580" t="s">
        <v>162</v>
      </c>
      <c r="C580" t="s">
        <v>167</v>
      </c>
      <c r="D580" t="s">
        <v>465</v>
      </c>
      <c r="E580" s="111" t="s">
        <v>376</v>
      </c>
      <c r="F580" s="101" t="e">
        <f>F574</f>
        <v>#DIV/0!</v>
      </c>
      <c r="H580" s="12" t="s">
        <v>466</v>
      </c>
      <c r="I580" s="12" t="s">
        <v>467</v>
      </c>
      <c r="J580" s="12" t="b">
        <f t="shared" si="59"/>
        <v>1</v>
      </c>
    </row>
    <row r="581" spans="1:10" x14ac:dyDescent="0.25">
      <c r="A581" s="12" t="str">
        <f t="shared" si="60"/>
        <v>Residential_Building Shell_Attic Kneewall Insulation #1 (Electric Heat)_Remaining Life</v>
      </c>
      <c r="B581" t="s">
        <v>162</v>
      </c>
      <c r="C581" t="s">
        <v>167</v>
      </c>
      <c r="D581" t="s">
        <v>465</v>
      </c>
      <c r="E581" s="111" t="s">
        <v>450</v>
      </c>
      <c r="F581" s="101">
        <v>10</v>
      </c>
      <c r="H581" s="12" t="s">
        <v>466</v>
      </c>
      <c r="I581" s="12" t="s">
        <v>467</v>
      </c>
      <c r="J581" s="12" t="b">
        <f t="shared" si="59"/>
        <v>0</v>
      </c>
    </row>
    <row r="582" spans="1:10" x14ac:dyDescent="0.25">
      <c r="A582" s="12" t="str">
        <f t="shared" si="60"/>
        <v>Residential_Building Shell_Attic Kneewall Insulation #1 (Electric Heat)_Lifetime (years)</v>
      </c>
      <c r="B582" t="s">
        <v>162</v>
      </c>
      <c r="C582" t="s">
        <v>167</v>
      </c>
      <c r="D582" t="s">
        <v>465</v>
      </c>
      <c r="E582" s="111" t="s">
        <v>284</v>
      </c>
      <c r="F582" s="101">
        <v>30</v>
      </c>
      <c r="H582" s="12" t="s">
        <v>466</v>
      </c>
      <c r="I582" s="12" t="s">
        <v>467</v>
      </c>
      <c r="J582" s="12" t="b">
        <f t="shared" si="59"/>
        <v>0</v>
      </c>
    </row>
    <row r="583" spans="1:10" x14ac:dyDescent="0.25">
      <c r="A583" s="12" t="str">
        <f t="shared" si="60"/>
        <v>Residential_Building Shell_Attic Kneewall Insulation #1 (Electric Heat)_Incremental Cost</v>
      </c>
      <c r="B583" t="s">
        <v>162</v>
      </c>
      <c r="C583" t="s">
        <v>167</v>
      </c>
      <c r="D583" t="s">
        <v>465</v>
      </c>
      <c r="E583" s="111" t="s">
        <v>285</v>
      </c>
      <c r="F583" s="100">
        <f>0.9*F527</f>
        <v>0</v>
      </c>
      <c r="G583" s="12" t="s">
        <v>451</v>
      </c>
      <c r="H583" s="12" t="s">
        <v>466</v>
      </c>
      <c r="I583" s="12" t="s">
        <v>467</v>
      </c>
      <c r="J583" s="12" t="b">
        <f t="shared" si="59"/>
        <v>1</v>
      </c>
    </row>
    <row r="584" spans="1:10" x14ac:dyDescent="0.25">
      <c r="A584" s="12" t="str">
        <f t="shared" si="60"/>
        <v>Residential_Building Shell_Attic Kneewall Insulation #1 (Electric Heat)_BTU Impact_Existing_Fossil Fuel</v>
      </c>
      <c r="B584" t="s">
        <v>162</v>
      </c>
      <c r="C584" t="s">
        <v>167</v>
      </c>
      <c r="D584" t="s">
        <v>465</v>
      </c>
      <c r="E584" s="111" t="s">
        <v>287</v>
      </c>
      <c r="F584" s="99">
        <v>0</v>
      </c>
      <c r="H584" s="12" t="s">
        <v>466</v>
      </c>
      <c r="I584" s="12" t="s">
        <v>467</v>
      </c>
      <c r="J584" s="12" t="b">
        <f t="shared" si="59"/>
        <v>0</v>
      </c>
    </row>
    <row r="585" spans="1:10" x14ac:dyDescent="0.25">
      <c r="A585" s="12" t="str">
        <f t="shared" si="60"/>
        <v>Residential_Building Shell_Attic Kneewall Insulation #1 (Electric Heat)_BTU Impact_Existing_Winter Electricity</v>
      </c>
      <c r="B585" t="s">
        <v>162</v>
      </c>
      <c r="C585" t="s">
        <v>167</v>
      </c>
      <c r="D585" t="s">
        <v>465</v>
      </c>
      <c r="E585" s="111" t="s">
        <v>288</v>
      </c>
      <c r="F585" s="99">
        <v>0</v>
      </c>
      <c r="H585" s="12" t="s">
        <v>466</v>
      </c>
      <c r="I585" s="12" t="s">
        <v>467</v>
      </c>
      <c r="J585" s="12" t="b">
        <f t="shared" si="59"/>
        <v>0</v>
      </c>
    </row>
    <row r="586" spans="1:10" x14ac:dyDescent="0.25">
      <c r="A586" s="12" t="str">
        <f t="shared" si="60"/>
        <v>Residential_Building Shell_Attic Kneewall Insulation #1 (Electric Heat)_BTU Impact_Existing_Summer Electricity</v>
      </c>
      <c r="B586" t="s">
        <v>162</v>
      </c>
      <c r="C586" t="s">
        <v>167</v>
      </c>
      <c r="D586" t="s">
        <v>465</v>
      </c>
      <c r="E586" s="111" t="s">
        <v>289</v>
      </c>
      <c r="F586" s="99">
        <v>0</v>
      </c>
      <c r="H586" s="12" t="s">
        <v>466</v>
      </c>
      <c r="I586" s="12" t="s">
        <v>467</v>
      </c>
      <c r="J586" s="12" t="b">
        <f t="shared" si="59"/>
        <v>0</v>
      </c>
    </row>
    <row r="587" spans="1:10" x14ac:dyDescent="0.25">
      <c r="A587" s="12" t="str">
        <f t="shared" si="60"/>
        <v>Residential_Building Shell_Attic Kneewall Insulation #1 (Electric Heat)_BTU Impact_New_Fossil Fuel</v>
      </c>
      <c r="B587" t="s">
        <v>162</v>
      </c>
      <c r="C587" t="s">
        <v>167</v>
      </c>
      <c r="D587" t="s">
        <v>465</v>
      </c>
      <c r="E587" s="111" t="s">
        <v>290</v>
      </c>
      <c r="F587" s="99">
        <v>0</v>
      </c>
      <c r="H587" s="12" t="s">
        <v>466</v>
      </c>
      <c r="I587" s="12" t="s">
        <v>467</v>
      </c>
      <c r="J587" s="12" t="b">
        <f t="shared" si="59"/>
        <v>0</v>
      </c>
    </row>
    <row r="588" spans="1:10" x14ac:dyDescent="0.25">
      <c r="A588" s="12" t="str">
        <f t="shared" si="60"/>
        <v>Residential_Building Shell_Attic Kneewall Insulation #1 (Electric Heat)_BTU Impact_New_Winter Electricity</v>
      </c>
      <c r="B588" t="s">
        <v>162</v>
      </c>
      <c r="C588" t="s">
        <v>167</v>
      </c>
      <c r="D588" t="s">
        <v>465</v>
      </c>
      <c r="E588" s="111" t="s">
        <v>291</v>
      </c>
      <c r="F588" s="99" t="e">
        <f>-F550*3412</f>
        <v>#DIV/0!</v>
      </c>
      <c r="H588" s="12" t="s">
        <v>466</v>
      </c>
      <c r="I588" s="12" t="s">
        <v>467</v>
      </c>
      <c r="J588" s="12" t="b">
        <f t="shared" si="59"/>
        <v>1</v>
      </c>
    </row>
    <row r="589" spans="1:10" x14ac:dyDescent="0.25">
      <c r="A589" s="12" t="str">
        <f t="shared" si="60"/>
        <v>Residential_Building Shell_Attic Kneewall Insulation #1 (Electric Heat)_BTU Impact_New_Summer Electricity</v>
      </c>
      <c r="B589" t="s">
        <v>162</v>
      </c>
      <c r="C589" t="s">
        <v>167</v>
      </c>
      <c r="D589" t="s">
        <v>465</v>
      </c>
      <c r="E589" s="111" t="s">
        <v>292</v>
      </c>
      <c r="F589" s="99" t="e">
        <f>-F537*3412</f>
        <v>#DIV/0!</v>
      </c>
      <c r="H589" s="12" t="s">
        <v>466</v>
      </c>
      <c r="I589" s="12" t="s">
        <v>467</v>
      </c>
      <c r="J589" s="12" t="b">
        <f t="shared" si="59"/>
        <v>1</v>
      </c>
    </row>
    <row r="590" spans="1:10" x14ac:dyDescent="0.25">
      <c r="A590" s="12" t="str">
        <f t="shared" si="60"/>
        <v>Residential_Building Shell_Attic Kneewall Insulation #1 (Electric Heat)_</v>
      </c>
      <c r="B590" t="s">
        <v>162</v>
      </c>
      <c r="C590" t="s">
        <v>167</v>
      </c>
      <c r="D590" t="s">
        <v>465</v>
      </c>
      <c r="H590" s="12" t="s">
        <v>466</v>
      </c>
      <c r="I590" s="12" t="s">
        <v>467</v>
      </c>
      <c r="J590" s="12" t="b">
        <f t="shared" si="59"/>
        <v>0</v>
      </c>
    </row>
    <row r="591" spans="1:10" x14ac:dyDescent="0.25">
      <c r="A591" s="12" t="str">
        <f t="shared" si="60"/>
        <v>Residential_Building Shell_Attic Kneewall Insulation #2 (Electric Heat)_R_old</v>
      </c>
      <c r="B591" t="s">
        <v>162</v>
      </c>
      <c r="C591" t="s">
        <v>167</v>
      </c>
      <c r="D591" t="s">
        <v>474</v>
      </c>
      <c r="E591" s="114" t="s">
        <v>453</v>
      </c>
      <c r="F591" s="116">
        <f>Dashboard_FS!$O$18</f>
        <v>0</v>
      </c>
      <c r="G591" s="12" t="s">
        <v>240</v>
      </c>
      <c r="H591" s="12" t="s">
        <v>466</v>
      </c>
      <c r="I591" s="12" t="s">
        <v>467</v>
      </c>
      <c r="J591" s="12" t="b">
        <f t="shared" ref="J591:J656" si="61">_xlfn.ISFORMULA(F591)</f>
        <v>1</v>
      </c>
    </row>
    <row r="592" spans="1:10" x14ac:dyDescent="0.25">
      <c r="A592" s="12" t="str">
        <f t="shared" si="60"/>
        <v>Residential_Building Shell_Attic Kneewall Insulation #2 (Electric Heat)_R_wall</v>
      </c>
      <c r="B592" t="s">
        <v>162</v>
      </c>
      <c r="C592" t="s">
        <v>167</v>
      </c>
      <c r="D592" t="s">
        <v>474</v>
      </c>
      <c r="E592" s="114" t="s">
        <v>468</v>
      </c>
      <c r="F592" s="116">
        <f>Dashboard_FS!$P$18</f>
        <v>0</v>
      </c>
      <c r="G592" s="12" t="s">
        <v>240</v>
      </c>
      <c r="H592" s="12" t="s">
        <v>466</v>
      </c>
      <c r="I592" s="12" t="s">
        <v>467</v>
      </c>
      <c r="J592" s="12" t="b">
        <f t="shared" si="61"/>
        <v>1</v>
      </c>
    </row>
    <row r="593" spans="1:10" x14ac:dyDescent="0.25">
      <c r="A593" s="12" t="str">
        <f t="shared" si="60"/>
        <v>Residential_Building Shell_Attic Kneewall Insulation #2 (Electric Heat)_A_wall</v>
      </c>
      <c r="B593" t="s">
        <v>162</v>
      </c>
      <c r="C593" t="s">
        <v>167</v>
      </c>
      <c r="D593" t="s">
        <v>474</v>
      </c>
      <c r="E593" s="114" t="s">
        <v>469</v>
      </c>
      <c r="F593" s="116">
        <f>Dashboard_FS!$O$7</f>
        <v>0</v>
      </c>
      <c r="G593" s="12" t="s">
        <v>240</v>
      </c>
      <c r="H593" s="12" t="s">
        <v>466</v>
      </c>
      <c r="I593" s="12" t="s">
        <v>467</v>
      </c>
      <c r="J593" s="12" t="b">
        <f t="shared" si="61"/>
        <v>1</v>
      </c>
    </row>
    <row r="594" spans="1:10" x14ac:dyDescent="0.25">
      <c r="A594" s="12" t="str">
        <f t="shared" si="60"/>
        <v>Residential_Building Shell_Attic Kneewall Insulation #2 (Electric Heat)_Framing_factor_wall</v>
      </c>
      <c r="B594" t="s">
        <v>162</v>
      </c>
      <c r="C594" t="s">
        <v>167</v>
      </c>
      <c r="D594" t="s">
        <v>474</v>
      </c>
      <c r="E594" s="102" t="s">
        <v>470</v>
      </c>
      <c r="F594" s="105">
        <v>0.25</v>
      </c>
      <c r="H594" s="12" t="s">
        <v>466</v>
      </c>
      <c r="I594" s="12" t="s">
        <v>467</v>
      </c>
      <c r="J594" s="12" t="b">
        <f t="shared" si="61"/>
        <v>0</v>
      </c>
    </row>
    <row r="595" spans="1:10" x14ac:dyDescent="0.25">
      <c r="A595" s="12" t="str">
        <f t="shared" si="60"/>
        <v>Residential_Building Shell_Attic Kneewall Insulation #2 (Electric Heat)_24</v>
      </c>
      <c r="B595" t="s">
        <v>162</v>
      </c>
      <c r="C595" t="s">
        <v>167</v>
      </c>
      <c r="D595" t="s">
        <v>474</v>
      </c>
      <c r="E595" s="102">
        <v>24</v>
      </c>
      <c r="F595" s="105">
        <v>24</v>
      </c>
      <c r="H595" s="12" t="s">
        <v>466</v>
      </c>
      <c r="I595" s="12" t="s">
        <v>467</v>
      </c>
      <c r="J595" s="12" t="b">
        <f t="shared" si="61"/>
        <v>0</v>
      </c>
    </row>
    <row r="596" spans="1:10" x14ac:dyDescent="0.25">
      <c r="A596" s="12" t="str">
        <f t="shared" si="60"/>
        <v>Residential_Building Shell_Attic Kneewall Insulation #2 (Electric Heat)_CDD</v>
      </c>
      <c r="B596" t="s">
        <v>162</v>
      </c>
      <c r="C596" t="s">
        <v>167</v>
      </c>
      <c r="D596" t="s">
        <v>474</v>
      </c>
      <c r="E596" s="102" t="s">
        <v>421</v>
      </c>
      <c r="F596" s="105" t="e">
        <f>INDEX('CZ Inputs'!G:G,MATCH(A596&amp;"_"&amp;Dashboard_EE!$K$3,'CZ Inputs'!A:A,0))</f>
        <v>#N/A</v>
      </c>
      <c r="G596" s="12" t="s">
        <v>422</v>
      </c>
      <c r="H596" s="12" t="s">
        <v>466</v>
      </c>
      <c r="I596" s="12" t="s">
        <v>467</v>
      </c>
      <c r="J596" s="12" t="b">
        <f t="shared" si="61"/>
        <v>1</v>
      </c>
    </row>
    <row r="597" spans="1:10" x14ac:dyDescent="0.25">
      <c r="A597" s="12" t="str">
        <f t="shared" si="60"/>
        <v>Residential_Building Shell_Attic Kneewall Insulation #2 (Electric Heat)_DUA</v>
      </c>
      <c r="B597" t="s">
        <v>162</v>
      </c>
      <c r="C597" t="s">
        <v>167</v>
      </c>
      <c r="D597" t="s">
        <v>474</v>
      </c>
      <c r="E597" s="102" t="s">
        <v>423</v>
      </c>
      <c r="F597" s="105">
        <v>0.75</v>
      </c>
      <c r="H597" s="12" t="s">
        <v>466</v>
      </c>
      <c r="I597" s="12" t="s">
        <v>467</v>
      </c>
      <c r="J597" s="12" t="b">
        <f t="shared" si="61"/>
        <v>0</v>
      </c>
    </row>
    <row r="598" spans="1:10" x14ac:dyDescent="0.25">
      <c r="A598" s="12" t="str">
        <f t="shared" si="60"/>
        <v>Residential_Building Shell_Attic Kneewall Insulation #2 (Electric Heat)_1000</v>
      </c>
      <c r="B598" t="s">
        <v>162</v>
      </c>
      <c r="C598" t="s">
        <v>167</v>
      </c>
      <c r="D598" t="s">
        <v>474</v>
      </c>
      <c r="E598" s="102">
        <v>1000</v>
      </c>
      <c r="F598" s="105">
        <v>1000</v>
      </c>
      <c r="H598" s="12" t="s">
        <v>466</v>
      </c>
      <c r="I598" s="12" t="s">
        <v>467</v>
      </c>
      <c r="J598" s="12" t="b">
        <f t="shared" si="61"/>
        <v>0</v>
      </c>
    </row>
    <row r="599" spans="1:10" x14ac:dyDescent="0.25">
      <c r="A599" s="12" t="str">
        <f t="shared" si="60"/>
        <v>Residential_Building Shell_Attic Kneewall Insulation #2 (Electric Heat)_ηCool</v>
      </c>
      <c r="B599" t="s">
        <v>162</v>
      </c>
      <c r="C599" t="s">
        <v>167</v>
      </c>
      <c r="D599" t="s">
        <v>474</v>
      </c>
      <c r="E599" s="114" t="s">
        <v>424</v>
      </c>
      <c r="F599" s="116">
        <f>Dashboard_FS!$K$14</f>
        <v>0</v>
      </c>
      <c r="G599" s="12" t="s">
        <v>240</v>
      </c>
      <c r="H599" s="12" t="s">
        <v>466</v>
      </c>
      <c r="I599" s="12" t="s">
        <v>467</v>
      </c>
      <c r="J599" s="12" t="b">
        <f t="shared" si="61"/>
        <v>1</v>
      </c>
    </row>
    <row r="600" spans="1:10" x14ac:dyDescent="0.25">
      <c r="A600" s="12" t="str">
        <f t="shared" si="60"/>
        <v>Residential_Building Shell_Attic Kneewall Insulation #2 (Electric Heat)_ηCool_Mid-Life_Adj</v>
      </c>
      <c r="B600" t="s">
        <v>162</v>
      </c>
      <c r="C600" t="s">
        <v>167</v>
      </c>
      <c r="D600" t="s">
        <v>474</v>
      </c>
      <c r="E600" s="114" t="s">
        <v>425</v>
      </c>
      <c r="F600" s="116">
        <f>Dashboard_FS!$K$14</f>
        <v>0</v>
      </c>
      <c r="G600" s="12" t="s">
        <v>240</v>
      </c>
      <c r="H600" s="12" t="s">
        <v>466</v>
      </c>
      <c r="I600" s="12" t="s">
        <v>467</v>
      </c>
      <c r="J600" s="12" t="b">
        <f t="shared" si="61"/>
        <v>1</v>
      </c>
    </row>
    <row r="601" spans="1:10" x14ac:dyDescent="0.25">
      <c r="A601" s="12" t="str">
        <f t="shared" si="60"/>
        <v>Residential_Building Shell_Attic Kneewall Insulation #2 (Electric Heat)_ADJWallCool</v>
      </c>
      <c r="B601" t="s">
        <v>162</v>
      </c>
      <c r="C601" t="s">
        <v>167</v>
      </c>
      <c r="D601" t="s">
        <v>474</v>
      </c>
      <c r="E601" s="102" t="s">
        <v>471</v>
      </c>
      <c r="F601" s="105">
        <v>0.75</v>
      </c>
      <c r="H601" s="12" t="s">
        <v>466</v>
      </c>
      <c r="I601" s="12" t="s">
        <v>467</v>
      </c>
      <c r="J601" s="12" t="b">
        <f t="shared" si="61"/>
        <v>0</v>
      </c>
    </row>
    <row r="602" spans="1:10" x14ac:dyDescent="0.25">
      <c r="A602" s="12" t="str">
        <f t="shared" si="60"/>
        <v>Residential_Building Shell_Attic Kneewall Insulation #2 (Electric Heat)_%Cool</v>
      </c>
      <c r="B602" t="s">
        <v>162</v>
      </c>
      <c r="C602" t="s">
        <v>167</v>
      </c>
      <c r="D602" t="s">
        <v>474</v>
      </c>
      <c r="E602" s="102" t="s">
        <v>397</v>
      </c>
      <c r="F602" s="105">
        <v>1</v>
      </c>
      <c r="H602" s="12" t="s">
        <v>466</v>
      </c>
      <c r="I602" s="12" t="s">
        <v>467</v>
      </c>
      <c r="J602" s="12" t="b">
        <f t="shared" si="61"/>
        <v>0</v>
      </c>
    </row>
    <row r="603" spans="1:10" x14ac:dyDescent="0.25">
      <c r="A603" s="12" t="str">
        <f t="shared" si="60"/>
        <v>Residential_Building Shell_Attic Kneewall Insulation #2 (Electric Heat)_Delta_kWh_cooling</v>
      </c>
      <c r="B603" t="s">
        <v>162</v>
      </c>
      <c r="C603" t="s">
        <v>167</v>
      </c>
      <c r="D603" t="s">
        <v>474</v>
      </c>
      <c r="E603" s="114" t="s">
        <v>430</v>
      </c>
      <c r="F603" s="116" t="e">
        <f xml:space="preserve"> ((((1/ F591 - 1/ F592) * F593 * (1 - F594)) * F595 * F596 * F597) / (F598 * F599)) * F601 * F602</f>
        <v>#DIV/0!</v>
      </c>
      <c r="H603" s="12" t="s">
        <v>466</v>
      </c>
      <c r="I603" s="12" t="s">
        <v>467</v>
      </c>
      <c r="J603" s="12" t="b">
        <f t="shared" si="61"/>
        <v>1</v>
      </c>
    </row>
    <row r="604" spans="1:10" x14ac:dyDescent="0.25">
      <c r="A604" s="12" t="str">
        <f t="shared" si="60"/>
        <v>Residential_Building Shell_Attic Kneewall Insulation #2 (Electric Heat)_Delta_kWh_cooling_Mid-Life_Adj</v>
      </c>
      <c r="B604" t="s">
        <v>162</v>
      </c>
      <c r="C604" t="s">
        <v>167</v>
      </c>
      <c r="D604" t="s">
        <v>474</v>
      </c>
      <c r="E604" s="114" t="s">
        <v>431</v>
      </c>
      <c r="F604" s="116" t="e">
        <f xml:space="preserve"> ((((1/ F591 - 1/ F592) * F593 * (1 - F594)) * F595 * F596 * F597) / (F598 * F600)) * F601 * F602</f>
        <v>#DIV/0!</v>
      </c>
      <c r="H604" s="12" t="s">
        <v>466</v>
      </c>
      <c r="I604" s="12" t="s">
        <v>467</v>
      </c>
      <c r="J604" s="12" t="b">
        <f t="shared" si="61"/>
        <v>1</v>
      </c>
    </row>
    <row r="605" spans="1:10" x14ac:dyDescent="0.25">
      <c r="A605" s="12" t="str">
        <f t="shared" si="60"/>
        <v>Residential_Building Shell_Attic Kneewall Insulation #2 (Electric Heat)_R_old</v>
      </c>
      <c r="B605" t="s">
        <v>162</v>
      </c>
      <c r="C605" t="s">
        <v>167</v>
      </c>
      <c r="D605" t="s">
        <v>474</v>
      </c>
      <c r="E605" s="114" t="s">
        <v>453</v>
      </c>
      <c r="F605" s="116">
        <f>Dashboard_FS!$O$18</f>
        <v>0</v>
      </c>
      <c r="G605" s="12" t="s">
        <v>240</v>
      </c>
      <c r="H605" s="12" t="s">
        <v>466</v>
      </c>
      <c r="I605" s="12" t="s">
        <v>467</v>
      </c>
      <c r="J605" s="12" t="b">
        <f t="shared" si="61"/>
        <v>1</v>
      </c>
    </row>
    <row r="606" spans="1:10" x14ac:dyDescent="0.25">
      <c r="A606" s="12" t="str">
        <f t="shared" si="60"/>
        <v>Residential_Building Shell_Attic Kneewall Insulation #2 (Electric Heat)_R_wall</v>
      </c>
      <c r="B606" t="s">
        <v>162</v>
      </c>
      <c r="C606" t="s">
        <v>167</v>
      </c>
      <c r="D606" t="s">
        <v>474</v>
      </c>
      <c r="E606" s="114" t="s">
        <v>468</v>
      </c>
      <c r="F606" s="116">
        <f>Dashboard_FS!$P$18</f>
        <v>0</v>
      </c>
      <c r="G606" s="12" t="s">
        <v>240</v>
      </c>
      <c r="H606" s="12" t="s">
        <v>466</v>
      </c>
      <c r="I606" s="12" t="s">
        <v>467</v>
      </c>
      <c r="J606" s="12" t="b">
        <f t="shared" si="61"/>
        <v>1</v>
      </c>
    </row>
    <row r="607" spans="1:10" x14ac:dyDescent="0.25">
      <c r="A607" s="12" t="str">
        <f t="shared" si="60"/>
        <v>Residential_Building Shell_Attic Kneewall Insulation #2 (Electric Heat)_A_wall</v>
      </c>
      <c r="B607" t="s">
        <v>162</v>
      </c>
      <c r="C607" t="s">
        <v>167</v>
      </c>
      <c r="D607" t="s">
        <v>474</v>
      </c>
      <c r="E607" s="114" t="s">
        <v>469</v>
      </c>
      <c r="F607" s="116">
        <f>Dashboard_FS!$O$7</f>
        <v>0</v>
      </c>
      <c r="G607" s="12" t="s">
        <v>240</v>
      </c>
      <c r="H607" s="12" t="s">
        <v>466</v>
      </c>
      <c r="I607" s="12" t="s">
        <v>467</v>
      </c>
      <c r="J607" s="12" t="b">
        <f t="shared" si="61"/>
        <v>1</v>
      </c>
    </row>
    <row r="608" spans="1:10" x14ac:dyDescent="0.25">
      <c r="A608" s="12" t="str">
        <f t="shared" si="60"/>
        <v>Residential_Building Shell_Attic Kneewall Insulation #2 (Electric Heat)_Framing_factor_wall</v>
      </c>
      <c r="B608" t="s">
        <v>162</v>
      </c>
      <c r="C608" t="s">
        <v>167</v>
      </c>
      <c r="D608" t="s">
        <v>474</v>
      </c>
      <c r="E608" s="102" t="s">
        <v>470</v>
      </c>
      <c r="F608" s="105">
        <v>0.25</v>
      </c>
      <c r="H608" s="12" t="s">
        <v>466</v>
      </c>
      <c r="I608" s="12" t="s">
        <v>467</v>
      </c>
      <c r="J608" s="12" t="b">
        <f t="shared" si="61"/>
        <v>0</v>
      </c>
    </row>
    <row r="609" spans="1:10" x14ac:dyDescent="0.25">
      <c r="A609" s="12" t="str">
        <f t="shared" si="60"/>
        <v>Residential_Building Shell_Attic Kneewall Insulation #2 (Electric Heat)_24</v>
      </c>
      <c r="B609" t="s">
        <v>162</v>
      </c>
      <c r="C609" t="s">
        <v>167</v>
      </c>
      <c r="D609" t="s">
        <v>474</v>
      </c>
      <c r="E609" s="102">
        <v>24</v>
      </c>
      <c r="F609" s="105">
        <v>24</v>
      </c>
      <c r="H609" s="12" t="s">
        <v>466</v>
      </c>
      <c r="I609" s="12" t="s">
        <v>467</v>
      </c>
      <c r="J609" s="12" t="b">
        <f t="shared" si="61"/>
        <v>0</v>
      </c>
    </row>
    <row r="610" spans="1:10" x14ac:dyDescent="0.25">
      <c r="A610" s="12" t="str">
        <f t="shared" si="60"/>
        <v>Residential_Building Shell_Attic Kneewall Insulation #2 (Electric Heat)_HDD</v>
      </c>
      <c r="B610" t="s">
        <v>162</v>
      </c>
      <c r="C610" t="s">
        <v>167</v>
      </c>
      <c r="D610" t="s">
        <v>474</v>
      </c>
      <c r="E610" s="102" t="s">
        <v>433</v>
      </c>
      <c r="F610" s="105" t="e">
        <f>INDEX('CZ Inputs'!G:G,MATCH(A610&amp;"_"&amp;Dashboard_EE!$K$3,'CZ Inputs'!A:A,0))</f>
        <v>#N/A</v>
      </c>
      <c r="G610" s="12" t="s">
        <v>422</v>
      </c>
      <c r="H610" s="12" t="s">
        <v>466</v>
      </c>
      <c r="I610" s="12" t="s">
        <v>467</v>
      </c>
      <c r="J610" s="12" t="b">
        <f t="shared" si="61"/>
        <v>1</v>
      </c>
    </row>
    <row r="611" spans="1:10" x14ac:dyDescent="0.25">
      <c r="A611" s="12" t="str">
        <f t="shared" si="60"/>
        <v>Residential_Building Shell_Attic Kneewall Insulation #2 (Electric Heat)_ηHeat</v>
      </c>
      <c r="B611" t="s">
        <v>162</v>
      </c>
      <c r="C611" t="s">
        <v>167</v>
      </c>
      <c r="D611" t="s">
        <v>474</v>
      </c>
      <c r="E611" s="114" t="s">
        <v>434</v>
      </c>
      <c r="F611" s="116">
        <f>Dashboard_FS!$K$6</f>
        <v>0</v>
      </c>
      <c r="G611" s="12" t="s">
        <v>240</v>
      </c>
      <c r="H611" s="12" t="s">
        <v>466</v>
      </c>
      <c r="I611" s="12" t="s">
        <v>467</v>
      </c>
      <c r="J611" s="12" t="b">
        <f t="shared" si="61"/>
        <v>1</v>
      </c>
    </row>
    <row r="612" spans="1:10" x14ac:dyDescent="0.25">
      <c r="A612" s="12" t="str">
        <f t="shared" si="60"/>
        <v>Residential_Building Shell_Attic Kneewall Insulation #2 (Electric Heat)_ηHeat_Mid-Life_Adj</v>
      </c>
      <c r="B612" t="s">
        <v>162</v>
      </c>
      <c r="C612" t="s">
        <v>167</v>
      </c>
      <c r="D612" t="s">
        <v>474</v>
      </c>
      <c r="E612" s="114" t="s">
        <v>435</v>
      </c>
      <c r="F612" s="116">
        <f>Dashboard_FS!$K$6</f>
        <v>0</v>
      </c>
      <c r="G612" s="12" t="s">
        <v>240</v>
      </c>
      <c r="H612" s="12" t="s">
        <v>466</v>
      </c>
      <c r="I612" s="12" t="s">
        <v>467</v>
      </c>
      <c r="J612" s="12" t="b">
        <f t="shared" si="61"/>
        <v>1</v>
      </c>
    </row>
    <row r="613" spans="1:10" x14ac:dyDescent="0.25">
      <c r="A613" s="12" t="str">
        <f t="shared" si="60"/>
        <v>Residential_Building Shell_Attic Kneewall Insulation #2 (Electric Heat)_3412</v>
      </c>
      <c r="B613" t="s">
        <v>162</v>
      </c>
      <c r="C613" t="s">
        <v>167</v>
      </c>
      <c r="D613" t="s">
        <v>474</v>
      </c>
      <c r="E613" s="102">
        <v>3412</v>
      </c>
      <c r="F613" s="105">
        <v>3412</v>
      </c>
      <c r="H613" s="12" t="s">
        <v>466</v>
      </c>
      <c r="I613" s="12" t="s">
        <v>467</v>
      </c>
      <c r="J613" s="12" t="b">
        <f t="shared" si="61"/>
        <v>0</v>
      </c>
    </row>
    <row r="614" spans="1:10" x14ac:dyDescent="0.25">
      <c r="A614" s="12" t="str">
        <f t="shared" si="60"/>
        <v>Residential_Building Shell_Attic Kneewall Insulation #2 (Electric Heat)_ADJWallHeat</v>
      </c>
      <c r="B614" t="s">
        <v>162</v>
      </c>
      <c r="C614" t="s">
        <v>167</v>
      </c>
      <c r="D614" t="s">
        <v>474</v>
      </c>
      <c r="E614" s="102" t="s">
        <v>472</v>
      </c>
      <c r="F614" s="105">
        <v>0.63</v>
      </c>
      <c r="H614" s="12" t="s">
        <v>466</v>
      </c>
      <c r="I614" s="12" t="s">
        <v>467</v>
      </c>
      <c r="J614" s="12" t="b">
        <f t="shared" si="61"/>
        <v>0</v>
      </c>
    </row>
    <row r="615" spans="1:10" x14ac:dyDescent="0.25">
      <c r="A615" s="12" t="str">
        <f t="shared" si="60"/>
        <v>Residential_Building Shell_Attic Kneewall Insulation #2 (Electric Heat)_%ElectricHeat</v>
      </c>
      <c r="B615" t="s">
        <v>162</v>
      </c>
      <c r="C615" t="s">
        <v>167</v>
      </c>
      <c r="D615" t="s">
        <v>474</v>
      </c>
      <c r="E615" s="102" t="s">
        <v>402</v>
      </c>
      <c r="F615" s="105">
        <v>1</v>
      </c>
      <c r="G615" s="12" t="s">
        <v>436</v>
      </c>
      <c r="H615" s="12" t="s">
        <v>466</v>
      </c>
      <c r="I615" s="12" t="s">
        <v>467</v>
      </c>
      <c r="J615" s="12" t="b">
        <f t="shared" si="61"/>
        <v>0</v>
      </c>
    </row>
    <row r="616" spans="1:10" x14ac:dyDescent="0.25">
      <c r="A616" s="12" t="str">
        <f t="shared" si="60"/>
        <v>Residential_Building Shell_Attic Kneewall Insulation #2 (Electric Heat)_Delta_kWh_heatingElectric</v>
      </c>
      <c r="B616" t="s">
        <v>162</v>
      </c>
      <c r="C616" t="s">
        <v>167</v>
      </c>
      <c r="D616" t="s">
        <v>474</v>
      </c>
      <c r="E616" s="114" t="s">
        <v>437</v>
      </c>
      <c r="F616" s="116" t="e">
        <f xml:space="preserve"> (((1/ F605 - 1/ F606) * F607 * (1 - F608) * F609 * F610) / (F611 * F613)) * F614 * F615</f>
        <v>#DIV/0!</v>
      </c>
      <c r="H616" s="12" t="s">
        <v>466</v>
      </c>
      <c r="I616" s="12" t="s">
        <v>467</v>
      </c>
      <c r="J616" s="12" t="b">
        <f t="shared" si="61"/>
        <v>1</v>
      </c>
    </row>
    <row r="617" spans="1:10" x14ac:dyDescent="0.25">
      <c r="A617" s="12" t="str">
        <f t="shared" si="60"/>
        <v>Residential_Building Shell_Attic Kneewall Insulation #2 (Electric Heat)_Delta_kWh_heatingElectric_Mid-Life_Adj</v>
      </c>
      <c r="B617" t="s">
        <v>162</v>
      </c>
      <c r="C617" t="s">
        <v>167</v>
      </c>
      <c r="D617" t="s">
        <v>474</v>
      </c>
      <c r="E617" s="114" t="s">
        <v>438</v>
      </c>
      <c r="F617" s="116" t="e">
        <f xml:space="preserve"> (((1/ F605 - 1/ F606) * F607 * (1 - F608) * F609 * F610) / (F612 * F613)) * F614 * F615</f>
        <v>#DIV/0!</v>
      </c>
      <c r="H617" s="12" t="s">
        <v>466</v>
      </c>
      <c r="I617" s="12" t="s">
        <v>467</v>
      </c>
      <c r="J617" s="12" t="b">
        <f t="shared" si="61"/>
        <v>1</v>
      </c>
    </row>
    <row r="618" spans="1:10" x14ac:dyDescent="0.25">
      <c r="A618" s="12" t="str">
        <f t="shared" si="60"/>
        <v>Residential_Building Shell_Attic Kneewall Insulation #2 (Electric Heat)_Delta_Therms</v>
      </c>
      <c r="B618" t="s">
        <v>162</v>
      </c>
      <c r="C618" t="s">
        <v>167</v>
      </c>
      <c r="D618" t="s">
        <v>474</v>
      </c>
      <c r="E618" s="114" t="s">
        <v>354</v>
      </c>
      <c r="F618" s="116" t="e">
        <f>F639</f>
        <v>#DIV/0!</v>
      </c>
      <c r="H618" s="12" t="s">
        <v>466</v>
      </c>
      <c r="I618" s="12" t="s">
        <v>467</v>
      </c>
      <c r="J618" s="12" t="b">
        <f t="shared" si="61"/>
        <v>1</v>
      </c>
    </row>
    <row r="619" spans="1:10" x14ac:dyDescent="0.25">
      <c r="A619" s="12" t="str">
        <f t="shared" si="60"/>
        <v>Residential_Building Shell_Attic Kneewall Insulation #2 (Electric Heat)_Delta_Therms_Mid-Life_Adj</v>
      </c>
      <c r="B619" t="s">
        <v>162</v>
      </c>
      <c r="C619" t="s">
        <v>167</v>
      </c>
      <c r="D619" t="s">
        <v>474</v>
      </c>
      <c r="E619" s="114" t="s">
        <v>473</v>
      </c>
      <c r="F619" s="116" t="e">
        <f>F640</f>
        <v>#DIV/0!</v>
      </c>
      <c r="H619" s="12" t="s">
        <v>466</v>
      </c>
      <c r="I619" s="12" t="s">
        <v>467</v>
      </c>
      <c r="J619" s="12" t="b">
        <f t="shared" si="61"/>
        <v>1</v>
      </c>
    </row>
    <row r="620" spans="1:10" x14ac:dyDescent="0.25">
      <c r="A620" s="12" t="str">
        <f t="shared" si="60"/>
        <v>Residential_Building Shell_Attic Kneewall Insulation #2 (Electric Heat)_Fe</v>
      </c>
      <c r="B620" t="s">
        <v>162</v>
      </c>
      <c r="C620" t="s">
        <v>167</v>
      </c>
      <c r="D620" t="s">
        <v>474</v>
      </c>
      <c r="E620" s="102" t="s">
        <v>251</v>
      </c>
      <c r="F620" s="105">
        <v>3.1399999999999997E-2</v>
      </c>
      <c r="H620" s="12" t="s">
        <v>466</v>
      </c>
      <c r="I620" s="12" t="s">
        <v>467</v>
      </c>
      <c r="J620" s="12" t="b">
        <f t="shared" si="61"/>
        <v>0</v>
      </c>
    </row>
    <row r="621" spans="1:10" x14ac:dyDescent="0.25">
      <c r="A621" s="12" t="str">
        <f t="shared" si="60"/>
        <v>Residential_Building Shell_Attic Kneewall Insulation #2 (Electric Heat)_29.3</v>
      </c>
      <c r="B621" t="s">
        <v>162</v>
      </c>
      <c r="C621" t="s">
        <v>167</v>
      </c>
      <c r="D621" t="s">
        <v>474</v>
      </c>
      <c r="E621" s="102">
        <v>29.3</v>
      </c>
      <c r="F621" s="105">
        <v>29.3</v>
      </c>
      <c r="H621" s="12" t="s">
        <v>466</v>
      </c>
      <c r="I621" s="12" t="s">
        <v>467</v>
      </c>
      <c r="J621" s="12" t="b">
        <f t="shared" si="61"/>
        <v>0</v>
      </c>
    </row>
    <row r="622" spans="1:10" x14ac:dyDescent="0.25">
      <c r="A622" s="12" t="str">
        <f t="shared" si="60"/>
        <v>Residential_Building Shell_Attic Kneewall Insulation #2 (Electric Heat)_Delta_kWh_heatingGas</v>
      </c>
      <c r="B622" t="s">
        <v>162</v>
      </c>
      <c r="C622" t="s">
        <v>167</v>
      </c>
      <c r="D622" t="s">
        <v>474</v>
      </c>
      <c r="E622" s="114" t="s">
        <v>440</v>
      </c>
      <c r="F622" s="116" t="e">
        <f>F618*F620*F621</f>
        <v>#DIV/0!</v>
      </c>
      <c r="H622" s="12" t="s">
        <v>466</v>
      </c>
      <c r="I622" s="12" t="s">
        <v>467</v>
      </c>
      <c r="J622" s="12" t="b">
        <f t="shared" si="61"/>
        <v>1</v>
      </c>
    </row>
    <row r="623" spans="1:10" x14ac:dyDescent="0.25">
      <c r="A623" s="12" t="str">
        <f t="shared" si="60"/>
        <v>Residential_Building Shell_Attic Kneewall Insulation #2 (Electric Heat)_Delta_kWh_heatingGas_Mid-Life_Adj</v>
      </c>
      <c r="B623" t="s">
        <v>162</v>
      </c>
      <c r="C623" t="s">
        <v>167</v>
      </c>
      <c r="D623" t="s">
        <v>474</v>
      </c>
      <c r="E623" s="114" t="s">
        <v>441</v>
      </c>
      <c r="F623" s="116" t="e">
        <f>F619*F620*F621</f>
        <v>#DIV/0!</v>
      </c>
      <c r="H623" s="12" t="s">
        <v>466</v>
      </c>
      <c r="I623" s="12" t="s">
        <v>467</v>
      </c>
      <c r="J623" s="12" t="b">
        <f t="shared" si="61"/>
        <v>1</v>
      </c>
    </row>
    <row r="624" spans="1:10" x14ac:dyDescent="0.25">
      <c r="A624" s="12" t="str">
        <f t="shared" si="60"/>
        <v>Residential_Building Shell_Attic Kneewall Insulation #2 (Electric Heat)_FLH_cooling</v>
      </c>
      <c r="B624" t="s">
        <v>162</v>
      </c>
      <c r="C624" t="s">
        <v>167</v>
      </c>
      <c r="D624" t="s">
        <v>474</v>
      </c>
      <c r="E624" s="102" t="s">
        <v>442</v>
      </c>
      <c r="F624" s="105" t="e">
        <f>INDEX('CZ Inputs'!G:G,MATCH(A624&amp;"_"&amp;Dashboard_EE!$K$3,'CZ Inputs'!A:A,0))</f>
        <v>#N/A</v>
      </c>
      <c r="G624" s="12" t="s">
        <v>422</v>
      </c>
      <c r="H624" s="12" t="s">
        <v>466</v>
      </c>
      <c r="I624" s="12" t="s">
        <v>467</v>
      </c>
      <c r="J624" s="12" t="b">
        <f t="shared" si="61"/>
        <v>1</v>
      </c>
    </row>
    <row r="625" spans="1:10" x14ac:dyDescent="0.25">
      <c r="A625" s="12" t="str">
        <f t="shared" si="60"/>
        <v>Residential_Building Shell_Attic Kneewall Insulation #2 (Electric Heat)_CF</v>
      </c>
      <c r="B625" t="s">
        <v>162</v>
      </c>
      <c r="C625" t="s">
        <v>167</v>
      </c>
      <c r="D625" t="s">
        <v>474</v>
      </c>
      <c r="E625" s="102" t="s">
        <v>277</v>
      </c>
      <c r="F625" s="105">
        <v>0.68</v>
      </c>
      <c r="G625" s="12" t="s">
        <v>319</v>
      </c>
      <c r="H625" s="12" t="s">
        <v>466</v>
      </c>
      <c r="I625" s="12" t="s">
        <v>467</v>
      </c>
      <c r="J625" s="12" t="b">
        <f t="shared" si="61"/>
        <v>0</v>
      </c>
    </row>
    <row r="626" spans="1:10" x14ac:dyDescent="0.25">
      <c r="A626" s="12" t="str">
        <f t="shared" si="60"/>
        <v>Residential_Building Shell_Attic Kneewall Insulation #2 (Electric Heat)_Delta_kW</v>
      </c>
      <c r="B626" t="s">
        <v>162</v>
      </c>
      <c r="C626" t="s">
        <v>167</v>
      </c>
      <c r="D626" t="s">
        <v>474</v>
      </c>
      <c r="E626" s="114" t="s">
        <v>279</v>
      </c>
      <c r="F626" s="116" t="e">
        <f>(F603/F624)*F625</f>
        <v>#DIV/0!</v>
      </c>
      <c r="H626" s="12" t="s">
        <v>466</v>
      </c>
      <c r="I626" s="12" t="s">
        <v>467</v>
      </c>
      <c r="J626" s="12" t="b">
        <f t="shared" si="61"/>
        <v>1</v>
      </c>
    </row>
    <row r="627" spans="1:10" x14ac:dyDescent="0.25">
      <c r="A627" s="12" t="str">
        <f t="shared" si="60"/>
        <v>Residential_Building Shell_Attic Kneewall Insulation #2 (Electric Heat)_Delta_kW_Mid-Life_Adj</v>
      </c>
      <c r="B627" t="s">
        <v>162</v>
      </c>
      <c r="C627" t="s">
        <v>167</v>
      </c>
      <c r="D627" t="s">
        <v>474</v>
      </c>
      <c r="E627" s="114" t="s">
        <v>443</v>
      </c>
      <c r="F627" s="116" t="e">
        <f>(F604/F624)*F625</f>
        <v>#DIV/0!</v>
      </c>
      <c r="H627" s="12" t="s">
        <v>466</v>
      </c>
      <c r="I627" s="12" t="s">
        <v>467</v>
      </c>
      <c r="J627" s="12" t="b">
        <f t="shared" si="61"/>
        <v>1</v>
      </c>
    </row>
    <row r="628" spans="1:10" x14ac:dyDescent="0.25">
      <c r="A628" s="12" t="str">
        <f t="shared" si="60"/>
        <v>Residential_Building Shell_Attic Kneewall Insulation #2 (Electric Heat)_R_old</v>
      </c>
      <c r="B628" t="s">
        <v>162</v>
      </c>
      <c r="C628" t="s">
        <v>167</v>
      </c>
      <c r="D628" t="s">
        <v>474</v>
      </c>
      <c r="E628" s="114" t="s">
        <v>453</v>
      </c>
      <c r="F628" s="116">
        <f>Dashboard_FS!$O$18</f>
        <v>0</v>
      </c>
      <c r="G628" s="12" t="s">
        <v>240</v>
      </c>
      <c r="H628" s="12" t="s">
        <v>466</v>
      </c>
      <c r="I628" s="12" t="s">
        <v>467</v>
      </c>
      <c r="J628" s="12" t="b">
        <f t="shared" si="61"/>
        <v>1</v>
      </c>
    </row>
    <row r="629" spans="1:10" x14ac:dyDescent="0.25">
      <c r="A629" s="12" t="str">
        <f t="shared" si="60"/>
        <v>Residential_Building Shell_Attic Kneewall Insulation #2 (Electric Heat)_R_wall</v>
      </c>
      <c r="B629" t="s">
        <v>162</v>
      </c>
      <c r="C629" t="s">
        <v>167</v>
      </c>
      <c r="D629" t="s">
        <v>474</v>
      </c>
      <c r="E629" s="114" t="s">
        <v>468</v>
      </c>
      <c r="F629" s="116">
        <f>Dashboard_FS!$P$18</f>
        <v>0</v>
      </c>
      <c r="G629" s="12" t="s">
        <v>240</v>
      </c>
      <c r="H629" s="12" t="s">
        <v>466</v>
      </c>
      <c r="I629" s="12" t="s">
        <v>467</v>
      </c>
      <c r="J629" s="12" t="b">
        <f t="shared" si="61"/>
        <v>1</v>
      </c>
    </row>
    <row r="630" spans="1:10" x14ac:dyDescent="0.25">
      <c r="A630" s="12" t="str">
        <f t="shared" si="60"/>
        <v>Residential_Building Shell_Attic Kneewall Insulation #2 (Electric Heat)_A_wall</v>
      </c>
      <c r="B630" t="s">
        <v>162</v>
      </c>
      <c r="C630" t="s">
        <v>167</v>
      </c>
      <c r="D630" t="s">
        <v>474</v>
      </c>
      <c r="E630" s="114" t="s">
        <v>469</v>
      </c>
      <c r="F630" s="116">
        <f>Dashboard_FS!$O$7</f>
        <v>0</v>
      </c>
      <c r="G630" s="12" t="s">
        <v>240</v>
      </c>
      <c r="H630" s="12" t="s">
        <v>466</v>
      </c>
      <c r="I630" s="12" t="s">
        <v>467</v>
      </c>
      <c r="J630" s="12" t="b">
        <f t="shared" si="61"/>
        <v>1</v>
      </c>
    </row>
    <row r="631" spans="1:10" x14ac:dyDescent="0.25">
      <c r="A631" s="12" t="str">
        <f t="shared" si="60"/>
        <v>Residential_Building Shell_Attic Kneewall Insulation #2 (Electric Heat)_Framing_factor_wall</v>
      </c>
      <c r="B631" t="s">
        <v>162</v>
      </c>
      <c r="C631" t="s">
        <v>167</v>
      </c>
      <c r="D631" t="s">
        <v>474</v>
      </c>
      <c r="E631" s="102" t="s">
        <v>470</v>
      </c>
      <c r="F631" s="105">
        <v>0.25</v>
      </c>
      <c r="H631" s="12" t="s">
        <v>466</v>
      </c>
      <c r="I631" s="12" t="s">
        <v>467</v>
      </c>
      <c r="J631" s="12" t="b">
        <f t="shared" si="61"/>
        <v>0</v>
      </c>
    </row>
    <row r="632" spans="1:10" x14ac:dyDescent="0.25">
      <c r="A632" s="12" t="str">
        <f t="shared" ref="A632:A695" si="62">B632&amp;"_"&amp;C632&amp;"_"&amp;D632&amp;"_"&amp;E632</f>
        <v>Residential_Building Shell_Attic Kneewall Insulation #2 (Electric Heat)_24</v>
      </c>
      <c r="B632" t="s">
        <v>162</v>
      </c>
      <c r="C632" t="s">
        <v>167</v>
      </c>
      <c r="D632" t="s">
        <v>474</v>
      </c>
      <c r="E632" s="102">
        <v>24</v>
      </c>
      <c r="F632" s="105">
        <v>24</v>
      </c>
      <c r="H632" s="12" t="s">
        <v>466</v>
      </c>
      <c r="I632" s="12" t="s">
        <v>467</v>
      </c>
      <c r="J632" s="12" t="b">
        <f t="shared" si="61"/>
        <v>0</v>
      </c>
    </row>
    <row r="633" spans="1:10" x14ac:dyDescent="0.25">
      <c r="A633" s="12" t="str">
        <f t="shared" si="62"/>
        <v>Residential_Building Shell_Attic Kneewall Insulation #2 (Electric Heat)_HDD</v>
      </c>
      <c r="B633" t="s">
        <v>162</v>
      </c>
      <c r="C633" t="s">
        <v>167</v>
      </c>
      <c r="D633" t="s">
        <v>474</v>
      </c>
      <c r="E633" s="102" t="s">
        <v>433</v>
      </c>
      <c r="F633" s="105" t="e">
        <f>INDEX('CZ Inputs'!G:G,MATCH(A633&amp;"_"&amp;Dashboard_EE!$K$3,'CZ Inputs'!A:A,0))</f>
        <v>#N/A</v>
      </c>
      <c r="G633" s="12" t="s">
        <v>422</v>
      </c>
      <c r="H633" s="12" t="s">
        <v>466</v>
      </c>
      <c r="I633" s="12" t="s">
        <v>467</v>
      </c>
      <c r="J633" s="12" t="b">
        <f t="shared" si="61"/>
        <v>1</v>
      </c>
    </row>
    <row r="634" spans="1:10" x14ac:dyDescent="0.25">
      <c r="A634" s="12" t="str">
        <f t="shared" si="62"/>
        <v>Residential_Building Shell_Attic Kneewall Insulation #2 (Electric Heat)_ηHeat</v>
      </c>
      <c r="B634" t="s">
        <v>162</v>
      </c>
      <c r="C634" t="s">
        <v>167</v>
      </c>
      <c r="D634" t="s">
        <v>474</v>
      </c>
      <c r="E634" s="114" t="s">
        <v>434</v>
      </c>
      <c r="F634" s="116">
        <f>Dashboard_FS!$K$8</f>
        <v>0</v>
      </c>
      <c r="G634" s="12" t="s">
        <v>240</v>
      </c>
      <c r="H634" s="12" t="s">
        <v>466</v>
      </c>
      <c r="I634" s="12" t="s">
        <v>467</v>
      </c>
      <c r="J634" s="12" t="b">
        <f t="shared" si="61"/>
        <v>1</v>
      </c>
    </row>
    <row r="635" spans="1:10" x14ac:dyDescent="0.25">
      <c r="A635" s="12" t="str">
        <f t="shared" si="62"/>
        <v>Residential_Building Shell_Attic Kneewall Insulation #2 (Electric Heat)_ηHeat_Mid-Life_Adj</v>
      </c>
      <c r="B635" t="s">
        <v>162</v>
      </c>
      <c r="C635" t="s">
        <v>167</v>
      </c>
      <c r="D635" t="s">
        <v>474</v>
      </c>
      <c r="E635" s="114" t="s">
        <v>435</v>
      </c>
      <c r="F635" s="116">
        <f>Dashboard_FS!$K$8</f>
        <v>0</v>
      </c>
      <c r="G635" s="12" t="s">
        <v>240</v>
      </c>
      <c r="H635" s="12" t="s">
        <v>466</v>
      </c>
      <c r="I635" s="12" t="s">
        <v>467</v>
      </c>
      <c r="J635" s="12" t="b">
        <f t="shared" si="61"/>
        <v>1</v>
      </c>
    </row>
    <row r="636" spans="1:10" x14ac:dyDescent="0.25">
      <c r="A636" s="12" t="str">
        <f t="shared" si="62"/>
        <v>Residential_Building Shell_Attic Kneewall Insulation #2 (Electric Heat)_100000</v>
      </c>
      <c r="B636" t="s">
        <v>162</v>
      </c>
      <c r="C636" t="s">
        <v>167</v>
      </c>
      <c r="D636" t="s">
        <v>474</v>
      </c>
      <c r="E636" s="102">
        <v>100000</v>
      </c>
      <c r="F636" s="105">
        <v>100000</v>
      </c>
      <c r="H636" s="12" t="s">
        <v>466</v>
      </c>
      <c r="I636" s="12" t="s">
        <v>467</v>
      </c>
      <c r="J636" s="12" t="b">
        <f t="shared" si="61"/>
        <v>0</v>
      </c>
    </row>
    <row r="637" spans="1:10" x14ac:dyDescent="0.25">
      <c r="A637" s="12" t="str">
        <f t="shared" si="62"/>
        <v>Residential_Building Shell_Attic Kneewall Insulation #2 (Electric Heat)_ADJWallHeat</v>
      </c>
      <c r="B637" t="s">
        <v>162</v>
      </c>
      <c r="C637" t="s">
        <v>167</v>
      </c>
      <c r="D637" t="s">
        <v>474</v>
      </c>
      <c r="E637" s="102" t="s">
        <v>472</v>
      </c>
      <c r="F637" s="105">
        <v>0.63</v>
      </c>
      <c r="H637" s="12" t="s">
        <v>466</v>
      </c>
      <c r="I637" s="12" t="s">
        <v>467</v>
      </c>
      <c r="J637" s="12" t="b">
        <f t="shared" si="61"/>
        <v>0</v>
      </c>
    </row>
    <row r="638" spans="1:10" x14ac:dyDescent="0.25">
      <c r="A638" s="12" t="str">
        <f t="shared" si="62"/>
        <v>Residential_Building Shell_Attic Kneewall Insulation #2 (Electric Heat)_%GasHeat</v>
      </c>
      <c r="B638" t="s">
        <v>162</v>
      </c>
      <c r="C638" t="s">
        <v>167</v>
      </c>
      <c r="D638" t="s">
        <v>474</v>
      </c>
      <c r="E638" s="102" t="s">
        <v>463</v>
      </c>
      <c r="F638" s="105">
        <v>0</v>
      </c>
      <c r="G638" s="12" t="s">
        <v>436</v>
      </c>
      <c r="H638" s="12" t="s">
        <v>466</v>
      </c>
      <c r="I638" s="12" t="s">
        <v>467</v>
      </c>
      <c r="J638" s="12" t="b">
        <f t="shared" si="61"/>
        <v>0</v>
      </c>
    </row>
    <row r="639" spans="1:10" x14ac:dyDescent="0.25">
      <c r="A639" s="12" t="str">
        <f t="shared" si="62"/>
        <v>Residential_Building Shell_Attic Kneewall Insulation #2 (Electric Heat)_Delta_Therms</v>
      </c>
      <c r="B639" t="s">
        <v>162</v>
      </c>
      <c r="C639" t="s">
        <v>167</v>
      </c>
      <c r="D639" t="s">
        <v>474</v>
      </c>
      <c r="E639" s="114" t="s">
        <v>354</v>
      </c>
      <c r="F639" s="116" t="e">
        <f xml:space="preserve"> (((1/ F628 - 1/ F629) * F630 * (1 - F631) * F632 * F633) / (F634 * F636)) * F637 * F638</f>
        <v>#DIV/0!</v>
      </c>
      <c r="H639" s="12" t="s">
        <v>466</v>
      </c>
      <c r="I639" s="12" t="s">
        <v>467</v>
      </c>
      <c r="J639" s="12" t="b">
        <f t="shared" si="61"/>
        <v>1</v>
      </c>
    </row>
    <row r="640" spans="1:10" x14ac:dyDescent="0.25">
      <c r="A640" s="12" t="str">
        <f t="shared" si="62"/>
        <v>Residential_Building Shell_Attic Kneewall Insulation #2 (Electric Heat)_Delta_Therms_Mid-Life_Adj</v>
      </c>
      <c r="B640" t="s">
        <v>162</v>
      </c>
      <c r="C640" t="s">
        <v>167</v>
      </c>
      <c r="D640" t="s">
        <v>474</v>
      </c>
      <c r="E640" s="114" t="s">
        <v>473</v>
      </c>
      <c r="F640" s="116" t="e">
        <f xml:space="preserve"> (((1/ F628 - 1/ F629) * F630 * (1 - F631) * F632 * F633) / (F635 * F636)) * F637 * F638</f>
        <v>#DIV/0!</v>
      </c>
      <c r="H640" s="12" t="s">
        <v>466</v>
      </c>
      <c r="I640" s="12" t="s">
        <v>467</v>
      </c>
      <c r="J640" s="12" t="b">
        <f t="shared" si="61"/>
        <v>1</v>
      </c>
    </row>
    <row r="641" spans="1:10" x14ac:dyDescent="0.25">
      <c r="A641" s="12" t="str">
        <f t="shared" si="62"/>
        <v>Residential_Building Shell_Attic Kneewall Insulation #2 (Electric Heat)_Remaining Year kWh</v>
      </c>
      <c r="B641" t="s">
        <v>162</v>
      </c>
      <c r="C641" t="s">
        <v>167</v>
      </c>
      <c r="D641" t="s">
        <v>474</v>
      </c>
      <c r="E641" s="111" t="s">
        <v>447</v>
      </c>
      <c r="F641" s="101" t="e">
        <f>F603+F616+F622</f>
        <v>#DIV/0!</v>
      </c>
      <c r="H641" s="12" t="s">
        <v>466</v>
      </c>
      <c r="I641" s="12" t="s">
        <v>467</v>
      </c>
      <c r="J641" s="12" t="b">
        <f t="shared" si="61"/>
        <v>1</v>
      </c>
    </row>
    <row r="642" spans="1:10" x14ac:dyDescent="0.25">
      <c r="A642" s="12" t="str">
        <f t="shared" si="62"/>
        <v>Residential_Building Shell_Attic Kneewall Insulation #2 (Electric Heat)_kWh Saved per Unit</v>
      </c>
      <c r="B642" t="s">
        <v>162</v>
      </c>
      <c r="C642" t="s">
        <v>167</v>
      </c>
      <c r="D642" t="s">
        <v>474</v>
      </c>
      <c r="E642" s="111" t="s">
        <v>280</v>
      </c>
      <c r="F642" s="101" t="e">
        <f>F604+F617+F623</f>
        <v>#DIV/0!</v>
      </c>
      <c r="H642" s="12" t="s">
        <v>466</v>
      </c>
      <c r="I642" s="12" t="s">
        <v>467</v>
      </c>
      <c r="J642" s="12" t="b">
        <f t="shared" si="61"/>
        <v>1</v>
      </c>
    </row>
    <row r="643" spans="1:10" x14ac:dyDescent="0.25">
      <c r="A643" s="12" t="str">
        <f t="shared" si="62"/>
        <v>Residential_Building Shell_Attic Kneewall Insulation #2 (Electric Heat)_Remaining Year kW</v>
      </c>
      <c r="B643" t="s">
        <v>162</v>
      </c>
      <c r="C643" t="s">
        <v>167</v>
      </c>
      <c r="D643" t="s">
        <v>474</v>
      </c>
      <c r="E643" s="111" t="s">
        <v>448</v>
      </c>
      <c r="F643" s="101" t="e">
        <f>F626</f>
        <v>#DIV/0!</v>
      </c>
      <c r="H643" s="12" t="s">
        <v>466</v>
      </c>
      <c r="I643" s="12" t="s">
        <v>467</v>
      </c>
      <c r="J643" s="12" t="b">
        <f t="shared" si="61"/>
        <v>1</v>
      </c>
    </row>
    <row r="644" spans="1:10" x14ac:dyDescent="0.25">
      <c r="A644" s="12" t="str">
        <f t="shared" si="62"/>
        <v>Residential_Building Shell_Attic Kneewall Insulation #2 (Electric Heat)_Coincident Peak kW Saved per Unit</v>
      </c>
      <c r="B644" t="s">
        <v>162</v>
      </c>
      <c r="C644" t="s">
        <v>167</v>
      </c>
      <c r="D644" t="s">
        <v>474</v>
      </c>
      <c r="E644" s="111" t="s">
        <v>281</v>
      </c>
      <c r="F644" s="101" t="e">
        <f>F627</f>
        <v>#DIV/0!</v>
      </c>
      <c r="H644" s="12" t="s">
        <v>466</v>
      </c>
      <c r="I644" s="12" t="s">
        <v>467</v>
      </c>
      <c r="J644" s="12" t="b">
        <f t="shared" si="61"/>
        <v>1</v>
      </c>
    </row>
    <row r="645" spans="1:10" x14ac:dyDescent="0.25">
      <c r="A645" s="12" t="str">
        <f t="shared" si="62"/>
        <v>Residential_Building Shell_Attic Kneewall Insulation #2 (Electric Heat)_Remaining Year Therms</v>
      </c>
      <c r="B645" t="s">
        <v>162</v>
      </c>
      <c r="C645" t="s">
        <v>167</v>
      </c>
      <c r="D645" t="s">
        <v>474</v>
      </c>
      <c r="E645" s="111" t="s">
        <v>449</v>
      </c>
      <c r="F645" s="101" t="e">
        <f>F639</f>
        <v>#DIV/0!</v>
      </c>
      <c r="H645" s="12" t="s">
        <v>466</v>
      </c>
      <c r="I645" s="12" t="s">
        <v>467</v>
      </c>
      <c r="J645" s="12" t="b">
        <f t="shared" si="61"/>
        <v>1</v>
      </c>
    </row>
    <row r="646" spans="1:10" x14ac:dyDescent="0.25">
      <c r="A646" s="12" t="str">
        <f t="shared" si="62"/>
        <v>Residential_Building Shell_Attic Kneewall Insulation #2 (Electric Heat)_Therms Saved per Unit</v>
      </c>
      <c r="B646" t="s">
        <v>162</v>
      </c>
      <c r="C646" t="s">
        <v>167</v>
      </c>
      <c r="D646" t="s">
        <v>474</v>
      </c>
      <c r="E646" s="111" t="s">
        <v>376</v>
      </c>
      <c r="F646" s="101" t="e">
        <f>F640</f>
        <v>#DIV/0!</v>
      </c>
      <c r="H646" s="12" t="s">
        <v>466</v>
      </c>
      <c r="I646" s="12" t="s">
        <v>467</v>
      </c>
      <c r="J646" s="12" t="b">
        <f t="shared" si="61"/>
        <v>1</v>
      </c>
    </row>
    <row r="647" spans="1:10" x14ac:dyDescent="0.25">
      <c r="A647" s="12" t="str">
        <f t="shared" si="62"/>
        <v>Residential_Building Shell_Attic Kneewall Insulation #2 (Electric Heat)_Remaining Life</v>
      </c>
      <c r="B647" t="s">
        <v>162</v>
      </c>
      <c r="C647" t="s">
        <v>167</v>
      </c>
      <c r="D647" t="s">
        <v>474</v>
      </c>
      <c r="E647" s="111" t="s">
        <v>450</v>
      </c>
      <c r="F647" s="101">
        <v>10</v>
      </c>
      <c r="H647" s="12" t="s">
        <v>466</v>
      </c>
      <c r="I647" s="12" t="s">
        <v>467</v>
      </c>
      <c r="J647" s="12" t="b">
        <f t="shared" si="61"/>
        <v>0</v>
      </c>
    </row>
    <row r="648" spans="1:10" x14ac:dyDescent="0.25">
      <c r="A648" s="12" t="str">
        <f t="shared" si="62"/>
        <v>Residential_Building Shell_Attic Kneewall Insulation #2 (Electric Heat)_Lifetime (years)</v>
      </c>
      <c r="B648" t="s">
        <v>162</v>
      </c>
      <c r="C648" t="s">
        <v>167</v>
      </c>
      <c r="D648" t="s">
        <v>474</v>
      </c>
      <c r="E648" s="111" t="s">
        <v>284</v>
      </c>
      <c r="F648" s="101">
        <v>30</v>
      </c>
      <c r="H648" s="12" t="s">
        <v>466</v>
      </c>
      <c r="I648" s="12" t="s">
        <v>467</v>
      </c>
      <c r="J648" s="12" t="b">
        <f t="shared" si="61"/>
        <v>0</v>
      </c>
    </row>
    <row r="649" spans="1:10" x14ac:dyDescent="0.25">
      <c r="A649" s="12" t="str">
        <f t="shared" si="62"/>
        <v>Residential_Building Shell_Attic Kneewall Insulation #2 (Electric Heat)_Incremental Cost</v>
      </c>
      <c r="B649" t="s">
        <v>162</v>
      </c>
      <c r="C649" t="s">
        <v>167</v>
      </c>
      <c r="D649" t="s">
        <v>474</v>
      </c>
      <c r="E649" s="111" t="s">
        <v>285</v>
      </c>
      <c r="F649" s="100">
        <f>0.9*F593</f>
        <v>0</v>
      </c>
      <c r="G649" s="12" t="s">
        <v>451</v>
      </c>
      <c r="H649" s="12" t="s">
        <v>466</v>
      </c>
      <c r="I649" s="12" t="s">
        <v>467</v>
      </c>
      <c r="J649" s="12" t="b">
        <f t="shared" si="61"/>
        <v>1</v>
      </c>
    </row>
    <row r="650" spans="1:10" x14ac:dyDescent="0.25">
      <c r="A650" s="12" t="str">
        <f t="shared" si="62"/>
        <v>Residential_Building Shell_Attic Kneewall Insulation #2 (Electric Heat)_BTU Impact_Existing_Fossil Fuel</v>
      </c>
      <c r="B650" t="s">
        <v>162</v>
      </c>
      <c r="C650" t="s">
        <v>167</v>
      </c>
      <c r="D650" t="s">
        <v>474</v>
      </c>
      <c r="E650" s="111" t="s">
        <v>287</v>
      </c>
      <c r="F650" s="99">
        <v>0</v>
      </c>
      <c r="H650" s="12" t="s">
        <v>466</v>
      </c>
      <c r="I650" s="12" t="s">
        <v>467</v>
      </c>
      <c r="J650" s="12" t="b">
        <f t="shared" si="61"/>
        <v>0</v>
      </c>
    </row>
    <row r="651" spans="1:10" x14ac:dyDescent="0.25">
      <c r="A651" s="12" t="str">
        <f t="shared" si="62"/>
        <v>Residential_Building Shell_Attic Kneewall Insulation #2 (Electric Heat)_BTU Impact_Existing_Winter Electricity</v>
      </c>
      <c r="B651" t="s">
        <v>162</v>
      </c>
      <c r="C651" t="s">
        <v>167</v>
      </c>
      <c r="D651" t="s">
        <v>474</v>
      </c>
      <c r="E651" s="111" t="s">
        <v>288</v>
      </c>
      <c r="F651" s="99">
        <v>0</v>
      </c>
      <c r="H651" s="12" t="s">
        <v>466</v>
      </c>
      <c r="I651" s="12" t="s">
        <v>467</v>
      </c>
      <c r="J651" s="12" t="b">
        <f t="shared" si="61"/>
        <v>0</v>
      </c>
    </row>
    <row r="652" spans="1:10" x14ac:dyDescent="0.25">
      <c r="A652" s="12" t="str">
        <f t="shared" si="62"/>
        <v>Residential_Building Shell_Attic Kneewall Insulation #2 (Electric Heat)_BTU Impact_Existing_Summer Electricity</v>
      </c>
      <c r="B652" t="s">
        <v>162</v>
      </c>
      <c r="C652" t="s">
        <v>167</v>
      </c>
      <c r="D652" t="s">
        <v>474</v>
      </c>
      <c r="E652" s="111" t="s">
        <v>289</v>
      </c>
      <c r="F652" s="99">
        <v>0</v>
      </c>
      <c r="H652" s="12" t="s">
        <v>466</v>
      </c>
      <c r="I652" s="12" t="s">
        <v>467</v>
      </c>
      <c r="J652" s="12" t="b">
        <f t="shared" si="61"/>
        <v>0</v>
      </c>
    </row>
    <row r="653" spans="1:10" x14ac:dyDescent="0.25">
      <c r="A653" s="12" t="str">
        <f t="shared" si="62"/>
        <v>Residential_Building Shell_Attic Kneewall Insulation #2 (Electric Heat)_BTU Impact_New_Fossil Fuel</v>
      </c>
      <c r="B653" t="s">
        <v>162</v>
      </c>
      <c r="C653" t="s">
        <v>167</v>
      </c>
      <c r="D653" t="s">
        <v>474</v>
      </c>
      <c r="E653" s="111" t="s">
        <v>290</v>
      </c>
      <c r="F653" s="99">
        <v>0</v>
      </c>
      <c r="H653" s="12" t="s">
        <v>466</v>
      </c>
      <c r="I653" s="12" t="s">
        <v>467</v>
      </c>
      <c r="J653" s="12" t="b">
        <f t="shared" si="61"/>
        <v>0</v>
      </c>
    </row>
    <row r="654" spans="1:10" x14ac:dyDescent="0.25">
      <c r="A654" s="12" t="str">
        <f t="shared" si="62"/>
        <v>Residential_Building Shell_Attic Kneewall Insulation #2 (Electric Heat)_BTU Impact_New_Winter Electricity</v>
      </c>
      <c r="B654" t="s">
        <v>162</v>
      </c>
      <c r="C654" t="s">
        <v>167</v>
      </c>
      <c r="D654" t="s">
        <v>474</v>
      </c>
      <c r="E654" s="111" t="s">
        <v>291</v>
      </c>
      <c r="F654" s="99" t="e">
        <f>-F616*3412</f>
        <v>#DIV/0!</v>
      </c>
      <c r="H654" s="12" t="s">
        <v>466</v>
      </c>
      <c r="I654" s="12" t="s">
        <v>467</v>
      </c>
      <c r="J654" s="12" t="b">
        <f t="shared" si="61"/>
        <v>1</v>
      </c>
    </row>
    <row r="655" spans="1:10" x14ac:dyDescent="0.25">
      <c r="A655" s="12" t="str">
        <f t="shared" si="62"/>
        <v>Residential_Building Shell_Attic Kneewall Insulation #2 (Electric Heat)_BTU Impact_New_Summer Electricity</v>
      </c>
      <c r="B655" t="s">
        <v>162</v>
      </c>
      <c r="C655" t="s">
        <v>167</v>
      </c>
      <c r="D655" t="s">
        <v>474</v>
      </c>
      <c r="E655" s="111" t="s">
        <v>292</v>
      </c>
      <c r="F655" s="99" t="e">
        <f>-F603*3412</f>
        <v>#DIV/0!</v>
      </c>
      <c r="H655" s="12" t="s">
        <v>466</v>
      </c>
      <c r="I655" s="12" t="s">
        <v>467</v>
      </c>
      <c r="J655" s="12" t="b">
        <f t="shared" si="61"/>
        <v>1</v>
      </c>
    </row>
    <row r="656" spans="1:10" x14ac:dyDescent="0.25">
      <c r="A656" s="12" t="str">
        <f t="shared" si="62"/>
        <v>Residential_Building Shell_Attic Kneewall Insulation #2 (Electric Heat)_</v>
      </c>
      <c r="B656" t="s">
        <v>162</v>
      </c>
      <c r="C656" t="s">
        <v>167</v>
      </c>
      <c r="D656" t="s">
        <v>474</v>
      </c>
      <c r="H656" s="12" t="s">
        <v>466</v>
      </c>
      <c r="I656" s="12" t="s">
        <v>467</v>
      </c>
      <c r="J656" s="12" t="b">
        <f t="shared" si="61"/>
        <v>0</v>
      </c>
    </row>
    <row r="657" spans="1:10" x14ac:dyDescent="0.25">
      <c r="A657" s="12" t="str">
        <f t="shared" si="62"/>
        <v>Residential_Building Shell_Wall Insulation (Electric Heat)_R_old</v>
      </c>
      <c r="B657" t="s">
        <v>162</v>
      </c>
      <c r="C657" t="s">
        <v>167</v>
      </c>
      <c r="D657" t="s">
        <v>475</v>
      </c>
      <c r="E657" s="102" t="s">
        <v>453</v>
      </c>
      <c r="F657" s="105">
        <f>Dashboard_FS!$O$19</f>
        <v>1</v>
      </c>
      <c r="G657" s="12" t="s">
        <v>476</v>
      </c>
      <c r="H657" s="12" t="s">
        <v>466</v>
      </c>
      <c r="I657" s="12" t="s">
        <v>467</v>
      </c>
      <c r="J657" s="12" t="b">
        <f t="shared" si="54"/>
        <v>1</v>
      </c>
    </row>
    <row r="658" spans="1:10" x14ac:dyDescent="0.25">
      <c r="A658" s="12" t="str">
        <f t="shared" si="62"/>
        <v>Residential_Building Shell_Wall Insulation (Electric Heat)_R_wall</v>
      </c>
      <c r="B658" t="s">
        <v>162</v>
      </c>
      <c r="C658" t="s">
        <v>167</v>
      </c>
      <c r="D658" t="s">
        <v>475</v>
      </c>
      <c r="E658" s="102" t="s">
        <v>468</v>
      </c>
      <c r="F658" s="105">
        <f>Dashboard_FS!$P$19</f>
        <v>0</v>
      </c>
      <c r="H658" s="12" t="s">
        <v>466</v>
      </c>
      <c r="I658" s="12" t="s">
        <v>467</v>
      </c>
      <c r="J658" s="12" t="b">
        <f t="shared" si="54"/>
        <v>1</v>
      </c>
    </row>
    <row r="659" spans="1:10" x14ac:dyDescent="0.25">
      <c r="A659" s="12" t="str">
        <f t="shared" si="62"/>
        <v>Residential_Building Shell_Wall Insulation (Electric Heat)_A_wall</v>
      </c>
      <c r="B659" t="s">
        <v>162</v>
      </c>
      <c r="C659" t="s">
        <v>167</v>
      </c>
      <c r="D659" t="s">
        <v>475</v>
      </c>
      <c r="E659" s="114" t="s">
        <v>469</v>
      </c>
      <c r="F659" s="116">
        <f>Dashboard_FS!$O$8</f>
        <v>0</v>
      </c>
      <c r="G659" s="12" t="s">
        <v>414</v>
      </c>
      <c r="H659" s="12" t="s">
        <v>466</v>
      </c>
      <c r="I659" s="12" t="s">
        <v>467</v>
      </c>
      <c r="J659" s="12" t="b">
        <f t="shared" si="54"/>
        <v>1</v>
      </c>
    </row>
    <row r="660" spans="1:10" x14ac:dyDescent="0.25">
      <c r="A660" s="12" t="str">
        <f t="shared" si="62"/>
        <v>Residential_Building Shell_Wall Insulation (Electric Heat)_Framing_factor_wall</v>
      </c>
      <c r="B660" t="s">
        <v>162</v>
      </c>
      <c r="C660" t="s">
        <v>167</v>
      </c>
      <c r="D660" t="s">
        <v>475</v>
      </c>
      <c r="E660" s="102" t="s">
        <v>470</v>
      </c>
      <c r="F660" s="105">
        <v>0.25</v>
      </c>
      <c r="H660" s="12" t="s">
        <v>466</v>
      </c>
      <c r="I660" s="12" t="s">
        <v>467</v>
      </c>
      <c r="J660" s="12" t="b">
        <f t="shared" si="54"/>
        <v>0</v>
      </c>
    </row>
    <row r="661" spans="1:10" x14ac:dyDescent="0.25">
      <c r="A661" s="12" t="str">
        <f t="shared" si="62"/>
        <v>Residential_Building Shell_Wall Insulation (Electric Heat)_24</v>
      </c>
      <c r="B661" t="s">
        <v>162</v>
      </c>
      <c r="C661" t="s">
        <v>167</v>
      </c>
      <c r="D661" t="s">
        <v>475</v>
      </c>
      <c r="E661" s="102">
        <v>24</v>
      </c>
      <c r="F661" s="105">
        <v>24</v>
      </c>
      <c r="H661" s="12" t="s">
        <v>466</v>
      </c>
      <c r="I661" s="12" t="s">
        <v>467</v>
      </c>
      <c r="J661" s="12" t="b">
        <f t="shared" si="54"/>
        <v>0</v>
      </c>
    </row>
    <row r="662" spans="1:10" x14ac:dyDescent="0.25">
      <c r="A662" s="12" t="str">
        <f t="shared" si="62"/>
        <v>Residential_Building Shell_Wall Insulation (Electric Heat)_CDD</v>
      </c>
      <c r="B662" t="s">
        <v>162</v>
      </c>
      <c r="C662" t="s">
        <v>167</v>
      </c>
      <c r="D662" t="s">
        <v>475</v>
      </c>
      <c r="E662" s="102" t="s">
        <v>421</v>
      </c>
      <c r="F662" s="105" t="e">
        <f>INDEX('CZ Inputs'!G:G,MATCH(A662&amp;"_"&amp;Dashboard_EE!$K$3,'CZ Inputs'!A:A,0))</f>
        <v>#N/A</v>
      </c>
      <c r="G662" s="12" t="s">
        <v>422</v>
      </c>
      <c r="H662" s="12" t="s">
        <v>466</v>
      </c>
      <c r="I662" s="12" t="s">
        <v>467</v>
      </c>
      <c r="J662" s="12" t="b">
        <f t="shared" ref="J662:J731" si="63">_xlfn.ISFORMULA(F662)</f>
        <v>1</v>
      </c>
    </row>
    <row r="663" spans="1:10" x14ac:dyDescent="0.25">
      <c r="A663" s="12" t="str">
        <f t="shared" si="62"/>
        <v>Residential_Building Shell_Wall Insulation (Electric Heat)_DUA</v>
      </c>
      <c r="B663" t="s">
        <v>162</v>
      </c>
      <c r="C663" t="s">
        <v>167</v>
      </c>
      <c r="D663" t="s">
        <v>475</v>
      </c>
      <c r="E663" s="102" t="s">
        <v>423</v>
      </c>
      <c r="F663" s="105">
        <v>0.75</v>
      </c>
      <c r="H663" s="12" t="s">
        <v>466</v>
      </c>
      <c r="I663" s="12" t="s">
        <v>467</v>
      </c>
      <c r="J663" s="12" t="b">
        <f t="shared" si="63"/>
        <v>0</v>
      </c>
    </row>
    <row r="664" spans="1:10" x14ac:dyDescent="0.25">
      <c r="A664" s="12" t="str">
        <f t="shared" si="62"/>
        <v>Residential_Building Shell_Wall Insulation (Electric Heat)_1000</v>
      </c>
      <c r="B664" t="s">
        <v>162</v>
      </c>
      <c r="C664" t="s">
        <v>167</v>
      </c>
      <c r="D664" t="s">
        <v>475</v>
      </c>
      <c r="E664" s="102">
        <v>1000</v>
      </c>
      <c r="F664" s="105">
        <v>1000</v>
      </c>
      <c r="H664" s="12" t="s">
        <v>466</v>
      </c>
      <c r="I664" s="12" t="s">
        <v>467</v>
      </c>
      <c r="J664" s="12" t="b">
        <f t="shared" si="63"/>
        <v>0</v>
      </c>
    </row>
    <row r="665" spans="1:10" x14ac:dyDescent="0.25">
      <c r="A665" s="12" t="str">
        <f t="shared" si="62"/>
        <v>Residential_Building Shell_Wall Insulation (Electric Heat)_ηCool</v>
      </c>
      <c r="B665" t="s">
        <v>162</v>
      </c>
      <c r="C665" t="s">
        <v>167</v>
      </c>
      <c r="D665" t="s">
        <v>475</v>
      </c>
      <c r="E665" s="114" t="s">
        <v>424</v>
      </c>
      <c r="F665" s="116">
        <f>Dashboard_FS!$K$14</f>
        <v>0</v>
      </c>
      <c r="G665" s="12" t="s">
        <v>240</v>
      </c>
      <c r="H665" s="12" t="s">
        <v>466</v>
      </c>
      <c r="I665" s="12" t="s">
        <v>467</v>
      </c>
      <c r="J665" s="12" t="b">
        <f t="shared" si="63"/>
        <v>1</v>
      </c>
    </row>
    <row r="666" spans="1:10" x14ac:dyDescent="0.25">
      <c r="A666" s="12" t="str">
        <f t="shared" si="62"/>
        <v>Residential_Building Shell_Wall Insulation (Electric Heat)_ηCool_Mid-Life_Adj</v>
      </c>
      <c r="B666" t="s">
        <v>162</v>
      </c>
      <c r="C666" t="s">
        <v>167</v>
      </c>
      <c r="D666" t="s">
        <v>475</v>
      </c>
      <c r="E666" s="114" t="s">
        <v>425</v>
      </c>
      <c r="F666" s="116">
        <f>Dashboard_FS!$K$14</f>
        <v>0</v>
      </c>
      <c r="G666" s="12" t="s">
        <v>240</v>
      </c>
      <c r="H666" s="12" t="s">
        <v>466</v>
      </c>
      <c r="I666" s="12" t="s">
        <v>467</v>
      </c>
      <c r="J666" s="12" t="b">
        <f t="shared" si="63"/>
        <v>1</v>
      </c>
    </row>
    <row r="667" spans="1:10" x14ac:dyDescent="0.25">
      <c r="A667" s="12" t="str">
        <f t="shared" si="62"/>
        <v>Residential_Building Shell_Wall Insulation (Electric Heat)_ADJWallCool</v>
      </c>
      <c r="B667" t="s">
        <v>162</v>
      </c>
      <c r="C667" t="s">
        <v>167</v>
      </c>
      <c r="D667" t="s">
        <v>475</v>
      </c>
      <c r="E667" s="102" t="s">
        <v>471</v>
      </c>
      <c r="F667" s="105">
        <v>0.75</v>
      </c>
      <c r="H667" s="12" t="s">
        <v>466</v>
      </c>
      <c r="I667" s="12" t="s">
        <v>467</v>
      </c>
      <c r="J667" s="12" t="b">
        <f t="shared" si="63"/>
        <v>0</v>
      </c>
    </row>
    <row r="668" spans="1:10" x14ac:dyDescent="0.25">
      <c r="A668" s="12" t="str">
        <f t="shared" si="62"/>
        <v>Residential_Building Shell_Wall Insulation (Electric Heat)_%Cool</v>
      </c>
      <c r="B668" t="s">
        <v>162</v>
      </c>
      <c r="C668" t="s">
        <v>167</v>
      </c>
      <c r="D668" t="s">
        <v>475</v>
      </c>
      <c r="E668" s="102" t="s">
        <v>397</v>
      </c>
      <c r="F668" s="105">
        <v>1</v>
      </c>
      <c r="H668" s="12" t="s">
        <v>466</v>
      </c>
      <c r="I668" s="12" t="s">
        <v>467</v>
      </c>
      <c r="J668" s="12" t="b">
        <f t="shared" si="63"/>
        <v>0</v>
      </c>
    </row>
    <row r="669" spans="1:10" x14ac:dyDescent="0.25">
      <c r="A669" s="12" t="str">
        <f t="shared" si="62"/>
        <v>Residential_Building Shell_Wall Insulation (Electric Heat)_Delta_kWh_cooling</v>
      </c>
      <c r="B669" t="s">
        <v>162</v>
      </c>
      <c r="C669" t="s">
        <v>167</v>
      </c>
      <c r="D669" t="s">
        <v>475</v>
      </c>
      <c r="E669" s="114" t="s">
        <v>430</v>
      </c>
      <c r="F669" s="116" t="e">
        <f xml:space="preserve"> ((((1/ F657 - 1/ F658) * F659 * (1 - F660)) * F661 * F662 * F663) / (F664 * F665)) * F667 * F668</f>
        <v>#DIV/0!</v>
      </c>
      <c r="H669" s="12" t="s">
        <v>466</v>
      </c>
      <c r="I669" s="12" t="s">
        <v>467</v>
      </c>
      <c r="J669" s="12" t="b">
        <f t="shared" si="63"/>
        <v>1</v>
      </c>
    </row>
    <row r="670" spans="1:10" x14ac:dyDescent="0.25">
      <c r="A670" s="12" t="str">
        <f t="shared" si="62"/>
        <v>Residential_Building Shell_Wall Insulation (Electric Heat)_Delta_kWh_cooling_Mid-Life_Adj</v>
      </c>
      <c r="B670" t="s">
        <v>162</v>
      </c>
      <c r="C670" t="s">
        <v>167</v>
      </c>
      <c r="D670" t="s">
        <v>475</v>
      </c>
      <c r="E670" s="114" t="s">
        <v>431</v>
      </c>
      <c r="F670" s="116" t="e">
        <f xml:space="preserve"> ((((1/ F657 - 1/ F658) * F659 * (1 - F660)) * F661 * F662 * F663) / (F664 * F666)) * F667 * F668</f>
        <v>#DIV/0!</v>
      </c>
      <c r="H670" s="12" t="s">
        <v>466</v>
      </c>
      <c r="I670" s="12" t="s">
        <v>467</v>
      </c>
      <c r="J670" s="12" t="b">
        <f t="shared" si="63"/>
        <v>1</v>
      </c>
    </row>
    <row r="671" spans="1:10" x14ac:dyDescent="0.25">
      <c r="A671" s="12" t="str">
        <f t="shared" si="62"/>
        <v>Residential_Building Shell_Wall Insulation (Electric Heat)_R_old</v>
      </c>
      <c r="B671" t="s">
        <v>162</v>
      </c>
      <c r="C671" t="s">
        <v>167</v>
      </c>
      <c r="D671" t="s">
        <v>475</v>
      </c>
      <c r="E671" s="102" t="s">
        <v>453</v>
      </c>
      <c r="F671" s="105">
        <f>Dashboard_FS!$O$19</f>
        <v>1</v>
      </c>
      <c r="G671" s="12" t="s">
        <v>476</v>
      </c>
      <c r="H671" s="12" t="s">
        <v>466</v>
      </c>
      <c r="I671" s="12" t="s">
        <v>467</v>
      </c>
      <c r="J671" s="12" t="b">
        <f t="shared" si="63"/>
        <v>1</v>
      </c>
    </row>
    <row r="672" spans="1:10" x14ac:dyDescent="0.25">
      <c r="A672" s="12" t="str">
        <f t="shared" si="62"/>
        <v>Residential_Building Shell_Wall Insulation (Electric Heat)_R_wall</v>
      </c>
      <c r="B672" t="s">
        <v>162</v>
      </c>
      <c r="C672" t="s">
        <v>167</v>
      </c>
      <c r="D672" t="s">
        <v>475</v>
      </c>
      <c r="E672" s="102" t="s">
        <v>468</v>
      </c>
      <c r="F672" s="105">
        <f>Dashboard_FS!$P$19</f>
        <v>0</v>
      </c>
      <c r="H672" s="12" t="s">
        <v>466</v>
      </c>
      <c r="I672" s="12" t="s">
        <v>467</v>
      </c>
      <c r="J672" s="12" t="b">
        <f t="shared" si="63"/>
        <v>1</v>
      </c>
    </row>
    <row r="673" spans="1:10" x14ac:dyDescent="0.25">
      <c r="A673" s="12" t="str">
        <f t="shared" si="62"/>
        <v>Residential_Building Shell_Wall Insulation (Electric Heat)_A_wall</v>
      </c>
      <c r="B673" t="s">
        <v>162</v>
      </c>
      <c r="C673" t="s">
        <v>167</v>
      </c>
      <c r="D673" t="s">
        <v>475</v>
      </c>
      <c r="E673" s="114" t="s">
        <v>469</v>
      </c>
      <c r="F673" s="116">
        <f>Dashboard_FS!$O$8</f>
        <v>0</v>
      </c>
      <c r="G673" s="12" t="s">
        <v>414</v>
      </c>
      <c r="H673" s="12" t="s">
        <v>466</v>
      </c>
      <c r="I673" s="12" t="s">
        <v>467</v>
      </c>
      <c r="J673" s="12" t="b">
        <f t="shared" si="63"/>
        <v>1</v>
      </c>
    </row>
    <row r="674" spans="1:10" x14ac:dyDescent="0.25">
      <c r="A674" s="12" t="str">
        <f t="shared" si="62"/>
        <v>Residential_Building Shell_Wall Insulation (Electric Heat)_Framing_factor_wall</v>
      </c>
      <c r="B674" t="s">
        <v>162</v>
      </c>
      <c r="C674" t="s">
        <v>167</v>
      </c>
      <c r="D674" t="s">
        <v>475</v>
      </c>
      <c r="E674" s="102" t="s">
        <v>470</v>
      </c>
      <c r="F674" s="105">
        <v>0.25</v>
      </c>
      <c r="H674" s="12" t="s">
        <v>466</v>
      </c>
      <c r="I674" s="12" t="s">
        <v>467</v>
      </c>
      <c r="J674" s="12" t="b">
        <f t="shared" si="63"/>
        <v>0</v>
      </c>
    </row>
    <row r="675" spans="1:10" x14ac:dyDescent="0.25">
      <c r="A675" s="12" t="str">
        <f t="shared" si="62"/>
        <v>Residential_Building Shell_Wall Insulation (Electric Heat)_24</v>
      </c>
      <c r="B675" t="s">
        <v>162</v>
      </c>
      <c r="C675" t="s">
        <v>167</v>
      </c>
      <c r="D675" t="s">
        <v>475</v>
      </c>
      <c r="E675" s="102">
        <v>24</v>
      </c>
      <c r="F675" s="105">
        <v>24</v>
      </c>
      <c r="H675" s="12" t="s">
        <v>466</v>
      </c>
      <c r="I675" s="12" t="s">
        <v>467</v>
      </c>
      <c r="J675" s="12" t="b">
        <f t="shared" si="63"/>
        <v>0</v>
      </c>
    </row>
    <row r="676" spans="1:10" x14ac:dyDescent="0.25">
      <c r="A676" s="12" t="str">
        <f t="shared" si="62"/>
        <v>Residential_Building Shell_Wall Insulation (Electric Heat)_HDD</v>
      </c>
      <c r="B676" t="s">
        <v>162</v>
      </c>
      <c r="C676" t="s">
        <v>167</v>
      </c>
      <c r="D676" t="s">
        <v>475</v>
      </c>
      <c r="E676" s="102" t="s">
        <v>433</v>
      </c>
      <c r="F676" s="105" t="e">
        <f>INDEX('CZ Inputs'!G:G,MATCH(A676&amp;"_"&amp;Dashboard_EE!$K$3,'CZ Inputs'!A:A,0))</f>
        <v>#N/A</v>
      </c>
      <c r="G676" s="12" t="s">
        <v>422</v>
      </c>
      <c r="H676" s="12" t="s">
        <v>466</v>
      </c>
      <c r="I676" s="12" t="s">
        <v>467</v>
      </c>
      <c r="J676" s="12" t="b">
        <f t="shared" si="63"/>
        <v>1</v>
      </c>
    </row>
    <row r="677" spans="1:10" x14ac:dyDescent="0.25">
      <c r="A677" s="12" t="str">
        <f t="shared" si="62"/>
        <v>Residential_Building Shell_Wall Insulation (Electric Heat)_ηHeat</v>
      </c>
      <c r="B677" t="s">
        <v>162</v>
      </c>
      <c r="C677" t="s">
        <v>167</v>
      </c>
      <c r="D677" t="s">
        <v>475</v>
      </c>
      <c r="E677" s="114" t="s">
        <v>434</v>
      </c>
      <c r="F677" s="116">
        <f>Dashboard_FS!$K$6</f>
        <v>0</v>
      </c>
      <c r="G677" s="12" t="s">
        <v>240</v>
      </c>
      <c r="H677" s="12" t="s">
        <v>466</v>
      </c>
      <c r="I677" s="12" t="s">
        <v>467</v>
      </c>
      <c r="J677" s="12" t="b">
        <f t="shared" si="63"/>
        <v>1</v>
      </c>
    </row>
    <row r="678" spans="1:10" x14ac:dyDescent="0.25">
      <c r="A678" s="12" t="str">
        <f t="shared" si="62"/>
        <v>Residential_Building Shell_Wall Insulation (Electric Heat)_ηHeat_Mid-Life_Adj</v>
      </c>
      <c r="B678" t="s">
        <v>162</v>
      </c>
      <c r="C678" t="s">
        <v>167</v>
      </c>
      <c r="D678" t="s">
        <v>475</v>
      </c>
      <c r="E678" s="114" t="s">
        <v>435</v>
      </c>
      <c r="F678" s="116">
        <f>Dashboard_FS!$K$6</f>
        <v>0</v>
      </c>
      <c r="G678" s="12" t="s">
        <v>240</v>
      </c>
      <c r="H678" s="12" t="s">
        <v>466</v>
      </c>
      <c r="I678" s="12" t="s">
        <v>467</v>
      </c>
      <c r="J678" s="12" t="b">
        <f t="shared" si="63"/>
        <v>1</v>
      </c>
    </row>
    <row r="679" spans="1:10" x14ac:dyDescent="0.25">
      <c r="A679" s="12" t="str">
        <f t="shared" si="62"/>
        <v>Residential_Building Shell_Wall Insulation (Electric Heat)_3412</v>
      </c>
      <c r="B679" t="s">
        <v>162</v>
      </c>
      <c r="C679" t="s">
        <v>167</v>
      </c>
      <c r="D679" t="s">
        <v>475</v>
      </c>
      <c r="E679" s="102">
        <v>3412</v>
      </c>
      <c r="F679" s="105">
        <v>3412</v>
      </c>
      <c r="H679" s="12" t="s">
        <v>466</v>
      </c>
      <c r="I679" s="12" t="s">
        <v>467</v>
      </c>
      <c r="J679" s="12" t="b">
        <f t="shared" si="63"/>
        <v>0</v>
      </c>
    </row>
    <row r="680" spans="1:10" x14ac:dyDescent="0.25">
      <c r="A680" s="12" t="str">
        <f t="shared" si="62"/>
        <v>Residential_Building Shell_Wall Insulation (Electric Heat)_ADJWallHeat</v>
      </c>
      <c r="B680" t="s">
        <v>162</v>
      </c>
      <c r="C680" t="s">
        <v>167</v>
      </c>
      <c r="D680" t="s">
        <v>475</v>
      </c>
      <c r="E680" s="102" t="s">
        <v>472</v>
      </c>
      <c r="F680" s="105">
        <v>0.63</v>
      </c>
      <c r="H680" s="12" t="s">
        <v>466</v>
      </c>
      <c r="I680" s="12" t="s">
        <v>467</v>
      </c>
      <c r="J680" s="12" t="b">
        <f t="shared" si="63"/>
        <v>0</v>
      </c>
    </row>
    <row r="681" spans="1:10" x14ac:dyDescent="0.25">
      <c r="A681" s="12" t="str">
        <f t="shared" si="62"/>
        <v>Residential_Building Shell_Wall Insulation (Electric Heat)_%ElectricHeat</v>
      </c>
      <c r="B681" t="s">
        <v>162</v>
      </c>
      <c r="C681" t="s">
        <v>167</v>
      </c>
      <c r="D681" t="s">
        <v>475</v>
      </c>
      <c r="E681" s="102" t="s">
        <v>402</v>
      </c>
      <c r="F681" s="105">
        <v>1</v>
      </c>
      <c r="G681" s="12" t="s">
        <v>436</v>
      </c>
      <c r="H681" s="12" t="s">
        <v>466</v>
      </c>
      <c r="I681" s="12" t="s">
        <v>467</v>
      </c>
      <c r="J681" s="12" t="b">
        <f t="shared" si="63"/>
        <v>0</v>
      </c>
    </row>
    <row r="682" spans="1:10" x14ac:dyDescent="0.25">
      <c r="A682" s="12" t="str">
        <f t="shared" si="62"/>
        <v>Residential_Building Shell_Wall Insulation (Electric Heat)_Delta_kWh_heatingElectric</v>
      </c>
      <c r="B682" t="s">
        <v>162</v>
      </c>
      <c r="C682" t="s">
        <v>167</v>
      </c>
      <c r="D682" t="s">
        <v>475</v>
      </c>
      <c r="E682" s="114" t="s">
        <v>437</v>
      </c>
      <c r="F682" s="116" t="e">
        <f xml:space="preserve"> (((1/ F671 - 1/ F672) * F673 * (1 - F674) * F675 * F676) / (F677 * F679)) * F680 * F681</f>
        <v>#DIV/0!</v>
      </c>
      <c r="H682" s="12" t="s">
        <v>466</v>
      </c>
      <c r="I682" s="12" t="s">
        <v>467</v>
      </c>
      <c r="J682" s="12" t="b">
        <f t="shared" si="63"/>
        <v>1</v>
      </c>
    </row>
    <row r="683" spans="1:10" x14ac:dyDescent="0.25">
      <c r="A683" s="12" t="str">
        <f t="shared" si="62"/>
        <v>Residential_Building Shell_Wall Insulation (Electric Heat)_Delta_kWh_heatingElectric_Mid-Life_Adj</v>
      </c>
      <c r="B683" t="s">
        <v>162</v>
      </c>
      <c r="C683" t="s">
        <v>167</v>
      </c>
      <c r="D683" t="s">
        <v>475</v>
      </c>
      <c r="E683" s="114" t="s">
        <v>438</v>
      </c>
      <c r="F683" s="116" t="e">
        <f xml:space="preserve"> (((1/ F671 - 1/ F672) * F673 * (1 - F674) * F675 * F676) / (F678 * F679)) * F680 * F681</f>
        <v>#DIV/0!</v>
      </c>
      <c r="H683" s="12" t="s">
        <v>466</v>
      </c>
      <c r="I683" s="12" t="s">
        <v>467</v>
      </c>
      <c r="J683" s="12" t="b">
        <f t="shared" si="63"/>
        <v>1</v>
      </c>
    </row>
    <row r="684" spans="1:10" x14ac:dyDescent="0.25">
      <c r="A684" s="12" t="str">
        <f t="shared" si="62"/>
        <v>Residential_Building Shell_Wall Insulation (Electric Heat)_Delta_Therms</v>
      </c>
      <c r="B684" t="s">
        <v>162</v>
      </c>
      <c r="C684" t="s">
        <v>167</v>
      </c>
      <c r="D684" t="s">
        <v>475</v>
      </c>
      <c r="E684" s="114" t="s">
        <v>354</v>
      </c>
      <c r="F684" s="116" t="e">
        <f>F705</f>
        <v>#DIV/0!</v>
      </c>
      <c r="H684" s="12" t="s">
        <v>466</v>
      </c>
      <c r="I684" s="12" t="s">
        <v>467</v>
      </c>
      <c r="J684" s="12" t="b">
        <f t="shared" si="63"/>
        <v>1</v>
      </c>
    </row>
    <row r="685" spans="1:10" x14ac:dyDescent="0.25">
      <c r="A685" s="12" t="str">
        <f t="shared" si="62"/>
        <v>Residential_Building Shell_Wall Insulation (Electric Heat)_Delta_Therms_Mid-Life_Adj</v>
      </c>
      <c r="B685" t="s">
        <v>162</v>
      </c>
      <c r="C685" t="s">
        <v>167</v>
      </c>
      <c r="D685" t="s">
        <v>475</v>
      </c>
      <c r="E685" s="114" t="s">
        <v>473</v>
      </c>
      <c r="F685" s="116" t="e">
        <f>F706</f>
        <v>#DIV/0!</v>
      </c>
      <c r="H685" s="12" t="s">
        <v>466</v>
      </c>
      <c r="I685" s="12" t="s">
        <v>467</v>
      </c>
      <c r="J685" s="12" t="b">
        <f t="shared" si="63"/>
        <v>1</v>
      </c>
    </row>
    <row r="686" spans="1:10" x14ac:dyDescent="0.25">
      <c r="A686" s="12" t="str">
        <f t="shared" si="62"/>
        <v>Residential_Building Shell_Wall Insulation (Electric Heat)_Fe</v>
      </c>
      <c r="B686" t="s">
        <v>162</v>
      </c>
      <c r="C686" t="s">
        <v>167</v>
      </c>
      <c r="D686" t="s">
        <v>475</v>
      </c>
      <c r="E686" s="102" t="s">
        <v>251</v>
      </c>
      <c r="F686" s="105">
        <v>3.1399999999999997E-2</v>
      </c>
      <c r="H686" s="12" t="s">
        <v>466</v>
      </c>
      <c r="I686" s="12" t="s">
        <v>467</v>
      </c>
      <c r="J686" s="12" t="b">
        <f t="shared" si="63"/>
        <v>0</v>
      </c>
    </row>
    <row r="687" spans="1:10" x14ac:dyDescent="0.25">
      <c r="A687" s="12" t="str">
        <f t="shared" si="62"/>
        <v>Residential_Building Shell_Wall Insulation (Electric Heat)_29.3</v>
      </c>
      <c r="B687" t="s">
        <v>162</v>
      </c>
      <c r="C687" t="s">
        <v>167</v>
      </c>
      <c r="D687" t="s">
        <v>475</v>
      </c>
      <c r="E687" s="102">
        <v>29.3</v>
      </c>
      <c r="F687" s="105">
        <v>29.3</v>
      </c>
      <c r="H687" s="12" t="s">
        <v>466</v>
      </c>
      <c r="I687" s="12" t="s">
        <v>467</v>
      </c>
      <c r="J687" s="12" t="b">
        <f t="shared" si="63"/>
        <v>0</v>
      </c>
    </row>
    <row r="688" spans="1:10" x14ac:dyDescent="0.25">
      <c r="A688" s="12" t="str">
        <f t="shared" si="62"/>
        <v>Residential_Building Shell_Wall Insulation (Electric Heat)_Delta_kWh_heatingGas</v>
      </c>
      <c r="B688" t="s">
        <v>162</v>
      </c>
      <c r="C688" t="s">
        <v>167</v>
      </c>
      <c r="D688" t="s">
        <v>475</v>
      </c>
      <c r="E688" s="114" t="s">
        <v>440</v>
      </c>
      <c r="F688" s="116" t="e">
        <f>F684*F686*F687</f>
        <v>#DIV/0!</v>
      </c>
      <c r="H688" s="12" t="s">
        <v>466</v>
      </c>
      <c r="I688" s="12" t="s">
        <v>467</v>
      </c>
      <c r="J688" s="12" t="b">
        <f t="shared" si="63"/>
        <v>1</v>
      </c>
    </row>
    <row r="689" spans="1:10" x14ac:dyDescent="0.25">
      <c r="A689" s="12" t="str">
        <f t="shared" si="62"/>
        <v>Residential_Building Shell_Wall Insulation (Electric Heat)_Delta_kWh_heatingGas_Mid-Life_Adj</v>
      </c>
      <c r="B689" t="s">
        <v>162</v>
      </c>
      <c r="C689" t="s">
        <v>167</v>
      </c>
      <c r="D689" t="s">
        <v>475</v>
      </c>
      <c r="E689" s="114" t="s">
        <v>441</v>
      </c>
      <c r="F689" s="116" t="e">
        <f>F685*F686*F687</f>
        <v>#DIV/0!</v>
      </c>
      <c r="H689" s="12" t="s">
        <v>466</v>
      </c>
      <c r="I689" s="12" t="s">
        <v>467</v>
      </c>
      <c r="J689" s="12" t="b">
        <f t="shared" si="63"/>
        <v>1</v>
      </c>
    </row>
    <row r="690" spans="1:10" x14ac:dyDescent="0.25">
      <c r="A690" s="12" t="str">
        <f t="shared" si="62"/>
        <v>Residential_Building Shell_Wall Insulation (Electric Heat)_FLH_cooling</v>
      </c>
      <c r="B690" t="s">
        <v>162</v>
      </c>
      <c r="C690" t="s">
        <v>167</v>
      </c>
      <c r="D690" t="s">
        <v>475</v>
      </c>
      <c r="E690" s="102" t="s">
        <v>442</v>
      </c>
      <c r="F690" s="105" t="e">
        <f>INDEX('CZ Inputs'!G:G,MATCH(A690&amp;"_"&amp;Dashboard_EE!$K$3,'CZ Inputs'!A:A,0))</f>
        <v>#N/A</v>
      </c>
      <c r="G690" s="12" t="s">
        <v>422</v>
      </c>
      <c r="H690" s="12" t="s">
        <v>466</v>
      </c>
      <c r="I690" s="12" t="s">
        <v>467</v>
      </c>
      <c r="J690" s="12" t="b">
        <f t="shared" si="63"/>
        <v>1</v>
      </c>
    </row>
    <row r="691" spans="1:10" x14ac:dyDescent="0.25">
      <c r="A691" s="12" t="str">
        <f t="shared" si="62"/>
        <v>Residential_Building Shell_Wall Insulation (Electric Heat)_CF</v>
      </c>
      <c r="B691" t="s">
        <v>162</v>
      </c>
      <c r="C691" t="s">
        <v>167</v>
      </c>
      <c r="D691" t="s">
        <v>475</v>
      </c>
      <c r="E691" s="102" t="s">
        <v>277</v>
      </c>
      <c r="F691" s="105">
        <v>0.68</v>
      </c>
      <c r="G691" s="12" t="s">
        <v>319</v>
      </c>
      <c r="H691" s="12" t="s">
        <v>466</v>
      </c>
      <c r="I691" s="12" t="s">
        <v>467</v>
      </c>
      <c r="J691" s="12" t="b">
        <f t="shared" si="63"/>
        <v>0</v>
      </c>
    </row>
    <row r="692" spans="1:10" x14ac:dyDescent="0.25">
      <c r="A692" s="12" t="str">
        <f t="shared" si="62"/>
        <v>Residential_Building Shell_Wall Insulation (Electric Heat)_Delta_kW</v>
      </c>
      <c r="B692" t="s">
        <v>162</v>
      </c>
      <c r="C692" t="s">
        <v>167</v>
      </c>
      <c r="D692" t="s">
        <v>475</v>
      </c>
      <c r="E692" s="114" t="s">
        <v>279</v>
      </c>
      <c r="F692" s="116" t="e">
        <f>(F669/F690)*F691</f>
        <v>#DIV/0!</v>
      </c>
      <c r="H692" s="12" t="s">
        <v>466</v>
      </c>
      <c r="I692" s="12" t="s">
        <v>467</v>
      </c>
      <c r="J692" s="12" t="b">
        <f t="shared" si="63"/>
        <v>1</v>
      </c>
    </row>
    <row r="693" spans="1:10" x14ac:dyDescent="0.25">
      <c r="A693" s="12" t="str">
        <f t="shared" si="62"/>
        <v>Residential_Building Shell_Wall Insulation (Electric Heat)_Delta_kW_Mid-Life_Adj</v>
      </c>
      <c r="B693" t="s">
        <v>162</v>
      </c>
      <c r="C693" t="s">
        <v>167</v>
      </c>
      <c r="D693" t="s">
        <v>475</v>
      </c>
      <c r="E693" s="114" t="s">
        <v>443</v>
      </c>
      <c r="F693" s="116" t="e">
        <f>(F670/F690)*F691</f>
        <v>#DIV/0!</v>
      </c>
      <c r="H693" s="12" t="s">
        <v>466</v>
      </c>
      <c r="I693" s="12" t="s">
        <v>467</v>
      </c>
      <c r="J693" s="12" t="b">
        <f t="shared" si="63"/>
        <v>1</v>
      </c>
    </row>
    <row r="694" spans="1:10" x14ac:dyDescent="0.25">
      <c r="A694" s="12" t="str">
        <f t="shared" si="62"/>
        <v>Residential_Building Shell_Wall Insulation (Electric Heat)_R_old</v>
      </c>
      <c r="B694" t="s">
        <v>162</v>
      </c>
      <c r="C694" t="s">
        <v>167</v>
      </c>
      <c r="D694" t="s">
        <v>475</v>
      </c>
      <c r="E694" s="102" t="s">
        <v>453</v>
      </c>
      <c r="F694" s="105">
        <f>Dashboard_FS!$O$19</f>
        <v>1</v>
      </c>
      <c r="G694" s="12" t="s">
        <v>476</v>
      </c>
      <c r="H694" s="12" t="s">
        <v>466</v>
      </c>
      <c r="I694" s="12" t="s">
        <v>467</v>
      </c>
      <c r="J694" s="12" t="b">
        <f t="shared" si="63"/>
        <v>1</v>
      </c>
    </row>
    <row r="695" spans="1:10" x14ac:dyDescent="0.25">
      <c r="A695" s="12" t="str">
        <f t="shared" si="62"/>
        <v>Residential_Building Shell_Wall Insulation (Electric Heat)_R_wall</v>
      </c>
      <c r="B695" t="s">
        <v>162</v>
      </c>
      <c r="C695" t="s">
        <v>167</v>
      </c>
      <c r="D695" t="s">
        <v>475</v>
      </c>
      <c r="E695" s="102" t="s">
        <v>468</v>
      </c>
      <c r="F695" s="105">
        <f>Dashboard_FS!$P$19</f>
        <v>0</v>
      </c>
      <c r="H695" s="12" t="s">
        <v>466</v>
      </c>
      <c r="I695" s="12" t="s">
        <v>467</v>
      </c>
      <c r="J695" s="12" t="b">
        <f t="shared" si="63"/>
        <v>1</v>
      </c>
    </row>
    <row r="696" spans="1:10" x14ac:dyDescent="0.25">
      <c r="A696" s="12" t="str">
        <f t="shared" ref="A696:A759" si="64">B696&amp;"_"&amp;C696&amp;"_"&amp;D696&amp;"_"&amp;E696</f>
        <v>Residential_Building Shell_Wall Insulation (Electric Heat)_A_wall</v>
      </c>
      <c r="B696" t="s">
        <v>162</v>
      </c>
      <c r="C696" t="s">
        <v>167</v>
      </c>
      <c r="D696" t="s">
        <v>475</v>
      </c>
      <c r="E696" s="114" t="s">
        <v>469</v>
      </c>
      <c r="F696" s="116">
        <f>Dashboard_FS!$O$8</f>
        <v>0</v>
      </c>
      <c r="G696" s="12" t="s">
        <v>414</v>
      </c>
      <c r="H696" s="12" t="s">
        <v>466</v>
      </c>
      <c r="I696" s="12" t="s">
        <v>467</v>
      </c>
      <c r="J696" s="12" t="b">
        <f t="shared" si="63"/>
        <v>1</v>
      </c>
    </row>
    <row r="697" spans="1:10" x14ac:dyDescent="0.25">
      <c r="A697" s="12" t="str">
        <f t="shared" si="64"/>
        <v>Residential_Building Shell_Wall Insulation (Electric Heat)_Framing_factor_wall</v>
      </c>
      <c r="B697" t="s">
        <v>162</v>
      </c>
      <c r="C697" t="s">
        <v>167</v>
      </c>
      <c r="D697" t="s">
        <v>475</v>
      </c>
      <c r="E697" s="102" t="s">
        <v>470</v>
      </c>
      <c r="F697" s="105">
        <v>0.25</v>
      </c>
      <c r="H697" s="12" t="s">
        <v>466</v>
      </c>
      <c r="I697" s="12" t="s">
        <v>467</v>
      </c>
      <c r="J697" s="12" t="b">
        <f t="shared" si="63"/>
        <v>0</v>
      </c>
    </row>
    <row r="698" spans="1:10" x14ac:dyDescent="0.25">
      <c r="A698" s="12" t="str">
        <f t="shared" si="64"/>
        <v>Residential_Building Shell_Wall Insulation (Electric Heat)_24</v>
      </c>
      <c r="B698" t="s">
        <v>162</v>
      </c>
      <c r="C698" t="s">
        <v>167</v>
      </c>
      <c r="D698" t="s">
        <v>475</v>
      </c>
      <c r="E698" s="102">
        <v>24</v>
      </c>
      <c r="F698" s="105">
        <v>24</v>
      </c>
      <c r="H698" s="12" t="s">
        <v>466</v>
      </c>
      <c r="I698" s="12" t="s">
        <v>467</v>
      </c>
      <c r="J698" s="12" t="b">
        <f t="shared" si="63"/>
        <v>0</v>
      </c>
    </row>
    <row r="699" spans="1:10" x14ac:dyDescent="0.25">
      <c r="A699" s="12" t="str">
        <f t="shared" si="64"/>
        <v>Residential_Building Shell_Wall Insulation (Electric Heat)_HDD</v>
      </c>
      <c r="B699" t="s">
        <v>162</v>
      </c>
      <c r="C699" t="s">
        <v>167</v>
      </c>
      <c r="D699" t="s">
        <v>475</v>
      </c>
      <c r="E699" s="102" t="s">
        <v>433</v>
      </c>
      <c r="F699" s="105" t="e">
        <f>INDEX('CZ Inputs'!G:G,MATCH(A699&amp;"_"&amp;Dashboard_EE!$K$3,'CZ Inputs'!A:A,0))</f>
        <v>#N/A</v>
      </c>
      <c r="G699" s="12" t="s">
        <v>422</v>
      </c>
      <c r="H699" s="12" t="s">
        <v>466</v>
      </c>
      <c r="I699" s="12" t="s">
        <v>467</v>
      </c>
      <c r="J699" s="12" t="b">
        <f t="shared" si="63"/>
        <v>1</v>
      </c>
    </row>
    <row r="700" spans="1:10" x14ac:dyDescent="0.25">
      <c r="A700" s="12" t="str">
        <f t="shared" si="64"/>
        <v>Residential_Building Shell_Wall Insulation (Electric Heat)_ηHeat</v>
      </c>
      <c r="B700" t="s">
        <v>162</v>
      </c>
      <c r="C700" t="s">
        <v>167</v>
      </c>
      <c r="D700" t="s">
        <v>475</v>
      </c>
      <c r="E700" s="114" t="s">
        <v>434</v>
      </c>
      <c r="F700" s="116">
        <f>Dashboard_FS!$K$8</f>
        <v>0</v>
      </c>
      <c r="G700" s="12" t="s">
        <v>240</v>
      </c>
      <c r="H700" s="12" t="s">
        <v>466</v>
      </c>
      <c r="I700" s="12" t="s">
        <v>467</v>
      </c>
      <c r="J700" s="12" t="b">
        <f t="shared" si="63"/>
        <v>1</v>
      </c>
    </row>
    <row r="701" spans="1:10" x14ac:dyDescent="0.25">
      <c r="A701" s="12" t="str">
        <f t="shared" si="64"/>
        <v>Residential_Building Shell_Wall Insulation (Electric Heat)_ηHeat_Mid-Life_Adj</v>
      </c>
      <c r="B701" t="s">
        <v>162</v>
      </c>
      <c r="C701" t="s">
        <v>167</v>
      </c>
      <c r="D701" t="s">
        <v>475</v>
      </c>
      <c r="E701" s="114" t="s">
        <v>435</v>
      </c>
      <c r="F701" s="116">
        <f>Dashboard_FS!$K$8</f>
        <v>0</v>
      </c>
      <c r="G701" s="12" t="s">
        <v>240</v>
      </c>
      <c r="H701" s="12" t="s">
        <v>466</v>
      </c>
      <c r="I701" s="12" t="s">
        <v>467</v>
      </c>
      <c r="J701" s="12" t="b">
        <f t="shared" si="63"/>
        <v>1</v>
      </c>
    </row>
    <row r="702" spans="1:10" x14ac:dyDescent="0.25">
      <c r="A702" s="12" t="str">
        <f t="shared" si="64"/>
        <v>Residential_Building Shell_Wall Insulation (Electric Heat)_100000</v>
      </c>
      <c r="B702" t="s">
        <v>162</v>
      </c>
      <c r="C702" t="s">
        <v>167</v>
      </c>
      <c r="D702" t="s">
        <v>475</v>
      </c>
      <c r="E702" s="102">
        <v>100000</v>
      </c>
      <c r="F702" s="105">
        <v>100000</v>
      </c>
      <c r="H702" s="12" t="s">
        <v>466</v>
      </c>
      <c r="I702" s="12" t="s">
        <v>467</v>
      </c>
      <c r="J702" s="12" t="b">
        <f t="shared" si="63"/>
        <v>0</v>
      </c>
    </row>
    <row r="703" spans="1:10" x14ac:dyDescent="0.25">
      <c r="A703" s="12" t="str">
        <f t="shared" si="64"/>
        <v>Residential_Building Shell_Wall Insulation (Electric Heat)_ADJWallHeat</v>
      </c>
      <c r="B703" t="s">
        <v>162</v>
      </c>
      <c r="C703" t="s">
        <v>167</v>
      </c>
      <c r="D703" t="s">
        <v>475</v>
      </c>
      <c r="E703" s="102" t="s">
        <v>472</v>
      </c>
      <c r="F703" s="105">
        <v>0.6</v>
      </c>
      <c r="H703" s="12" t="s">
        <v>466</v>
      </c>
      <c r="I703" s="12" t="s">
        <v>467</v>
      </c>
      <c r="J703" s="12" t="b">
        <f t="shared" si="63"/>
        <v>0</v>
      </c>
    </row>
    <row r="704" spans="1:10" x14ac:dyDescent="0.25">
      <c r="A704" s="12" t="str">
        <f t="shared" si="64"/>
        <v>Residential_Building Shell_Wall Insulation (Electric Heat)_%GasHeat</v>
      </c>
      <c r="B704" t="s">
        <v>162</v>
      </c>
      <c r="C704" t="s">
        <v>167</v>
      </c>
      <c r="D704" t="s">
        <v>475</v>
      </c>
      <c r="E704" s="102" t="s">
        <v>463</v>
      </c>
      <c r="F704" s="105">
        <v>0</v>
      </c>
      <c r="G704" s="12" t="s">
        <v>436</v>
      </c>
      <c r="H704" s="12" t="s">
        <v>466</v>
      </c>
      <c r="I704" s="12" t="s">
        <v>467</v>
      </c>
      <c r="J704" s="12" t="b">
        <f t="shared" si="63"/>
        <v>0</v>
      </c>
    </row>
    <row r="705" spans="1:10" x14ac:dyDescent="0.25">
      <c r="A705" s="12" t="str">
        <f t="shared" si="64"/>
        <v>Residential_Building Shell_Wall Insulation (Electric Heat)_Delta_Therms</v>
      </c>
      <c r="B705" t="s">
        <v>162</v>
      </c>
      <c r="C705" t="s">
        <v>167</v>
      </c>
      <c r="D705" t="s">
        <v>475</v>
      </c>
      <c r="E705" s="114" t="s">
        <v>354</v>
      </c>
      <c r="F705" s="116" t="e">
        <f xml:space="preserve"> (((1/ F694 - 1/ F695) * F696 * (1 - F697) * F698 * F699) / (F700 * F702)) * F703 * F704</f>
        <v>#DIV/0!</v>
      </c>
      <c r="H705" s="12" t="s">
        <v>466</v>
      </c>
      <c r="I705" s="12" t="s">
        <v>467</v>
      </c>
      <c r="J705" s="12" t="b">
        <f t="shared" si="63"/>
        <v>1</v>
      </c>
    </row>
    <row r="706" spans="1:10" x14ac:dyDescent="0.25">
      <c r="A706" s="12" t="str">
        <f t="shared" si="64"/>
        <v>Residential_Building Shell_Wall Insulation (Electric Heat)_Delta_Therms_Mid-Life_Adj</v>
      </c>
      <c r="B706" t="s">
        <v>162</v>
      </c>
      <c r="C706" t="s">
        <v>167</v>
      </c>
      <c r="D706" t="s">
        <v>475</v>
      </c>
      <c r="E706" s="114" t="s">
        <v>473</v>
      </c>
      <c r="F706" s="116" t="e">
        <f xml:space="preserve"> (((1/ F694 - 1/ F695) * F696 * (1 - F697) * F698 * F699) / (F701 * F702)) * F703 * F704</f>
        <v>#DIV/0!</v>
      </c>
      <c r="H706" s="12" t="s">
        <v>466</v>
      </c>
      <c r="I706" s="12" t="s">
        <v>467</v>
      </c>
      <c r="J706" s="12" t="b">
        <f t="shared" si="63"/>
        <v>1</v>
      </c>
    </row>
    <row r="707" spans="1:10" x14ac:dyDescent="0.25">
      <c r="A707" s="12" t="str">
        <f t="shared" si="64"/>
        <v>Residential_Building Shell_Wall Insulation (Electric Heat)_Remaining Year kWh</v>
      </c>
      <c r="B707" t="s">
        <v>162</v>
      </c>
      <c r="C707" t="s">
        <v>167</v>
      </c>
      <c r="D707" t="s">
        <v>475</v>
      </c>
      <c r="E707" s="111" t="s">
        <v>447</v>
      </c>
      <c r="F707" s="101" t="e">
        <f>F669+F682+F688</f>
        <v>#DIV/0!</v>
      </c>
      <c r="H707" s="12" t="s">
        <v>466</v>
      </c>
      <c r="I707" s="12" t="s">
        <v>467</v>
      </c>
      <c r="J707" s="12" t="b">
        <f t="shared" si="63"/>
        <v>1</v>
      </c>
    </row>
    <row r="708" spans="1:10" x14ac:dyDescent="0.25">
      <c r="A708" s="12" t="str">
        <f t="shared" si="64"/>
        <v>Residential_Building Shell_Wall Insulation (Electric Heat)_kWh Saved per Unit</v>
      </c>
      <c r="B708" t="s">
        <v>162</v>
      </c>
      <c r="C708" t="s">
        <v>167</v>
      </c>
      <c r="D708" t="s">
        <v>475</v>
      </c>
      <c r="E708" s="111" t="s">
        <v>280</v>
      </c>
      <c r="F708" s="101" t="e">
        <f>F670+F683+F689</f>
        <v>#DIV/0!</v>
      </c>
      <c r="H708" s="12" t="s">
        <v>466</v>
      </c>
      <c r="I708" s="12" t="s">
        <v>467</v>
      </c>
      <c r="J708" s="12" t="b">
        <f t="shared" si="63"/>
        <v>1</v>
      </c>
    </row>
    <row r="709" spans="1:10" x14ac:dyDescent="0.25">
      <c r="A709" s="12" t="str">
        <f t="shared" si="64"/>
        <v>Residential_Building Shell_Wall Insulation (Electric Heat)_Remaining Year kW</v>
      </c>
      <c r="B709" t="s">
        <v>162</v>
      </c>
      <c r="C709" t="s">
        <v>167</v>
      </c>
      <c r="D709" t="s">
        <v>475</v>
      </c>
      <c r="E709" s="111" t="s">
        <v>448</v>
      </c>
      <c r="F709" s="101" t="e">
        <f>F692</f>
        <v>#DIV/0!</v>
      </c>
      <c r="H709" s="12" t="s">
        <v>466</v>
      </c>
      <c r="I709" s="12" t="s">
        <v>467</v>
      </c>
      <c r="J709" s="12" t="b">
        <f t="shared" si="63"/>
        <v>1</v>
      </c>
    </row>
    <row r="710" spans="1:10" x14ac:dyDescent="0.25">
      <c r="A710" s="12" t="str">
        <f t="shared" si="64"/>
        <v>Residential_Building Shell_Wall Insulation (Electric Heat)_Coincident Peak kW Saved per Unit</v>
      </c>
      <c r="B710" t="s">
        <v>162</v>
      </c>
      <c r="C710" t="s">
        <v>167</v>
      </c>
      <c r="D710" t="s">
        <v>475</v>
      </c>
      <c r="E710" s="111" t="s">
        <v>281</v>
      </c>
      <c r="F710" s="101" t="e">
        <f>F693</f>
        <v>#DIV/0!</v>
      </c>
      <c r="H710" s="12" t="s">
        <v>466</v>
      </c>
      <c r="I710" s="12" t="s">
        <v>467</v>
      </c>
      <c r="J710" s="12" t="b">
        <f t="shared" si="63"/>
        <v>1</v>
      </c>
    </row>
    <row r="711" spans="1:10" x14ac:dyDescent="0.25">
      <c r="A711" s="12" t="str">
        <f t="shared" si="64"/>
        <v>Residential_Building Shell_Wall Insulation (Electric Heat)_Remaining Year Therms</v>
      </c>
      <c r="B711" t="s">
        <v>162</v>
      </c>
      <c r="C711" t="s">
        <v>167</v>
      </c>
      <c r="D711" t="s">
        <v>475</v>
      </c>
      <c r="E711" s="111" t="s">
        <v>449</v>
      </c>
      <c r="F711" s="101" t="e">
        <f>F705</f>
        <v>#DIV/0!</v>
      </c>
      <c r="H711" s="12" t="s">
        <v>466</v>
      </c>
      <c r="I711" s="12" t="s">
        <v>467</v>
      </c>
      <c r="J711" s="12" t="b">
        <f t="shared" si="63"/>
        <v>1</v>
      </c>
    </row>
    <row r="712" spans="1:10" x14ac:dyDescent="0.25">
      <c r="A712" s="12" t="str">
        <f t="shared" si="64"/>
        <v>Residential_Building Shell_Wall Insulation (Electric Heat)_Therms Saved per Unit</v>
      </c>
      <c r="B712" t="s">
        <v>162</v>
      </c>
      <c r="C712" t="s">
        <v>167</v>
      </c>
      <c r="D712" t="s">
        <v>475</v>
      </c>
      <c r="E712" s="111" t="s">
        <v>376</v>
      </c>
      <c r="F712" s="101" t="e">
        <f>F706</f>
        <v>#DIV/0!</v>
      </c>
      <c r="H712" s="12" t="s">
        <v>466</v>
      </c>
      <c r="I712" s="12" t="s">
        <v>467</v>
      </c>
      <c r="J712" s="12" t="b">
        <f t="shared" si="63"/>
        <v>1</v>
      </c>
    </row>
    <row r="713" spans="1:10" x14ac:dyDescent="0.25">
      <c r="A713" s="12" t="str">
        <f t="shared" si="64"/>
        <v>Residential_Building Shell_Wall Insulation (Electric Heat)_Remaining Life</v>
      </c>
      <c r="B713" t="s">
        <v>162</v>
      </c>
      <c r="C713" t="s">
        <v>167</v>
      </c>
      <c r="D713" t="s">
        <v>475</v>
      </c>
      <c r="E713" s="111" t="s">
        <v>450</v>
      </c>
      <c r="F713" s="101">
        <v>10</v>
      </c>
      <c r="H713" s="12" t="s">
        <v>466</v>
      </c>
      <c r="I713" s="12" t="s">
        <v>467</v>
      </c>
      <c r="J713" s="12" t="b">
        <f t="shared" si="63"/>
        <v>0</v>
      </c>
    </row>
    <row r="714" spans="1:10" x14ac:dyDescent="0.25">
      <c r="A714" s="12" t="str">
        <f t="shared" si="64"/>
        <v>Residential_Building Shell_Wall Insulation (Electric Heat)_Lifetime (years)</v>
      </c>
      <c r="B714" t="s">
        <v>162</v>
      </c>
      <c r="C714" t="s">
        <v>167</v>
      </c>
      <c r="D714" t="s">
        <v>475</v>
      </c>
      <c r="E714" s="111" t="s">
        <v>284</v>
      </c>
      <c r="F714" s="101">
        <v>30</v>
      </c>
      <c r="H714" s="12" t="s">
        <v>466</v>
      </c>
      <c r="I714" s="12" t="s">
        <v>467</v>
      </c>
      <c r="J714" s="12" t="b">
        <f t="shared" si="63"/>
        <v>0</v>
      </c>
    </row>
    <row r="715" spans="1:10" x14ac:dyDescent="0.25">
      <c r="A715" s="12" t="str">
        <f t="shared" si="64"/>
        <v>Residential_Building Shell_Wall Insulation (Electric Heat)_Incremental Cost</v>
      </c>
      <c r="B715" t="s">
        <v>162</v>
      </c>
      <c r="C715" t="s">
        <v>167</v>
      </c>
      <c r="D715" t="s">
        <v>475</v>
      </c>
      <c r="E715" s="111" t="s">
        <v>285</v>
      </c>
      <c r="F715" s="100">
        <f>0.9*F659</f>
        <v>0</v>
      </c>
      <c r="G715" s="12" t="s">
        <v>451</v>
      </c>
      <c r="H715" s="12" t="s">
        <v>466</v>
      </c>
      <c r="I715" s="12" t="s">
        <v>467</v>
      </c>
      <c r="J715" s="12" t="b">
        <f t="shared" si="63"/>
        <v>1</v>
      </c>
    </row>
    <row r="716" spans="1:10" x14ac:dyDescent="0.25">
      <c r="A716" s="12" t="str">
        <f t="shared" si="64"/>
        <v>Residential_Building Shell_Wall Insulation (Electric Heat)_BTU Impact_Existing_Fossil Fuel</v>
      </c>
      <c r="B716" t="s">
        <v>162</v>
      </c>
      <c r="C716" t="s">
        <v>167</v>
      </c>
      <c r="D716" t="s">
        <v>475</v>
      </c>
      <c r="E716" s="111" t="s">
        <v>287</v>
      </c>
      <c r="F716" s="99">
        <v>0</v>
      </c>
      <c r="H716" s="12" t="s">
        <v>466</v>
      </c>
      <c r="I716" s="12" t="s">
        <v>467</v>
      </c>
      <c r="J716" s="12" t="b">
        <f t="shared" si="63"/>
        <v>0</v>
      </c>
    </row>
    <row r="717" spans="1:10" x14ac:dyDescent="0.25">
      <c r="A717" s="12" t="str">
        <f t="shared" si="64"/>
        <v>Residential_Building Shell_Wall Insulation (Electric Heat)_BTU Impact_Existing_Winter Electricity</v>
      </c>
      <c r="B717" t="s">
        <v>162</v>
      </c>
      <c r="C717" t="s">
        <v>167</v>
      </c>
      <c r="D717" t="s">
        <v>475</v>
      </c>
      <c r="E717" s="111" t="s">
        <v>288</v>
      </c>
      <c r="F717" s="99">
        <v>0</v>
      </c>
      <c r="H717" s="12" t="s">
        <v>466</v>
      </c>
      <c r="I717" s="12" t="s">
        <v>467</v>
      </c>
      <c r="J717" s="12" t="b">
        <f t="shared" si="63"/>
        <v>0</v>
      </c>
    </row>
    <row r="718" spans="1:10" x14ac:dyDescent="0.25">
      <c r="A718" s="12" t="str">
        <f t="shared" si="64"/>
        <v>Residential_Building Shell_Wall Insulation (Electric Heat)_BTU Impact_Existing_Summer Electricity</v>
      </c>
      <c r="B718" t="s">
        <v>162</v>
      </c>
      <c r="C718" t="s">
        <v>167</v>
      </c>
      <c r="D718" t="s">
        <v>475</v>
      </c>
      <c r="E718" s="111" t="s">
        <v>289</v>
      </c>
      <c r="F718" s="99">
        <v>0</v>
      </c>
      <c r="H718" s="12" t="s">
        <v>466</v>
      </c>
      <c r="I718" s="12" t="s">
        <v>467</v>
      </c>
      <c r="J718" s="12" t="b">
        <f t="shared" si="63"/>
        <v>0</v>
      </c>
    </row>
    <row r="719" spans="1:10" x14ac:dyDescent="0.25">
      <c r="A719" s="12" t="str">
        <f t="shared" si="64"/>
        <v>Residential_Building Shell_Wall Insulation (Electric Heat)_BTU Impact_New_Fossil Fuel</v>
      </c>
      <c r="B719" t="s">
        <v>162</v>
      </c>
      <c r="C719" t="s">
        <v>167</v>
      </c>
      <c r="D719" t="s">
        <v>475</v>
      </c>
      <c r="E719" s="111" t="s">
        <v>290</v>
      </c>
      <c r="F719" s="99">
        <v>0</v>
      </c>
      <c r="H719" s="12" t="s">
        <v>466</v>
      </c>
      <c r="I719" s="12" t="s">
        <v>467</v>
      </c>
      <c r="J719" s="12" t="b">
        <f t="shared" si="63"/>
        <v>0</v>
      </c>
    </row>
    <row r="720" spans="1:10" x14ac:dyDescent="0.25">
      <c r="A720" s="12" t="str">
        <f t="shared" si="64"/>
        <v>Residential_Building Shell_Wall Insulation (Electric Heat)_BTU Impact_New_Winter Electricity</v>
      </c>
      <c r="B720" t="s">
        <v>162</v>
      </c>
      <c r="C720" t="s">
        <v>167</v>
      </c>
      <c r="D720" t="s">
        <v>475</v>
      </c>
      <c r="E720" s="111" t="s">
        <v>291</v>
      </c>
      <c r="F720" s="99" t="e">
        <f>-F682*3412</f>
        <v>#DIV/0!</v>
      </c>
      <c r="H720" s="12" t="s">
        <v>466</v>
      </c>
      <c r="I720" s="12" t="s">
        <v>467</v>
      </c>
      <c r="J720" s="12" t="b">
        <f t="shared" si="63"/>
        <v>1</v>
      </c>
    </row>
    <row r="721" spans="1:10" x14ac:dyDescent="0.25">
      <c r="A721" s="12" t="str">
        <f t="shared" si="64"/>
        <v>Residential_Building Shell_Wall Insulation (Electric Heat)_BTU Impact_New_Summer Electricity</v>
      </c>
      <c r="B721" t="s">
        <v>162</v>
      </c>
      <c r="C721" t="s">
        <v>167</v>
      </c>
      <c r="D721" t="s">
        <v>475</v>
      </c>
      <c r="E721" s="111" t="s">
        <v>292</v>
      </c>
      <c r="F721" s="99" t="e">
        <f>-F669*3412</f>
        <v>#DIV/0!</v>
      </c>
      <c r="H721" s="12" t="s">
        <v>466</v>
      </c>
      <c r="I721" s="12" t="s">
        <v>467</v>
      </c>
      <c r="J721" s="12" t="b">
        <f t="shared" si="63"/>
        <v>1</v>
      </c>
    </row>
    <row r="722" spans="1:10" x14ac:dyDescent="0.25">
      <c r="A722" s="12" t="str">
        <f t="shared" si="64"/>
        <v>Residential_Building Shell_Wall Insulation (Electric Heat)_</v>
      </c>
      <c r="B722" t="s">
        <v>162</v>
      </c>
      <c r="C722" t="s">
        <v>167</v>
      </c>
      <c r="D722" t="s">
        <v>475</v>
      </c>
      <c r="H722" s="12" t="s">
        <v>466</v>
      </c>
      <c r="I722" s="12" t="s">
        <v>467</v>
      </c>
      <c r="J722" s="12" t="b">
        <f t="shared" si="63"/>
        <v>0</v>
      </c>
    </row>
    <row r="723" spans="1:10" x14ac:dyDescent="0.25">
      <c r="A723" s="12" t="str">
        <f t="shared" si="64"/>
        <v>Residential_Building Shell_Rim/Band Joist Insulation (Electric Heat)_R_old</v>
      </c>
      <c r="B723" t="s">
        <v>162</v>
      </c>
      <c r="C723" t="s">
        <v>167</v>
      </c>
      <c r="D723" t="s">
        <v>477</v>
      </c>
      <c r="E723" s="102" t="s">
        <v>453</v>
      </c>
      <c r="F723" s="105">
        <f>Dashboard_FS!$O$20</f>
        <v>1</v>
      </c>
      <c r="G723" s="12" t="s">
        <v>476</v>
      </c>
      <c r="H723" s="12" t="s">
        <v>478</v>
      </c>
      <c r="I723" s="12" t="s">
        <v>479</v>
      </c>
      <c r="J723" s="12" t="b">
        <f t="shared" si="63"/>
        <v>1</v>
      </c>
    </row>
    <row r="724" spans="1:10" x14ac:dyDescent="0.25">
      <c r="A724" s="12" t="str">
        <f t="shared" si="64"/>
        <v>Residential_Building Shell_Rim/Band Joist Insulation (Electric Heat)_R_rim</v>
      </c>
      <c r="B724" t="s">
        <v>162</v>
      </c>
      <c r="C724" t="s">
        <v>167</v>
      </c>
      <c r="D724" t="s">
        <v>477</v>
      </c>
      <c r="E724" s="102" t="s">
        <v>480</v>
      </c>
      <c r="F724" s="105">
        <f>Dashboard_FS!$P$20</f>
        <v>0</v>
      </c>
      <c r="H724" s="12" t="s">
        <v>478</v>
      </c>
      <c r="I724" s="12" t="s">
        <v>479</v>
      </c>
      <c r="J724" s="12" t="b">
        <f t="shared" si="63"/>
        <v>1</v>
      </c>
    </row>
    <row r="725" spans="1:10" x14ac:dyDescent="0.25">
      <c r="A725" s="12" t="str">
        <f t="shared" si="64"/>
        <v>Residential_Building Shell_Rim/Band Joist Insulation (Electric Heat)_A_rim</v>
      </c>
      <c r="B725" t="s">
        <v>162</v>
      </c>
      <c r="C725" t="s">
        <v>167</v>
      </c>
      <c r="D725" t="s">
        <v>477</v>
      </c>
      <c r="E725" s="114" t="s">
        <v>481</v>
      </c>
      <c r="F725" s="116">
        <f>Dashboard_FS!$O$9</f>
        <v>0</v>
      </c>
      <c r="G725" s="12" t="s">
        <v>414</v>
      </c>
      <c r="H725" s="12" t="s">
        <v>478</v>
      </c>
      <c r="I725" s="12" t="s">
        <v>479</v>
      </c>
      <c r="J725" s="12" t="b">
        <f t="shared" si="63"/>
        <v>1</v>
      </c>
    </row>
    <row r="726" spans="1:10" x14ac:dyDescent="0.25">
      <c r="A726" s="12" t="str">
        <f t="shared" si="64"/>
        <v>Residential_Building Shell_Rim/Band Joist Insulation (Electric Heat)_Framing_factor_rim</v>
      </c>
      <c r="B726" t="s">
        <v>162</v>
      </c>
      <c r="C726" t="s">
        <v>167</v>
      </c>
      <c r="D726" t="s">
        <v>477</v>
      </c>
      <c r="E726" s="102" t="s">
        <v>482</v>
      </c>
      <c r="F726" s="105">
        <v>0.05</v>
      </c>
      <c r="H726" s="12" t="s">
        <v>478</v>
      </c>
      <c r="I726" s="12" t="s">
        <v>479</v>
      </c>
      <c r="J726" s="12" t="b">
        <f t="shared" si="63"/>
        <v>0</v>
      </c>
    </row>
    <row r="727" spans="1:10" x14ac:dyDescent="0.25">
      <c r="A727" s="12" t="str">
        <f t="shared" si="64"/>
        <v>Residential_Building Shell_Rim/Band Joist Insulation (Electric Heat)_CDD</v>
      </c>
      <c r="B727" t="s">
        <v>162</v>
      </c>
      <c r="C727" t="s">
        <v>167</v>
      </c>
      <c r="D727" t="s">
        <v>477</v>
      </c>
      <c r="E727" s="102" t="s">
        <v>421</v>
      </c>
      <c r="F727" s="105" t="e">
        <f>INDEX('CZ Inputs'!G:G,MATCH(A727&amp;"_"&amp;Dashboard_EE!$K$3,'CZ Inputs'!A:A,0))</f>
        <v>#N/A</v>
      </c>
      <c r="G727" s="12" t="s">
        <v>483</v>
      </c>
      <c r="H727" s="12" t="s">
        <v>478</v>
      </c>
      <c r="I727" s="12" t="s">
        <v>479</v>
      </c>
      <c r="J727" s="12" t="b">
        <f t="shared" si="63"/>
        <v>1</v>
      </c>
    </row>
    <row r="728" spans="1:10" x14ac:dyDescent="0.25">
      <c r="A728" s="12" t="str">
        <f t="shared" si="64"/>
        <v>Residential_Building Shell_Rim/Band Joist Insulation (Electric Heat)_24</v>
      </c>
      <c r="B728" t="s">
        <v>162</v>
      </c>
      <c r="C728" t="s">
        <v>167</v>
      </c>
      <c r="D728" t="s">
        <v>477</v>
      </c>
      <c r="E728" s="102">
        <v>24</v>
      </c>
      <c r="F728" s="105">
        <v>24</v>
      </c>
      <c r="H728" s="12" t="s">
        <v>478</v>
      </c>
      <c r="I728" s="12" t="s">
        <v>479</v>
      </c>
      <c r="J728" s="12" t="b">
        <f t="shared" si="63"/>
        <v>0</v>
      </c>
    </row>
    <row r="729" spans="1:10" x14ac:dyDescent="0.25">
      <c r="A729" s="12" t="str">
        <f t="shared" si="64"/>
        <v>Residential_Building Shell_Rim/Band Joist Insulation (Electric Heat)_DUA</v>
      </c>
      <c r="B729" t="s">
        <v>162</v>
      </c>
      <c r="C729" t="s">
        <v>167</v>
      </c>
      <c r="D729" t="s">
        <v>477</v>
      </c>
      <c r="E729" s="102" t="s">
        <v>423</v>
      </c>
      <c r="F729" s="105">
        <v>0.75</v>
      </c>
      <c r="H729" s="12" t="s">
        <v>478</v>
      </c>
      <c r="I729" s="12" t="s">
        <v>479</v>
      </c>
      <c r="J729" s="12" t="b">
        <f t="shared" si="63"/>
        <v>0</v>
      </c>
    </row>
    <row r="730" spans="1:10" x14ac:dyDescent="0.25">
      <c r="A730" s="12" t="str">
        <f t="shared" si="64"/>
        <v>Residential_Building Shell_Rim/Band Joist Insulation (Electric Heat)_ADJBasementCool</v>
      </c>
      <c r="B730" t="s">
        <v>162</v>
      </c>
      <c r="C730" t="s">
        <v>167</v>
      </c>
      <c r="D730" t="s">
        <v>477</v>
      </c>
      <c r="E730" s="102" t="s">
        <v>484</v>
      </c>
      <c r="F730" s="105">
        <v>0.75</v>
      </c>
      <c r="H730" s="12" t="s">
        <v>478</v>
      </c>
      <c r="I730" s="12" t="s">
        <v>479</v>
      </c>
      <c r="J730" s="12" t="b">
        <f t="shared" si="63"/>
        <v>0</v>
      </c>
    </row>
    <row r="731" spans="1:10" x14ac:dyDescent="0.25">
      <c r="A731" s="12" t="str">
        <f t="shared" si="64"/>
        <v>Residential_Building Shell_Rim/Band Joist Insulation (Electric Heat)_%Cool</v>
      </c>
      <c r="B731" t="s">
        <v>162</v>
      </c>
      <c r="C731" t="s">
        <v>167</v>
      </c>
      <c r="D731" t="s">
        <v>477</v>
      </c>
      <c r="E731" s="102" t="s">
        <v>397</v>
      </c>
      <c r="F731" s="105">
        <v>1</v>
      </c>
      <c r="H731" s="12" t="s">
        <v>478</v>
      </c>
      <c r="I731" s="12" t="s">
        <v>479</v>
      </c>
      <c r="J731" s="12" t="b">
        <f t="shared" si="63"/>
        <v>0</v>
      </c>
    </row>
    <row r="732" spans="1:10" x14ac:dyDescent="0.25">
      <c r="A732" s="12" t="str">
        <f t="shared" si="64"/>
        <v>Residential_Building Shell_Rim/Band Joist Insulation (Electric Heat)_1000</v>
      </c>
      <c r="B732" t="s">
        <v>162</v>
      </c>
      <c r="C732" t="s">
        <v>167</v>
      </c>
      <c r="D732" t="s">
        <v>477</v>
      </c>
      <c r="E732" s="102">
        <v>1000</v>
      </c>
      <c r="F732" s="105">
        <v>1000</v>
      </c>
      <c r="H732" s="12" t="s">
        <v>478</v>
      </c>
      <c r="I732" s="12" t="s">
        <v>479</v>
      </c>
      <c r="J732" s="12" t="b">
        <f t="shared" ref="J732:J801" si="65">_xlfn.ISFORMULA(F732)</f>
        <v>0</v>
      </c>
    </row>
    <row r="733" spans="1:10" x14ac:dyDescent="0.25">
      <c r="A733" s="12" t="str">
        <f t="shared" si="64"/>
        <v>Residential_Building Shell_Rim/Band Joist Insulation (Electric Heat)_ηCool</v>
      </c>
      <c r="B733" t="s">
        <v>162</v>
      </c>
      <c r="C733" t="s">
        <v>167</v>
      </c>
      <c r="D733" t="s">
        <v>477</v>
      </c>
      <c r="E733" s="114" t="s">
        <v>424</v>
      </c>
      <c r="F733" s="116">
        <f>Dashboard_FS!$K$14</f>
        <v>0</v>
      </c>
      <c r="G733" s="12" t="s">
        <v>240</v>
      </c>
      <c r="H733" s="12" t="s">
        <v>478</v>
      </c>
      <c r="I733" s="12" t="s">
        <v>479</v>
      </c>
      <c r="J733" s="12" t="b">
        <f t="shared" si="65"/>
        <v>1</v>
      </c>
    </row>
    <row r="734" spans="1:10" x14ac:dyDescent="0.25">
      <c r="A734" s="12" t="str">
        <f t="shared" si="64"/>
        <v>Residential_Building Shell_Rim/Band Joist Insulation (Electric Heat)_ηCool_Mid-Life_Adj</v>
      </c>
      <c r="B734" t="s">
        <v>162</v>
      </c>
      <c r="C734" t="s">
        <v>167</v>
      </c>
      <c r="D734" t="s">
        <v>477</v>
      </c>
      <c r="E734" s="114" t="s">
        <v>425</v>
      </c>
      <c r="F734" s="116">
        <f>Dashboard_FS!$K$14</f>
        <v>0</v>
      </c>
      <c r="G734" s="12" t="s">
        <v>240</v>
      </c>
      <c r="H734" s="12" t="s">
        <v>478</v>
      </c>
      <c r="I734" s="12" t="s">
        <v>479</v>
      </c>
      <c r="J734" s="12" t="b">
        <f t="shared" si="65"/>
        <v>1</v>
      </c>
    </row>
    <row r="735" spans="1:10" x14ac:dyDescent="0.25">
      <c r="A735" s="12" t="str">
        <f t="shared" si="64"/>
        <v>Residential_Building Shell_Rim/Band Joist Insulation (Electric Heat)_Delta_kWh_cooling</v>
      </c>
      <c r="B735" t="s">
        <v>162</v>
      </c>
      <c r="C735" t="s">
        <v>167</v>
      </c>
      <c r="D735" t="s">
        <v>477</v>
      </c>
      <c r="E735" s="114" t="s">
        <v>430</v>
      </c>
      <c r="F735" s="116" t="e">
        <f xml:space="preserve"> ((1/ F723 - 1/ F724) * F725 * (1 - F726) * F727 * F728 * F729 * F730 * F731) / (F732 * F733)</f>
        <v>#DIV/0!</v>
      </c>
      <c r="H735" s="12" t="s">
        <v>478</v>
      </c>
      <c r="I735" s="12" t="s">
        <v>479</v>
      </c>
      <c r="J735" s="12" t="b">
        <f t="shared" si="65"/>
        <v>1</v>
      </c>
    </row>
    <row r="736" spans="1:10" x14ac:dyDescent="0.25">
      <c r="A736" s="12" t="str">
        <f t="shared" si="64"/>
        <v>Residential_Building Shell_Rim/Band Joist Insulation (Electric Heat)_Delta_kWh_cooling_Mid-Life_Adj</v>
      </c>
      <c r="B736" t="s">
        <v>162</v>
      </c>
      <c r="C736" t="s">
        <v>167</v>
      </c>
      <c r="D736" t="s">
        <v>477</v>
      </c>
      <c r="E736" s="114" t="s">
        <v>431</v>
      </c>
      <c r="F736" s="116" t="e">
        <f xml:space="preserve"> ((1/ F723 - 1/ F724) * F725 * (1 - F726) * F727 * F728 * F729 * F730 * F731) / (F732 * F734)</f>
        <v>#DIV/0!</v>
      </c>
      <c r="H736" s="12" t="s">
        <v>478</v>
      </c>
      <c r="I736" s="12" t="s">
        <v>479</v>
      </c>
      <c r="J736" s="12" t="b">
        <f t="shared" si="65"/>
        <v>1</v>
      </c>
    </row>
    <row r="737" spans="1:10" x14ac:dyDescent="0.25">
      <c r="A737" s="12" t="str">
        <f t="shared" si="64"/>
        <v>Residential_Building Shell_Rim/Band Joist Insulation (Electric Heat)_R_old</v>
      </c>
      <c r="B737" t="s">
        <v>162</v>
      </c>
      <c r="C737" t="s">
        <v>167</v>
      </c>
      <c r="D737" t="s">
        <v>477</v>
      </c>
      <c r="E737" s="102" t="s">
        <v>453</v>
      </c>
      <c r="F737" s="105">
        <f>Dashboard_FS!$O$20</f>
        <v>1</v>
      </c>
      <c r="G737" s="12" t="s">
        <v>476</v>
      </c>
      <c r="H737" s="12" t="s">
        <v>478</v>
      </c>
      <c r="I737" s="12" t="s">
        <v>479</v>
      </c>
      <c r="J737" s="12" t="b">
        <f t="shared" si="65"/>
        <v>1</v>
      </c>
    </row>
    <row r="738" spans="1:10" x14ac:dyDescent="0.25">
      <c r="A738" s="12" t="str">
        <f t="shared" si="64"/>
        <v>Residential_Building Shell_Rim/Band Joist Insulation (Electric Heat)_R_rim</v>
      </c>
      <c r="B738" t="s">
        <v>162</v>
      </c>
      <c r="C738" t="s">
        <v>167</v>
      </c>
      <c r="D738" t="s">
        <v>477</v>
      </c>
      <c r="E738" s="102" t="s">
        <v>480</v>
      </c>
      <c r="F738" s="105">
        <f>Dashboard_FS!$P$20</f>
        <v>0</v>
      </c>
      <c r="H738" s="12" t="s">
        <v>478</v>
      </c>
      <c r="I738" s="12" t="s">
        <v>479</v>
      </c>
      <c r="J738" s="12" t="b">
        <f t="shared" si="65"/>
        <v>1</v>
      </c>
    </row>
    <row r="739" spans="1:10" x14ac:dyDescent="0.25">
      <c r="A739" s="12" t="str">
        <f t="shared" si="64"/>
        <v>Residential_Building Shell_Rim/Band Joist Insulation (Electric Heat)_A_rim</v>
      </c>
      <c r="B739" t="s">
        <v>162</v>
      </c>
      <c r="C739" t="s">
        <v>167</v>
      </c>
      <c r="D739" t="s">
        <v>477</v>
      </c>
      <c r="E739" s="114" t="s">
        <v>481</v>
      </c>
      <c r="F739" s="116">
        <f>Dashboard_FS!$O$9</f>
        <v>0</v>
      </c>
      <c r="G739" s="12" t="s">
        <v>414</v>
      </c>
      <c r="H739" s="12" t="s">
        <v>478</v>
      </c>
      <c r="I739" s="12" t="s">
        <v>479</v>
      </c>
      <c r="J739" s="12" t="b">
        <f t="shared" si="65"/>
        <v>1</v>
      </c>
    </row>
    <row r="740" spans="1:10" x14ac:dyDescent="0.25">
      <c r="A740" s="12" t="str">
        <f t="shared" si="64"/>
        <v>Residential_Building Shell_Rim/Band Joist Insulation (Electric Heat)_Framing_factor_rim</v>
      </c>
      <c r="B740" t="s">
        <v>162</v>
      </c>
      <c r="C740" t="s">
        <v>167</v>
      </c>
      <c r="D740" t="s">
        <v>477</v>
      </c>
      <c r="E740" s="102" t="s">
        <v>482</v>
      </c>
      <c r="F740" s="105">
        <v>0.05</v>
      </c>
      <c r="H740" s="12" t="s">
        <v>478</v>
      </c>
      <c r="I740" s="12" t="s">
        <v>479</v>
      </c>
      <c r="J740" s="12" t="b">
        <f t="shared" si="65"/>
        <v>0</v>
      </c>
    </row>
    <row r="741" spans="1:10" x14ac:dyDescent="0.25">
      <c r="A741" s="12" t="str">
        <f t="shared" si="64"/>
        <v>Residential_Building Shell_Rim/Band Joist Insulation (Electric Heat)_HDD</v>
      </c>
      <c r="B741" t="s">
        <v>162</v>
      </c>
      <c r="C741" t="s">
        <v>167</v>
      </c>
      <c r="D741" t="s">
        <v>477</v>
      </c>
      <c r="E741" s="102" t="s">
        <v>433</v>
      </c>
      <c r="F741" s="105" t="e">
        <f>INDEX('CZ Inputs'!G:G,MATCH(A741&amp;"_"&amp;Dashboard_EE!$K$3,'CZ Inputs'!A:A,0))</f>
        <v>#N/A</v>
      </c>
      <c r="G741" s="12" t="s">
        <v>483</v>
      </c>
      <c r="H741" s="12" t="s">
        <v>478</v>
      </c>
      <c r="I741" s="12" t="s">
        <v>479</v>
      </c>
      <c r="J741" s="12" t="b">
        <f t="shared" si="65"/>
        <v>1</v>
      </c>
    </row>
    <row r="742" spans="1:10" x14ac:dyDescent="0.25">
      <c r="A742" s="12" t="str">
        <f t="shared" si="64"/>
        <v>Residential_Building Shell_Rim/Band Joist Insulation (Electric Heat)_24</v>
      </c>
      <c r="B742" t="s">
        <v>162</v>
      </c>
      <c r="C742" t="s">
        <v>167</v>
      </c>
      <c r="D742" t="s">
        <v>477</v>
      </c>
      <c r="E742" s="102">
        <v>24</v>
      </c>
      <c r="F742" s="105">
        <v>24</v>
      </c>
      <c r="H742" s="12" t="s">
        <v>478</v>
      </c>
      <c r="I742" s="12" t="s">
        <v>479</v>
      </c>
      <c r="J742" s="12" t="b">
        <f t="shared" si="65"/>
        <v>0</v>
      </c>
    </row>
    <row r="743" spans="1:10" x14ac:dyDescent="0.25">
      <c r="A743" s="12" t="str">
        <f t="shared" si="64"/>
        <v>Residential_Building Shell_Rim/Band Joist Insulation (Electric Heat)_ADJBasementHeat</v>
      </c>
      <c r="B743" t="s">
        <v>162</v>
      </c>
      <c r="C743" t="s">
        <v>167</v>
      </c>
      <c r="D743" t="s">
        <v>477</v>
      </c>
      <c r="E743" s="102" t="s">
        <v>485</v>
      </c>
      <c r="F743" s="105">
        <v>0.63</v>
      </c>
      <c r="H743" s="12" t="s">
        <v>478</v>
      </c>
      <c r="I743" s="12" t="s">
        <v>479</v>
      </c>
      <c r="J743" s="12" t="b">
        <f t="shared" si="65"/>
        <v>0</v>
      </c>
    </row>
    <row r="744" spans="1:10" x14ac:dyDescent="0.25">
      <c r="A744" s="12" t="str">
        <f t="shared" si="64"/>
        <v>Residential_Building Shell_Rim/Band Joist Insulation (Electric Heat)_%ElectricHeat</v>
      </c>
      <c r="B744" t="s">
        <v>162</v>
      </c>
      <c r="C744" t="s">
        <v>167</v>
      </c>
      <c r="D744" t="s">
        <v>477</v>
      </c>
      <c r="E744" s="102" t="s">
        <v>402</v>
      </c>
      <c r="F744" s="105">
        <v>1</v>
      </c>
      <c r="G744" s="12" t="s">
        <v>436</v>
      </c>
      <c r="H744" s="12" t="s">
        <v>478</v>
      </c>
      <c r="I744" s="12" t="s">
        <v>479</v>
      </c>
      <c r="J744" s="12" t="b">
        <f t="shared" si="65"/>
        <v>0</v>
      </c>
    </row>
    <row r="745" spans="1:10" x14ac:dyDescent="0.25">
      <c r="A745" s="12" t="str">
        <f t="shared" si="64"/>
        <v>Residential_Building Shell_Rim/Band Joist Insulation (Electric Heat)_ηHeat</v>
      </c>
      <c r="B745" t="s">
        <v>162</v>
      </c>
      <c r="C745" t="s">
        <v>167</v>
      </c>
      <c r="D745" t="s">
        <v>477</v>
      </c>
      <c r="E745" s="114" t="s">
        <v>434</v>
      </c>
      <c r="F745" s="116">
        <f>Dashboard_FS!$K$6</f>
        <v>0</v>
      </c>
      <c r="G745" s="12" t="s">
        <v>240</v>
      </c>
      <c r="H745" s="12" t="s">
        <v>478</v>
      </c>
      <c r="I745" s="12" t="s">
        <v>479</v>
      </c>
      <c r="J745" s="12" t="b">
        <f t="shared" si="65"/>
        <v>1</v>
      </c>
    </row>
    <row r="746" spans="1:10" x14ac:dyDescent="0.25">
      <c r="A746" s="12" t="str">
        <f t="shared" si="64"/>
        <v>Residential_Building Shell_Rim/Band Joist Insulation (Electric Heat)_ηHeat_Mid-Life_Adj</v>
      </c>
      <c r="B746" t="s">
        <v>162</v>
      </c>
      <c r="C746" t="s">
        <v>167</v>
      </c>
      <c r="D746" t="s">
        <v>477</v>
      </c>
      <c r="E746" s="114" t="s">
        <v>435</v>
      </c>
      <c r="F746" s="116">
        <f>Dashboard_FS!$K$6</f>
        <v>0</v>
      </c>
      <c r="G746" s="12" t="s">
        <v>240</v>
      </c>
      <c r="H746" s="12" t="s">
        <v>478</v>
      </c>
      <c r="I746" s="12" t="s">
        <v>479</v>
      </c>
      <c r="J746" s="12" t="b">
        <f t="shared" si="65"/>
        <v>1</v>
      </c>
    </row>
    <row r="747" spans="1:10" x14ac:dyDescent="0.25">
      <c r="A747" s="12" t="str">
        <f t="shared" si="64"/>
        <v>Residential_Building Shell_Rim/Band Joist Insulation (Electric Heat)_3412</v>
      </c>
      <c r="B747" t="s">
        <v>162</v>
      </c>
      <c r="C747" t="s">
        <v>167</v>
      </c>
      <c r="D747" t="s">
        <v>477</v>
      </c>
      <c r="E747" s="102">
        <v>3412</v>
      </c>
      <c r="F747" s="105">
        <v>3412</v>
      </c>
      <c r="H747" s="12" t="s">
        <v>478</v>
      </c>
      <c r="I747" s="12" t="s">
        <v>479</v>
      </c>
      <c r="J747" s="12" t="b">
        <f t="shared" si="65"/>
        <v>0</v>
      </c>
    </row>
    <row r="748" spans="1:10" x14ac:dyDescent="0.25">
      <c r="A748" s="12" t="str">
        <f t="shared" si="64"/>
        <v>Residential_Building Shell_Rim/Band Joist Insulation (Electric Heat)_Delta_kWh_heatingElectric</v>
      </c>
      <c r="B748" t="s">
        <v>162</v>
      </c>
      <c r="C748" t="s">
        <v>167</v>
      </c>
      <c r="D748" t="s">
        <v>477</v>
      </c>
      <c r="E748" s="114" t="s">
        <v>437</v>
      </c>
      <c r="F748" s="116" t="e">
        <f xml:space="preserve"> ((1/ F737 - 1/ F738) *F739 * (1 - F740) * F741 * F742 * F743 * F744) / (F745 * F747)</f>
        <v>#DIV/0!</v>
      </c>
      <c r="H748" s="12" t="s">
        <v>478</v>
      </c>
      <c r="I748" s="12" t="s">
        <v>479</v>
      </c>
      <c r="J748" s="12" t="b">
        <f t="shared" si="65"/>
        <v>1</v>
      </c>
    </row>
    <row r="749" spans="1:10" x14ac:dyDescent="0.25">
      <c r="A749" s="12" t="str">
        <f t="shared" si="64"/>
        <v>Residential_Building Shell_Rim/Band Joist Insulation (Electric Heat)_Delta_kWh_heatingElectric_Mid-Life_Adj</v>
      </c>
      <c r="B749" t="s">
        <v>162</v>
      </c>
      <c r="C749" t="s">
        <v>167</v>
      </c>
      <c r="D749" t="s">
        <v>477</v>
      </c>
      <c r="E749" s="114" t="s">
        <v>438</v>
      </c>
      <c r="F749" s="116" t="e">
        <f xml:space="preserve"> ((1/ F737 - 1/ F738) *F739 * (1 - F740) * F741 * F742 * F743 * F744) / (F746 * F747)</f>
        <v>#DIV/0!</v>
      </c>
      <c r="H749" s="12" t="s">
        <v>478</v>
      </c>
      <c r="I749" s="12" t="s">
        <v>479</v>
      </c>
      <c r="J749" s="12" t="b">
        <f t="shared" si="65"/>
        <v>1</v>
      </c>
    </row>
    <row r="750" spans="1:10" x14ac:dyDescent="0.25">
      <c r="A750" s="12" t="str">
        <f t="shared" si="64"/>
        <v>Residential_Building Shell_Rim/Band Joist Insulation (Electric Heat)_Delta_Therms</v>
      </c>
      <c r="B750" t="s">
        <v>162</v>
      </c>
      <c r="C750" t="s">
        <v>167</v>
      </c>
      <c r="D750" t="s">
        <v>477</v>
      </c>
      <c r="E750" s="114" t="s">
        <v>354</v>
      </c>
      <c r="F750" s="116" t="e">
        <f>F771</f>
        <v>#DIV/0!</v>
      </c>
      <c r="H750" s="12" t="s">
        <v>478</v>
      </c>
      <c r="I750" s="12" t="s">
        <v>479</v>
      </c>
      <c r="J750" s="12" t="b">
        <f t="shared" si="65"/>
        <v>1</v>
      </c>
    </row>
    <row r="751" spans="1:10" x14ac:dyDescent="0.25">
      <c r="A751" s="12" t="str">
        <f t="shared" si="64"/>
        <v>Residential_Building Shell_Rim/Band Joist Insulation (Electric Heat)_Delta_Therms_Mid-Life_Adj</v>
      </c>
      <c r="B751" t="s">
        <v>162</v>
      </c>
      <c r="C751" t="s">
        <v>167</v>
      </c>
      <c r="D751" t="s">
        <v>477</v>
      </c>
      <c r="E751" s="114" t="s">
        <v>473</v>
      </c>
      <c r="F751" s="116" t="e">
        <f>F772</f>
        <v>#DIV/0!</v>
      </c>
      <c r="H751" s="12" t="s">
        <v>478</v>
      </c>
      <c r="I751" s="12" t="s">
        <v>479</v>
      </c>
      <c r="J751" s="12" t="b">
        <f t="shared" si="65"/>
        <v>1</v>
      </c>
    </row>
    <row r="752" spans="1:10" x14ac:dyDescent="0.25">
      <c r="A752" s="12" t="str">
        <f t="shared" si="64"/>
        <v>Residential_Building Shell_Rim/Band Joist Insulation (Electric Heat)_Fe</v>
      </c>
      <c r="B752" t="s">
        <v>162</v>
      </c>
      <c r="C752" t="s">
        <v>167</v>
      </c>
      <c r="D752" t="s">
        <v>477</v>
      </c>
      <c r="E752" s="102" t="s">
        <v>251</v>
      </c>
      <c r="F752" s="105">
        <v>3.1399999999999997E-2</v>
      </c>
      <c r="H752" s="12" t="s">
        <v>478</v>
      </c>
      <c r="I752" s="12" t="s">
        <v>479</v>
      </c>
      <c r="J752" s="12" t="b">
        <f t="shared" si="65"/>
        <v>0</v>
      </c>
    </row>
    <row r="753" spans="1:10" x14ac:dyDescent="0.25">
      <c r="A753" s="12" t="str">
        <f t="shared" si="64"/>
        <v>Residential_Building Shell_Rim/Band Joist Insulation (Electric Heat)_29.3</v>
      </c>
      <c r="B753" t="s">
        <v>162</v>
      </c>
      <c r="C753" t="s">
        <v>167</v>
      </c>
      <c r="D753" t="s">
        <v>477</v>
      </c>
      <c r="E753" s="102">
        <v>29.3</v>
      </c>
      <c r="F753" s="105">
        <v>29.3</v>
      </c>
      <c r="H753" s="12" t="s">
        <v>478</v>
      </c>
      <c r="I753" s="12" t="s">
        <v>479</v>
      </c>
      <c r="J753" s="12" t="b">
        <f t="shared" si="65"/>
        <v>0</v>
      </c>
    </row>
    <row r="754" spans="1:10" x14ac:dyDescent="0.25">
      <c r="A754" s="12" t="str">
        <f t="shared" si="64"/>
        <v>Residential_Building Shell_Rim/Band Joist Insulation (Electric Heat)_Delta_kWh_heatingGas</v>
      </c>
      <c r="B754" t="s">
        <v>162</v>
      </c>
      <c r="C754" t="s">
        <v>167</v>
      </c>
      <c r="D754" t="s">
        <v>477</v>
      </c>
      <c r="E754" s="114" t="s">
        <v>440</v>
      </c>
      <c r="F754" s="116" t="e">
        <f>F750*F752*F753</f>
        <v>#DIV/0!</v>
      </c>
      <c r="H754" s="12" t="s">
        <v>478</v>
      </c>
      <c r="I754" s="12" t="s">
        <v>479</v>
      </c>
      <c r="J754" s="12" t="b">
        <f t="shared" si="65"/>
        <v>1</v>
      </c>
    </row>
    <row r="755" spans="1:10" x14ac:dyDescent="0.25">
      <c r="A755" s="12" t="str">
        <f t="shared" si="64"/>
        <v>Residential_Building Shell_Rim/Band Joist Insulation (Electric Heat)_Delta_kWh_heatingGas_Mid-Life_Adj</v>
      </c>
      <c r="B755" t="s">
        <v>162</v>
      </c>
      <c r="C755" t="s">
        <v>167</v>
      </c>
      <c r="D755" t="s">
        <v>477</v>
      </c>
      <c r="E755" s="114" t="s">
        <v>441</v>
      </c>
      <c r="F755" s="116" t="e">
        <f>F751*F752*F753</f>
        <v>#DIV/0!</v>
      </c>
      <c r="H755" s="12" t="s">
        <v>478</v>
      </c>
      <c r="I755" s="12" t="s">
        <v>479</v>
      </c>
      <c r="J755" s="12" t="b">
        <f t="shared" si="65"/>
        <v>1</v>
      </c>
    </row>
    <row r="756" spans="1:10" x14ac:dyDescent="0.25">
      <c r="A756" s="12" t="str">
        <f t="shared" si="64"/>
        <v>Residential_Building Shell_Rim/Band Joist Insulation (Electric Heat)_FLH_cooling</v>
      </c>
      <c r="B756" t="s">
        <v>162</v>
      </c>
      <c r="C756" t="s">
        <v>167</v>
      </c>
      <c r="D756" t="s">
        <v>477</v>
      </c>
      <c r="E756" s="102" t="s">
        <v>442</v>
      </c>
      <c r="F756" s="105" t="e">
        <f>INDEX('CZ Inputs'!G:G,MATCH(A756&amp;"_"&amp;Dashboard_EE!$K$3,'CZ Inputs'!A:A,0))</f>
        <v>#N/A</v>
      </c>
      <c r="G756" s="12" t="s">
        <v>422</v>
      </c>
      <c r="H756" s="12" t="s">
        <v>478</v>
      </c>
      <c r="I756" s="12" t="s">
        <v>479</v>
      </c>
      <c r="J756" s="12" t="b">
        <f t="shared" si="65"/>
        <v>1</v>
      </c>
    </row>
    <row r="757" spans="1:10" x14ac:dyDescent="0.25">
      <c r="A757" s="12" t="str">
        <f t="shared" si="64"/>
        <v>Residential_Building Shell_Rim/Band Joist Insulation (Electric Heat)_CF</v>
      </c>
      <c r="B757" t="s">
        <v>162</v>
      </c>
      <c r="C757" t="s">
        <v>167</v>
      </c>
      <c r="D757" t="s">
        <v>477</v>
      </c>
      <c r="E757" s="102" t="s">
        <v>277</v>
      </c>
      <c r="F757" s="105">
        <v>0.68</v>
      </c>
      <c r="G757" s="12" t="s">
        <v>319</v>
      </c>
      <c r="H757" s="12" t="s">
        <v>478</v>
      </c>
      <c r="I757" s="12" t="s">
        <v>479</v>
      </c>
      <c r="J757" s="12" t="b">
        <f t="shared" si="65"/>
        <v>0</v>
      </c>
    </row>
    <row r="758" spans="1:10" x14ac:dyDescent="0.25">
      <c r="A758" s="12" t="str">
        <f t="shared" si="64"/>
        <v>Residential_Building Shell_Rim/Band Joist Insulation (Electric Heat)_Delta_kW</v>
      </c>
      <c r="B758" t="s">
        <v>162</v>
      </c>
      <c r="C758" t="s">
        <v>167</v>
      </c>
      <c r="D758" t="s">
        <v>477</v>
      </c>
      <c r="E758" s="114" t="s">
        <v>279</v>
      </c>
      <c r="F758" s="116" t="e">
        <f>(F735/F756)*F757</f>
        <v>#DIV/0!</v>
      </c>
      <c r="H758" s="12" t="s">
        <v>478</v>
      </c>
      <c r="I758" s="12" t="s">
        <v>479</v>
      </c>
      <c r="J758" s="12" t="b">
        <f t="shared" si="65"/>
        <v>1</v>
      </c>
    </row>
    <row r="759" spans="1:10" x14ac:dyDescent="0.25">
      <c r="A759" s="12" t="str">
        <f t="shared" si="64"/>
        <v>Residential_Building Shell_Rim/Band Joist Insulation (Electric Heat)_Delta_kW_Mid-Life_Adj</v>
      </c>
      <c r="B759" t="s">
        <v>162</v>
      </c>
      <c r="C759" t="s">
        <v>167</v>
      </c>
      <c r="D759" t="s">
        <v>477</v>
      </c>
      <c r="E759" s="114" t="s">
        <v>443</v>
      </c>
      <c r="F759" s="116" t="e">
        <f>(F736/F756)*F757</f>
        <v>#DIV/0!</v>
      </c>
      <c r="H759" s="12" t="s">
        <v>478</v>
      </c>
      <c r="I759" s="12" t="s">
        <v>479</v>
      </c>
      <c r="J759" s="12" t="b">
        <f t="shared" si="65"/>
        <v>1</v>
      </c>
    </row>
    <row r="760" spans="1:10" x14ac:dyDescent="0.25">
      <c r="A760" s="12" t="str">
        <f t="shared" ref="A760:A823" si="66">B760&amp;"_"&amp;C760&amp;"_"&amp;D760&amp;"_"&amp;E760</f>
        <v>Residential_Building Shell_Rim/Band Joist Insulation (Electric Heat)_R_old</v>
      </c>
      <c r="B760" t="s">
        <v>162</v>
      </c>
      <c r="C760" t="s">
        <v>167</v>
      </c>
      <c r="D760" t="s">
        <v>477</v>
      </c>
      <c r="E760" s="102" t="s">
        <v>453</v>
      </c>
      <c r="F760" s="105">
        <f>Dashboard_FS!$O$20</f>
        <v>1</v>
      </c>
      <c r="G760" s="12" t="s">
        <v>476</v>
      </c>
      <c r="H760" s="12" t="s">
        <v>478</v>
      </c>
      <c r="I760" s="12" t="s">
        <v>479</v>
      </c>
      <c r="J760" s="12" t="b">
        <f t="shared" si="65"/>
        <v>1</v>
      </c>
    </row>
    <row r="761" spans="1:10" x14ac:dyDescent="0.25">
      <c r="A761" s="12" t="str">
        <f t="shared" si="66"/>
        <v>Residential_Building Shell_Rim/Band Joist Insulation (Electric Heat)_R_rim</v>
      </c>
      <c r="B761" t="s">
        <v>162</v>
      </c>
      <c r="C761" t="s">
        <v>167</v>
      </c>
      <c r="D761" t="s">
        <v>477</v>
      </c>
      <c r="E761" s="102" t="s">
        <v>480</v>
      </c>
      <c r="F761" s="105">
        <f>Dashboard_FS!$P$20</f>
        <v>0</v>
      </c>
      <c r="H761" s="12" t="s">
        <v>478</v>
      </c>
      <c r="I761" s="12" t="s">
        <v>479</v>
      </c>
      <c r="J761" s="12" t="b">
        <f t="shared" si="65"/>
        <v>1</v>
      </c>
    </row>
    <row r="762" spans="1:10" x14ac:dyDescent="0.25">
      <c r="A762" s="12" t="str">
        <f t="shared" si="66"/>
        <v>Residential_Building Shell_Rim/Band Joist Insulation (Electric Heat)_A_rim</v>
      </c>
      <c r="B762" t="s">
        <v>162</v>
      </c>
      <c r="C762" t="s">
        <v>167</v>
      </c>
      <c r="D762" t="s">
        <v>477</v>
      </c>
      <c r="E762" s="114" t="s">
        <v>481</v>
      </c>
      <c r="F762" s="116">
        <f>Dashboard_FS!$O$9</f>
        <v>0</v>
      </c>
      <c r="G762" s="12" t="s">
        <v>414</v>
      </c>
      <c r="H762" s="12" t="s">
        <v>478</v>
      </c>
      <c r="I762" s="12" t="s">
        <v>479</v>
      </c>
      <c r="J762" s="12" t="b">
        <f t="shared" si="65"/>
        <v>1</v>
      </c>
    </row>
    <row r="763" spans="1:10" x14ac:dyDescent="0.25">
      <c r="A763" s="12" t="str">
        <f t="shared" si="66"/>
        <v>Residential_Building Shell_Rim/Band Joist Insulation (Electric Heat)_Framing_factor_rim</v>
      </c>
      <c r="B763" t="s">
        <v>162</v>
      </c>
      <c r="C763" t="s">
        <v>167</v>
      </c>
      <c r="D763" t="s">
        <v>477</v>
      </c>
      <c r="E763" s="102" t="s">
        <v>482</v>
      </c>
      <c r="F763" s="105">
        <v>0.05</v>
      </c>
      <c r="H763" s="12" t="s">
        <v>478</v>
      </c>
      <c r="I763" s="12" t="s">
        <v>479</v>
      </c>
      <c r="J763" s="12" t="b">
        <f t="shared" si="65"/>
        <v>0</v>
      </c>
    </row>
    <row r="764" spans="1:10" x14ac:dyDescent="0.25">
      <c r="A764" s="12" t="str">
        <f t="shared" si="66"/>
        <v>Residential_Building Shell_Rim/Band Joist Insulation (Electric Heat)_HDD</v>
      </c>
      <c r="B764" t="s">
        <v>162</v>
      </c>
      <c r="C764" t="s">
        <v>167</v>
      </c>
      <c r="D764" t="s">
        <v>477</v>
      </c>
      <c r="E764" s="102" t="s">
        <v>433</v>
      </c>
      <c r="F764" s="105" t="e">
        <f>INDEX('CZ Inputs'!G:G,MATCH(A764&amp;"_"&amp;Dashboard_EE!$K$3,'CZ Inputs'!A:A,0))</f>
        <v>#N/A</v>
      </c>
      <c r="G764" s="12" t="s">
        <v>483</v>
      </c>
      <c r="H764" s="12" t="s">
        <v>478</v>
      </c>
      <c r="I764" s="12" t="s">
        <v>479</v>
      </c>
      <c r="J764" s="12" t="b">
        <f t="shared" si="65"/>
        <v>1</v>
      </c>
    </row>
    <row r="765" spans="1:10" x14ac:dyDescent="0.25">
      <c r="A765" s="12" t="str">
        <f t="shared" si="66"/>
        <v>Residential_Building Shell_Rim/Band Joist Insulation (Electric Heat)_24</v>
      </c>
      <c r="B765" t="s">
        <v>162</v>
      </c>
      <c r="C765" t="s">
        <v>167</v>
      </c>
      <c r="D765" t="s">
        <v>477</v>
      </c>
      <c r="E765" s="102">
        <v>24</v>
      </c>
      <c r="F765" s="105">
        <v>24</v>
      </c>
      <c r="H765" s="12" t="s">
        <v>478</v>
      </c>
      <c r="I765" s="12" t="s">
        <v>479</v>
      </c>
      <c r="J765" s="12" t="b">
        <f t="shared" si="65"/>
        <v>0</v>
      </c>
    </row>
    <row r="766" spans="1:10" x14ac:dyDescent="0.25">
      <c r="A766" s="12" t="str">
        <f t="shared" si="66"/>
        <v>Residential_Building Shell_Rim/Band Joist Insulation (Electric Heat)_ADJBasementHeat</v>
      </c>
      <c r="B766" t="s">
        <v>162</v>
      </c>
      <c r="C766" t="s">
        <v>167</v>
      </c>
      <c r="D766" t="s">
        <v>477</v>
      </c>
      <c r="E766" s="102" t="s">
        <v>485</v>
      </c>
      <c r="F766" s="105">
        <v>0.6</v>
      </c>
      <c r="H766" s="12" t="s">
        <v>478</v>
      </c>
      <c r="I766" s="12" t="s">
        <v>479</v>
      </c>
      <c r="J766" s="12" t="b">
        <f t="shared" si="65"/>
        <v>0</v>
      </c>
    </row>
    <row r="767" spans="1:10" x14ac:dyDescent="0.25">
      <c r="A767" s="12" t="str">
        <f t="shared" si="66"/>
        <v>Residential_Building Shell_Rim/Band Joist Insulation (Electric Heat)_%GasHeat</v>
      </c>
      <c r="B767" t="s">
        <v>162</v>
      </c>
      <c r="C767" t="s">
        <v>167</v>
      </c>
      <c r="D767" t="s">
        <v>477</v>
      </c>
      <c r="E767" s="102" t="s">
        <v>463</v>
      </c>
      <c r="F767" s="105">
        <v>0</v>
      </c>
      <c r="G767" s="12" t="s">
        <v>436</v>
      </c>
      <c r="H767" s="12" t="s">
        <v>478</v>
      </c>
      <c r="I767" s="12" t="s">
        <v>479</v>
      </c>
      <c r="J767" s="12" t="b">
        <f t="shared" si="65"/>
        <v>0</v>
      </c>
    </row>
    <row r="768" spans="1:10" x14ac:dyDescent="0.25">
      <c r="A768" s="12" t="str">
        <f t="shared" si="66"/>
        <v>Residential_Building Shell_Rim/Band Joist Insulation (Electric Heat)_ηHeat</v>
      </c>
      <c r="B768" t="s">
        <v>162</v>
      </c>
      <c r="C768" t="s">
        <v>167</v>
      </c>
      <c r="D768" t="s">
        <v>477</v>
      </c>
      <c r="E768" s="114" t="s">
        <v>434</v>
      </c>
      <c r="F768" s="116">
        <f>Dashboard_FS!$K$8</f>
        <v>0</v>
      </c>
      <c r="G768" s="12" t="s">
        <v>240</v>
      </c>
      <c r="H768" s="12" t="s">
        <v>478</v>
      </c>
      <c r="I768" s="12" t="s">
        <v>479</v>
      </c>
      <c r="J768" s="12" t="b">
        <f t="shared" si="65"/>
        <v>1</v>
      </c>
    </row>
    <row r="769" spans="1:10" x14ac:dyDescent="0.25">
      <c r="A769" s="12" t="str">
        <f t="shared" si="66"/>
        <v>Residential_Building Shell_Rim/Band Joist Insulation (Electric Heat)_ηHeat_Mid-Life_Adj</v>
      </c>
      <c r="B769" t="s">
        <v>162</v>
      </c>
      <c r="C769" t="s">
        <v>167</v>
      </c>
      <c r="D769" t="s">
        <v>477</v>
      </c>
      <c r="E769" s="114" t="s">
        <v>435</v>
      </c>
      <c r="F769" s="116">
        <f>Dashboard_FS!$K$8</f>
        <v>0</v>
      </c>
      <c r="G769" s="12" t="s">
        <v>240</v>
      </c>
      <c r="H769" s="12" t="s">
        <v>478</v>
      </c>
      <c r="I769" s="12" t="s">
        <v>479</v>
      </c>
      <c r="J769" s="12" t="b">
        <f t="shared" si="65"/>
        <v>1</v>
      </c>
    </row>
    <row r="770" spans="1:10" x14ac:dyDescent="0.25">
      <c r="A770" s="12" t="str">
        <f t="shared" si="66"/>
        <v>Residential_Building Shell_Rim/Band Joist Insulation (Electric Heat)_100000</v>
      </c>
      <c r="B770" t="s">
        <v>162</v>
      </c>
      <c r="C770" t="s">
        <v>167</v>
      </c>
      <c r="D770" t="s">
        <v>477</v>
      </c>
      <c r="E770" s="102">
        <v>100000</v>
      </c>
      <c r="F770" s="105">
        <v>100000</v>
      </c>
      <c r="H770" s="12" t="s">
        <v>478</v>
      </c>
      <c r="I770" s="12" t="s">
        <v>479</v>
      </c>
      <c r="J770" s="12" t="b">
        <f t="shared" si="65"/>
        <v>0</v>
      </c>
    </row>
    <row r="771" spans="1:10" x14ac:dyDescent="0.25">
      <c r="A771" s="12" t="str">
        <f t="shared" si="66"/>
        <v>Residential_Building Shell_Rim/Band Joist Insulation (Electric Heat)_Delta_Therms</v>
      </c>
      <c r="B771" t="s">
        <v>162</v>
      </c>
      <c r="C771" t="s">
        <v>167</v>
      </c>
      <c r="D771" t="s">
        <v>477</v>
      </c>
      <c r="E771" s="114" t="s">
        <v>354</v>
      </c>
      <c r="F771" s="116" t="e">
        <f xml:space="preserve"> ((1/ F760 - 1/ F761) *F762 * (1 - F763) * F764 * F765 * F766 * F767) / (F768 * F770)</f>
        <v>#DIV/0!</v>
      </c>
      <c r="H771" s="12" t="s">
        <v>478</v>
      </c>
      <c r="I771" s="12" t="s">
        <v>479</v>
      </c>
      <c r="J771" s="12" t="b">
        <f t="shared" si="65"/>
        <v>1</v>
      </c>
    </row>
    <row r="772" spans="1:10" x14ac:dyDescent="0.25">
      <c r="A772" s="12" t="str">
        <f t="shared" si="66"/>
        <v>Residential_Building Shell_Rim/Band Joist Insulation (Electric Heat)_Delta_Therms_Mid-Life_Adj</v>
      </c>
      <c r="B772" t="s">
        <v>162</v>
      </c>
      <c r="C772" t="s">
        <v>167</v>
      </c>
      <c r="D772" t="s">
        <v>477</v>
      </c>
      <c r="E772" s="114" t="s">
        <v>473</v>
      </c>
      <c r="F772" s="116" t="e">
        <f xml:space="preserve"> ((1/ F760 - 1/ F761) *F762 * (1 - F763) * F764 * F765 * F766 * F767) / (F769 * F770)</f>
        <v>#DIV/0!</v>
      </c>
      <c r="H772" s="12" t="s">
        <v>478</v>
      </c>
      <c r="I772" s="12" t="s">
        <v>479</v>
      </c>
      <c r="J772" s="12" t="b">
        <f t="shared" si="65"/>
        <v>1</v>
      </c>
    </row>
    <row r="773" spans="1:10" x14ac:dyDescent="0.25">
      <c r="A773" s="12" t="str">
        <f t="shared" si="66"/>
        <v>Residential_Building Shell_Rim/Band Joist Insulation (Electric Heat)_Remaining Year kWh</v>
      </c>
      <c r="B773" t="s">
        <v>162</v>
      </c>
      <c r="C773" t="s">
        <v>167</v>
      </c>
      <c r="D773" t="s">
        <v>477</v>
      </c>
      <c r="E773" s="111" t="s">
        <v>447</v>
      </c>
      <c r="F773" s="101" t="e">
        <f>F735+F748+F754</f>
        <v>#DIV/0!</v>
      </c>
      <c r="H773" s="12" t="s">
        <v>478</v>
      </c>
      <c r="I773" s="12" t="s">
        <v>479</v>
      </c>
      <c r="J773" s="12" t="b">
        <f t="shared" si="65"/>
        <v>1</v>
      </c>
    </row>
    <row r="774" spans="1:10" x14ac:dyDescent="0.25">
      <c r="A774" s="12" t="str">
        <f t="shared" si="66"/>
        <v>Residential_Building Shell_Rim/Band Joist Insulation (Electric Heat)_kWh Saved per Unit</v>
      </c>
      <c r="B774" t="s">
        <v>162</v>
      </c>
      <c r="C774" t="s">
        <v>167</v>
      </c>
      <c r="D774" t="s">
        <v>477</v>
      </c>
      <c r="E774" s="111" t="s">
        <v>280</v>
      </c>
      <c r="F774" s="101" t="e">
        <f>F736+F749+F755</f>
        <v>#DIV/0!</v>
      </c>
      <c r="H774" s="12" t="s">
        <v>478</v>
      </c>
      <c r="I774" s="12" t="s">
        <v>479</v>
      </c>
      <c r="J774" s="12" t="b">
        <f t="shared" si="65"/>
        <v>1</v>
      </c>
    </row>
    <row r="775" spans="1:10" x14ac:dyDescent="0.25">
      <c r="A775" s="12" t="str">
        <f t="shared" si="66"/>
        <v>Residential_Building Shell_Rim/Band Joist Insulation (Electric Heat)_Remaining Year kW</v>
      </c>
      <c r="B775" t="s">
        <v>162</v>
      </c>
      <c r="C775" t="s">
        <v>167</v>
      </c>
      <c r="D775" t="s">
        <v>477</v>
      </c>
      <c r="E775" s="111" t="s">
        <v>448</v>
      </c>
      <c r="F775" s="101" t="e">
        <f>F758</f>
        <v>#DIV/0!</v>
      </c>
      <c r="H775" s="12" t="s">
        <v>478</v>
      </c>
      <c r="I775" s="12" t="s">
        <v>479</v>
      </c>
      <c r="J775" s="12" t="b">
        <f t="shared" si="65"/>
        <v>1</v>
      </c>
    </row>
    <row r="776" spans="1:10" x14ac:dyDescent="0.25">
      <c r="A776" s="12" t="str">
        <f t="shared" si="66"/>
        <v>Residential_Building Shell_Rim/Band Joist Insulation (Electric Heat)_Coincident Peak kW Saved per Unit</v>
      </c>
      <c r="B776" t="s">
        <v>162</v>
      </c>
      <c r="C776" t="s">
        <v>167</v>
      </c>
      <c r="D776" t="s">
        <v>477</v>
      </c>
      <c r="E776" s="111" t="s">
        <v>281</v>
      </c>
      <c r="F776" s="101" t="e">
        <f>F759</f>
        <v>#DIV/0!</v>
      </c>
      <c r="H776" s="12" t="s">
        <v>478</v>
      </c>
      <c r="I776" s="12" t="s">
        <v>479</v>
      </c>
      <c r="J776" s="12" t="b">
        <f t="shared" si="65"/>
        <v>1</v>
      </c>
    </row>
    <row r="777" spans="1:10" x14ac:dyDescent="0.25">
      <c r="A777" s="12" t="str">
        <f t="shared" si="66"/>
        <v>Residential_Building Shell_Rim/Band Joist Insulation (Electric Heat)_Remaining Year Therms</v>
      </c>
      <c r="B777" t="s">
        <v>162</v>
      </c>
      <c r="C777" t="s">
        <v>167</v>
      </c>
      <c r="D777" t="s">
        <v>477</v>
      </c>
      <c r="E777" s="111" t="s">
        <v>449</v>
      </c>
      <c r="F777" s="101" t="e">
        <f>F771</f>
        <v>#DIV/0!</v>
      </c>
      <c r="H777" s="12" t="s">
        <v>478</v>
      </c>
      <c r="I777" s="12" t="s">
        <v>479</v>
      </c>
      <c r="J777" s="12" t="b">
        <f t="shared" si="65"/>
        <v>1</v>
      </c>
    </row>
    <row r="778" spans="1:10" x14ac:dyDescent="0.25">
      <c r="A778" s="12" t="str">
        <f t="shared" si="66"/>
        <v>Residential_Building Shell_Rim/Band Joist Insulation (Electric Heat)_Therms Saved per Unit</v>
      </c>
      <c r="B778" t="s">
        <v>162</v>
      </c>
      <c r="C778" t="s">
        <v>167</v>
      </c>
      <c r="D778" t="s">
        <v>477</v>
      </c>
      <c r="E778" s="111" t="s">
        <v>376</v>
      </c>
      <c r="F778" s="101" t="e">
        <f>F772</f>
        <v>#DIV/0!</v>
      </c>
      <c r="H778" s="12" t="s">
        <v>478</v>
      </c>
      <c r="I778" s="12" t="s">
        <v>479</v>
      </c>
      <c r="J778" s="12" t="b">
        <f t="shared" si="65"/>
        <v>1</v>
      </c>
    </row>
    <row r="779" spans="1:10" x14ac:dyDescent="0.25">
      <c r="A779" s="12" t="str">
        <f t="shared" si="66"/>
        <v>Residential_Building Shell_Rim/Band Joist Insulation (Electric Heat)_Remaining Life</v>
      </c>
      <c r="B779" t="s">
        <v>162</v>
      </c>
      <c r="C779" t="s">
        <v>167</v>
      </c>
      <c r="D779" t="s">
        <v>477</v>
      </c>
      <c r="E779" s="111" t="s">
        <v>450</v>
      </c>
      <c r="F779" s="101">
        <v>10</v>
      </c>
      <c r="H779" s="12" t="s">
        <v>478</v>
      </c>
      <c r="I779" s="12" t="s">
        <v>479</v>
      </c>
      <c r="J779" s="12" t="b">
        <f t="shared" si="65"/>
        <v>0</v>
      </c>
    </row>
    <row r="780" spans="1:10" x14ac:dyDescent="0.25">
      <c r="A780" s="12" t="str">
        <f t="shared" si="66"/>
        <v>Residential_Building Shell_Rim/Band Joist Insulation (Electric Heat)_Lifetime (years)</v>
      </c>
      <c r="B780" t="s">
        <v>162</v>
      </c>
      <c r="C780" t="s">
        <v>167</v>
      </c>
      <c r="D780" t="s">
        <v>477</v>
      </c>
      <c r="E780" s="111" t="s">
        <v>284</v>
      </c>
      <c r="F780" s="101">
        <v>30</v>
      </c>
      <c r="H780" s="12" t="s">
        <v>478</v>
      </c>
      <c r="I780" s="12" t="s">
        <v>479</v>
      </c>
      <c r="J780" s="12" t="b">
        <f t="shared" si="65"/>
        <v>0</v>
      </c>
    </row>
    <row r="781" spans="1:10" x14ac:dyDescent="0.25">
      <c r="A781" s="12" t="str">
        <f t="shared" si="66"/>
        <v>Residential_Building Shell_Rim/Band Joist Insulation (Electric Heat)_Incremental Cost</v>
      </c>
      <c r="B781" t="s">
        <v>162</v>
      </c>
      <c r="C781" t="s">
        <v>167</v>
      </c>
      <c r="D781" t="s">
        <v>477</v>
      </c>
      <c r="E781" s="111" t="s">
        <v>285</v>
      </c>
      <c r="F781" s="100">
        <f>1*F725</f>
        <v>0</v>
      </c>
      <c r="G781" s="12" t="s">
        <v>451</v>
      </c>
      <c r="H781" s="12" t="s">
        <v>478</v>
      </c>
      <c r="I781" s="12" t="s">
        <v>479</v>
      </c>
      <c r="J781" s="12" t="b">
        <f t="shared" si="65"/>
        <v>1</v>
      </c>
    </row>
    <row r="782" spans="1:10" x14ac:dyDescent="0.25">
      <c r="A782" s="12" t="str">
        <f t="shared" si="66"/>
        <v>Residential_Building Shell_Rim/Band Joist Insulation (Electric Heat)_BTU Impact_Existing_Fossil Fuel</v>
      </c>
      <c r="B782" t="s">
        <v>162</v>
      </c>
      <c r="C782" t="s">
        <v>167</v>
      </c>
      <c r="D782" t="s">
        <v>477</v>
      </c>
      <c r="E782" s="111" t="s">
        <v>287</v>
      </c>
      <c r="F782" s="99">
        <v>0</v>
      </c>
      <c r="H782" s="12" t="s">
        <v>478</v>
      </c>
      <c r="I782" s="12" t="s">
        <v>479</v>
      </c>
      <c r="J782" s="12" t="b">
        <f t="shared" ref="J782:J787" si="67">_xlfn.ISFORMULA(F782)</f>
        <v>0</v>
      </c>
    </row>
    <row r="783" spans="1:10" x14ac:dyDescent="0.25">
      <c r="A783" s="12" t="str">
        <f t="shared" si="66"/>
        <v>Residential_Building Shell_Rim/Band Joist Insulation (Electric Heat)_BTU Impact_Existing_Winter Electricity</v>
      </c>
      <c r="B783" t="s">
        <v>162</v>
      </c>
      <c r="C783" t="s">
        <v>167</v>
      </c>
      <c r="D783" t="s">
        <v>477</v>
      </c>
      <c r="E783" s="111" t="s">
        <v>288</v>
      </c>
      <c r="F783" s="99">
        <v>0</v>
      </c>
      <c r="H783" s="12" t="s">
        <v>478</v>
      </c>
      <c r="I783" s="12" t="s">
        <v>479</v>
      </c>
      <c r="J783" s="12" t="b">
        <f t="shared" si="67"/>
        <v>0</v>
      </c>
    </row>
    <row r="784" spans="1:10" x14ac:dyDescent="0.25">
      <c r="A784" s="12" t="str">
        <f t="shared" si="66"/>
        <v>Residential_Building Shell_Rim/Band Joist Insulation (Electric Heat)_BTU Impact_Existing_Summer Electricity</v>
      </c>
      <c r="B784" t="s">
        <v>162</v>
      </c>
      <c r="C784" t="s">
        <v>167</v>
      </c>
      <c r="D784" t="s">
        <v>477</v>
      </c>
      <c r="E784" s="111" t="s">
        <v>289</v>
      </c>
      <c r="F784" s="99">
        <v>0</v>
      </c>
      <c r="H784" s="12" t="s">
        <v>478</v>
      </c>
      <c r="I784" s="12" t="s">
        <v>479</v>
      </c>
      <c r="J784" s="12" t="b">
        <f t="shared" si="67"/>
        <v>0</v>
      </c>
    </row>
    <row r="785" spans="1:10" x14ac:dyDescent="0.25">
      <c r="A785" s="12" t="str">
        <f t="shared" si="66"/>
        <v>Residential_Building Shell_Rim/Band Joist Insulation (Electric Heat)_BTU Impact_New_Fossil Fuel</v>
      </c>
      <c r="B785" t="s">
        <v>162</v>
      </c>
      <c r="C785" t="s">
        <v>167</v>
      </c>
      <c r="D785" t="s">
        <v>477</v>
      </c>
      <c r="E785" s="111" t="s">
        <v>290</v>
      </c>
      <c r="F785" s="99">
        <v>0</v>
      </c>
      <c r="H785" s="12" t="s">
        <v>478</v>
      </c>
      <c r="I785" s="12" t="s">
        <v>479</v>
      </c>
      <c r="J785" s="12" t="b">
        <f t="shared" si="67"/>
        <v>0</v>
      </c>
    </row>
    <row r="786" spans="1:10" x14ac:dyDescent="0.25">
      <c r="A786" s="12" t="str">
        <f t="shared" si="66"/>
        <v>Residential_Building Shell_Rim/Band Joist Insulation (Electric Heat)_BTU Impact_New_Winter Electricity</v>
      </c>
      <c r="B786" t="s">
        <v>162</v>
      </c>
      <c r="C786" t="s">
        <v>167</v>
      </c>
      <c r="D786" t="s">
        <v>477</v>
      </c>
      <c r="E786" s="111" t="s">
        <v>291</v>
      </c>
      <c r="F786" s="99" t="e">
        <f>-F748*3412</f>
        <v>#DIV/0!</v>
      </c>
      <c r="H786" s="12" t="s">
        <v>478</v>
      </c>
      <c r="I786" s="12" t="s">
        <v>479</v>
      </c>
      <c r="J786" s="12" t="b">
        <f t="shared" si="67"/>
        <v>1</v>
      </c>
    </row>
    <row r="787" spans="1:10" x14ac:dyDescent="0.25">
      <c r="A787" s="12" t="str">
        <f t="shared" si="66"/>
        <v>Residential_Building Shell_Rim/Band Joist Insulation (Electric Heat)_BTU Impact_New_Summer Electricity</v>
      </c>
      <c r="B787" t="s">
        <v>162</v>
      </c>
      <c r="C787" t="s">
        <v>167</v>
      </c>
      <c r="D787" t="s">
        <v>477</v>
      </c>
      <c r="E787" s="111" t="s">
        <v>292</v>
      </c>
      <c r="F787" s="99" t="e">
        <f>-F735*3412</f>
        <v>#DIV/0!</v>
      </c>
      <c r="H787" s="12" t="s">
        <v>478</v>
      </c>
      <c r="I787" s="12" t="s">
        <v>479</v>
      </c>
      <c r="J787" s="12" t="b">
        <f t="shared" si="67"/>
        <v>1</v>
      </c>
    </row>
    <row r="788" spans="1:10" x14ac:dyDescent="0.25">
      <c r="A788" s="12" t="str">
        <f t="shared" si="66"/>
        <v>Residential_Building Shell_Rim/Band Joist Insulation (Electric Heat)_</v>
      </c>
      <c r="B788" t="s">
        <v>162</v>
      </c>
      <c r="C788" t="s">
        <v>167</v>
      </c>
      <c r="D788" t="s">
        <v>477</v>
      </c>
      <c r="H788" s="12" t="s">
        <v>478</v>
      </c>
      <c r="I788" s="12" t="s">
        <v>479</v>
      </c>
      <c r="J788" s="12" t="b">
        <f t="shared" si="65"/>
        <v>0</v>
      </c>
    </row>
    <row r="789" spans="1:10" x14ac:dyDescent="0.25">
      <c r="A789" s="12" t="str">
        <f t="shared" si="66"/>
        <v>Residential_Building Shell_Basement Sidewall Insulation (Electric Heat)_R_old_AG</v>
      </c>
      <c r="B789" t="s">
        <v>162</v>
      </c>
      <c r="C789" t="s">
        <v>167</v>
      </c>
      <c r="D789" t="s">
        <v>486</v>
      </c>
      <c r="E789" s="102" t="s">
        <v>487</v>
      </c>
      <c r="F789" s="105">
        <f>Dashboard_FS!$O$21</f>
        <v>1</v>
      </c>
      <c r="G789" s="12" t="s">
        <v>344</v>
      </c>
      <c r="H789" s="12" t="s">
        <v>488</v>
      </c>
      <c r="I789" s="12" t="s">
        <v>489</v>
      </c>
      <c r="J789" s="12" t="b">
        <f t="shared" si="65"/>
        <v>1</v>
      </c>
    </row>
    <row r="790" spans="1:10" x14ac:dyDescent="0.25">
      <c r="A790" s="12" t="str">
        <f t="shared" si="66"/>
        <v>Residential_Building Shell_Basement Sidewall Insulation (Electric Heat)_R_added</v>
      </c>
      <c r="B790" t="s">
        <v>162</v>
      </c>
      <c r="C790" t="s">
        <v>167</v>
      </c>
      <c r="D790" t="s">
        <v>486</v>
      </c>
      <c r="E790" s="102" t="s">
        <v>490</v>
      </c>
      <c r="F790" s="105">
        <f>Dashboard_FS!$P$21</f>
        <v>0</v>
      </c>
      <c r="G790" s="12" t="s">
        <v>491</v>
      </c>
      <c r="H790" s="12" t="s">
        <v>488</v>
      </c>
      <c r="I790" s="12" t="s">
        <v>489</v>
      </c>
      <c r="J790" s="12" t="b">
        <f t="shared" si="65"/>
        <v>1</v>
      </c>
    </row>
    <row r="791" spans="1:10" x14ac:dyDescent="0.25">
      <c r="A791" s="12" t="str">
        <f t="shared" si="66"/>
        <v>Residential_Building Shell_Basement Sidewall Insulation (Electric Heat)_R_old_AG</v>
      </c>
      <c r="B791" t="s">
        <v>162</v>
      </c>
      <c r="C791" t="s">
        <v>167</v>
      </c>
      <c r="D791" t="s">
        <v>486</v>
      </c>
      <c r="E791" s="102" t="s">
        <v>487</v>
      </c>
      <c r="F791" s="105">
        <f>Dashboard_FS!$O$21</f>
        <v>1</v>
      </c>
      <c r="G791" s="12" t="s">
        <v>344</v>
      </c>
      <c r="H791" s="12" t="s">
        <v>488</v>
      </c>
      <c r="I791" s="12" t="s">
        <v>489</v>
      </c>
      <c r="J791" s="12" t="b">
        <f t="shared" si="65"/>
        <v>1</v>
      </c>
    </row>
    <row r="792" spans="1:10" x14ac:dyDescent="0.25">
      <c r="A792" s="12" t="str">
        <f t="shared" si="66"/>
        <v>Residential_Building Shell_Basement Sidewall Insulation (Electric Heat)_L_basement_wall_total</v>
      </c>
      <c r="B792" t="s">
        <v>162</v>
      </c>
      <c r="C792" t="s">
        <v>167</v>
      </c>
      <c r="D792" t="s">
        <v>486</v>
      </c>
      <c r="E792" s="114" t="s">
        <v>492</v>
      </c>
      <c r="F792" s="116">
        <f>Dashboard_FS!$O$10</f>
        <v>0</v>
      </c>
      <c r="G792" s="12" t="s">
        <v>414</v>
      </c>
      <c r="H792" s="12" t="s">
        <v>488</v>
      </c>
      <c r="I792" s="12" t="s">
        <v>489</v>
      </c>
      <c r="J792" s="12" t="b">
        <f t="shared" si="65"/>
        <v>1</v>
      </c>
    </row>
    <row r="793" spans="1:10" x14ac:dyDescent="0.25">
      <c r="A793" s="12" t="str">
        <f t="shared" si="66"/>
        <v>Residential_Building Shell_Basement Sidewall Insulation (Electric Heat)_H_basement_wall_AG</v>
      </c>
      <c r="B793" t="s">
        <v>162</v>
      </c>
      <c r="C793" t="s">
        <v>167</v>
      </c>
      <c r="D793" t="s">
        <v>486</v>
      </c>
      <c r="E793" s="114" t="s">
        <v>493</v>
      </c>
      <c r="F793" s="116">
        <f>Dashboard_FS!$O$11</f>
        <v>1</v>
      </c>
      <c r="G793" s="12" t="s">
        <v>491</v>
      </c>
      <c r="H793" s="12" t="s">
        <v>488</v>
      </c>
      <c r="I793" s="12" t="s">
        <v>489</v>
      </c>
      <c r="J793" s="12" t="b">
        <f t="shared" si="65"/>
        <v>1</v>
      </c>
    </row>
    <row r="794" spans="1:10" x14ac:dyDescent="0.25">
      <c r="A794" s="12" t="str">
        <f t="shared" si="66"/>
        <v>Residential_Building Shell_Basement Sidewall Insulation (Electric Heat)_Framing_factor</v>
      </c>
      <c r="B794" t="s">
        <v>162</v>
      </c>
      <c r="C794" t="s">
        <v>167</v>
      </c>
      <c r="D794" t="s">
        <v>486</v>
      </c>
      <c r="E794" s="102" t="s">
        <v>494</v>
      </c>
      <c r="F794" s="105">
        <v>0.25</v>
      </c>
      <c r="G794" s="12" t="s">
        <v>495</v>
      </c>
      <c r="H794" s="12" t="s">
        <v>488</v>
      </c>
      <c r="I794" s="12" t="s">
        <v>489</v>
      </c>
      <c r="J794" s="12" t="b">
        <f t="shared" si="65"/>
        <v>0</v>
      </c>
    </row>
    <row r="795" spans="1:10" x14ac:dyDescent="0.25">
      <c r="A795" s="12" t="str">
        <f t="shared" si="66"/>
        <v>Residential_Building Shell_Basement Sidewall Insulation (Electric Heat)_24</v>
      </c>
      <c r="B795" t="s">
        <v>162</v>
      </c>
      <c r="C795" t="s">
        <v>167</v>
      </c>
      <c r="D795" t="s">
        <v>486</v>
      </c>
      <c r="E795" s="102">
        <v>24</v>
      </c>
      <c r="F795" s="105">
        <v>24</v>
      </c>
      <c r="H795" s="12" t="s">
        <v>488</v>
      </c>
      <c r="I795" s="12" t="s">
        <v>489</v>
      </c>
      <c r="J795" s="12" t="b">
        <f t="shared" si="65"/>
        <v>0</v>
      </c>
    </row>
    <row r="796" spans="1:10" x14ac:dyDescent="0.25">
      <c r="A796" s="12" t="str">
        <f t="shared" si="66"/>
        <v>Residential_Building Shell_Basement Sidewall Insulation (Electric Heat)_CDD</v>
      </c>
      <c r="B796" t="s">
        <v>162</v>
      </c>
      <c r="C796" t="s">
        <v>167</v>
      </c>
      <c r="D796" t="s">
        <v>486</v>
      </c>
      <c r="E796" s="102" t="s">
        <v>421</v>
      </c>
      <c r="F796" s="105" t="e">
        <f>INDEX('CZ Inputs'!G:G,MATCH(A796&amp;"_"&amp;Dashboard_EE!$K$3,'CZ Inputs'!A:A,0))</f>
        <v>#N/A</v>
      </c>
      <c r="G796" s="12" t="s">
        <v>483</v>
      </c>
      <c r="H796" s="12" t="s">
        <v>488</v>
      </c>
      <c r="I796" s="12" t="s">
        <v>489</v>
      </c>
      <c r="J796" s="12" t="b">
        <f t="shared" si="65"/>
        <v>1</v>
      </c>
    </row>
    <row r="797" spans="1:10" x14ac:dyDescent="0.25">
      <c r="A797" s="12" t="str">
        <f t="shared" si="66"/>
        <v>Residential_Building Shell_Basement Sidewall Insulation (Electric Heat)_DUA</v>
      </c>
      <c r="B797" t="s">
        <v>162</v>
      </c>
      <c r="C797" t="s">
        <v>167</v>
      </c>
      <c r="D797" t="s">
        <v>486</v>
      </c>
      <c r="E797" s="102" t="s">
        <v>423</v>
      </c>
      <c r="F797" s="105">
        <v>0.75</v>
      </c>
      <c r="H797" s="12" t="s">
        <v>488</v>
      </c>
      <c r="I797" s="12" t="s">
        <v>489</v>
      </c>
      <c r="J797" s="12" t="b">
        <f t="shared" si="65"/>
        <v>0</v>
      </c>
    </row>
    <row r="798" spans="1:10" x14ac:dyDescent="0.25">
      <c r="A798" s="12" t="str">
        <f t="shared" si="66"/>
        <v>Residential_Building Shell_Basement Sidewall Insulation (Electric Heat)_1000</v>
      </c>
      <c r="B798" t="s">
        <v>162</v>
      </c>
      <c r="C798" t="s">
        <v>167</v>
      </c>
      <c r="D798" t="s">
        <v>486</v>
      </c>
      <c r="E798" s="102">
        <v>1000</v>
      </c>
      <c r="F798" s="105">
        <v>1000</v>
      </c>
      <c r="H798" s="12" t="s">
        <v>488</v>
      </c>
      <c r="I798" s="12" t="s">
        <v>489</v>
      </c>
      <c r="J798" s="12" t="b">
        <f t="shared" si="65"/>
        <v>0</v>
      </c>
    </row>
    <row r="799" spans="1:10" x14ac:dyDescent="0.25">
      <c r="A799" s="12" t="str">
        <f t="shared" si="66"/>
        <v>Residential_Building Shell_Basement Sidewall Insulation (Electric Heat)_ηCool</v>
      </c>
      <c r="B799" t="s">
        <v>162</v>
      </c>
      <c r="C799" t="s">
        <v>167</v>
      </c>
      <c r="D799" t="s">
        <v>486</v>
      </c>
      <c r="E799" s="114" t="s">
        <v>424</v>
      </c>
      <c r="F799" s="116">
        <f>Dashboard_FS!$K$14</f>
        <v>0</v>
      </c>
      <c r="G799" s="12" t="s">
        <v>240</v>
      </c>
      <c r="H799" s="12" t="s">
        <v>488</v>
      </c>
      <c r="I799" s="12" t="s">
        <v>489</v>
      </c>
      <c r="J799" s="12" t="b">
        <f t="shared" si="65"/>
        <v>1</v>
      </c>
    </row>
    <row r="800" spans="1:10" x14ac:dyDescent="0.25">
      <c r="A800" s="12" t="str">
        <f t="shared" si="66"/>
        <v>Residential_Building Shell_Basement Sidewall Insulation (Electric Heat)_ηCool_Mid-Life_Adj</v>
      </c>
      <c r="B800" t="s">
        <v>162</v>
      </c>
      <c r="C800" t="s">
        <v>167</v>
      </c>
      <c r="D800" t="s">
        <v>486</v>
      </c>
      <c r="E800" s="114" t="s">
        <v>425</v>
      </c>
      <c r="F800" s="116">
        <f>Dashboard_FS!$K$14</f>
        <v>0</v>
      </c>
      <c r="G800" s="12" t="s">
        <v>240</v>
      </c>
      <c r="H800" s="12" t="s">
        <v>488</v>
      </c>
      <c r="I800" s="12" t="s">
        <v>489</v>
      </c>
      <c r="J800" s="12" t="b">
        <f t="shared" si="65"/>
        <v>1</v>
      </c>
    </row>
    <row r="801" spans="1:10" x14ac:dyDescent="0.25">
      <c r="A801" s="12" t="str">
        <f t="shared" si="66"/>
        <v>Residential_Building Shell_Basement Sidewall Insulation (Electric Heat)_ADJBasementCool</v>
      </c>
      <c r="B801" t="s">
        <v>162</v>
      </c>
      <c r="C801" t="s">
        <v>167</v>
      </c>
      <c r="D801" t="s">
        <v>486</v>
      </c>
      <c r="E801" s="102" t="s">
        <v>484</v>
      </c>
      <c r="F801" s="105">
        <v>0.75</v>
      </c>
      <c r="H801" s="12" t="s">
        <v>488</v>
      </c>
      <c r="I801" s="12" t="s">
        <v>489</v>
      </c>
      <c r="J801" s="12" t="b">
        <f t="shared" si="65"/>
        <v>0</v>
      </c>
    </row>
    <row r="802" spans="1:10" x14ac:dyDescent="0.25">
      <c r="A802" s="12" t="str">
        <f t="shared" si="66"/>
        <v>Residential_Building Shell_Basement Sidewall Insulation (Electric Heat)_%Cool</v>
      </c>
      <c r="B802" t="s">
        <v>162</v>
      </c>
      <c r="C802" t="s">
        <v>167</v>
      </c>
      <c r="D802" t="s">
        <v>486</v>
      </c>
      <c r="E802" s="102" t="s">
        <v>397</v>
      </c>
      <c r="F802" s="105">
        <v>1</v>
      </c>
      <c r="H802" s="12" t="s">
        <v>488</v>
      </c>
      <c r="I802" s="12" t="s">
        <v>489</v>
      </c>
      <c r="J802" s="12" t="b">
        <f t="shared" ref="J802:J865" si="68">_xlfn.ISFORMULA(F802)</f>
        <v>0</v>
      </c>
    </row>
    <row r="803" spans="1:10" x14ac:dyDescent="0.25">
      <c r="A803" s="12" t="str">
        <f t="shared" si="66"/>
        <v>Residential_Building Shell_Basement Sidewall Insulation (Electric Heat)_Delta_kWh_cooling</v>
      </c>
      <c r="B803" t="s">
        <v>162</v>
      </c>
      <c r="C803" t="s">
        <v>167</v>
      </c>
      <c r="D803" t="s">
        <v>486</v>
      </c>
      <c r="E803" s="114" t="s">
        <v>430</v>
      </c>
      <c r="F803" s="116" t="e">
        <f xml:space="preserve"> ((((1/ F789 - 1/ (F790 + F791)) * F792 * F793 * (1 - F794)) * F795 * F796 * F797) / (F798 * F799)) * F801 * F802</f>
        <v>#N/A</v>
      </c>
      <c r="H803" s="12" t="s">
        <v>488</v>
      </c>
      <c r="I803" s="12" t="s">
        <v>489</v>
      </c>
      <c r="J803" s="12" t="b">
        <f t="shared" si="68"/>
        <v>1</v>
      </c>
    </row>
    <row r="804" spans="1:10" x14ac:dyDescent="0.25">
      <c r="A804" s="12" t="str">
        <f t="shared" si="66"/>
        <v>Residential_Building Shell_Basement Sidewall Insulation (Electric Heat)_Delta_kWh_cooling_Mid-Life_Adj</v>
      </c>
      <c r="B804" t="s">
        <v>162</v>
      </c>
      <c r="C804" t="s">
        <v>167</v>
      </c>
      <c r="D804" t="s">
        <v>486</v>
      </c>
      <c r="E804" s="114" t="s">
        <v>431</v>
      </c>
      <c r="F804" s="116" t="e">
        <f xml:space="preserve"> ((((1/ F789 - 1/ (F790 + F791)) * F792 * F793 * (1 - F794)) * F795 * F796 * F797) / (F798 * F800)) * F801 * F802</f>
        <v>#N/A</v>
      </c>
      <c r="H804" s="12" t="s">
        <v>488</v>
      </c>
      <c r="I804" s="12" t="s">
        <v>489</v>
      </c>
      <c r="J804" s="12" t="b">
        <f t="shared" si="68"/>
        <v>1</v>
      </c>
    </row>
    <row r="805" spans="1:10" x14ac:dyDescent="0.25">
      <c r="A805" s="12" t="str">
        <f t="shared" si="66"/>
        <v>Residential_Building Shell_Basement Sidewall Insulation (Electric Heat)_R_old_AG</v>
      </c>
      <c r="B805" t="s">
        <v>162</v>
      </c>
      <c r="C805" t="s">
        <v>167</v>
      </c>
      <c r="D805" t="s">
        <v>486</v>
      </c>
      <c r="E805" s="102" t="s">
        <v>487</v>
      </c>
      <c r="F805" s="105">
        <f>Dashboard_FS!$O$21</f>
        <v>1</v>
      </c>
      <c r="G805" s="12" t="s">
        <v>344</v>
      </c>
      <c r="H805" s="12" t="s">
        <v>488</v>
      </c>
      <c r="I805" s="12" t="s">
        <v>489</v>
      </c>
      <c r="J805" s="12" t="b">
        <f t="shared" si="68"/>
        <v>1</v>
      </c>
    </row>
    <row r="806" spans="1:10" x14ac:dyDescent="0.25">
      <c r="A806" s="12" t="str">
        <f t="shared" si="66"/>
        <v>Residential_Building Shell_Basement Sidewall Insulation (Electric Heat)_R_added</v>
      </c>
      <c r="B806" t="s">
        <v>162</v>
      </c>
      <c r="C806" t="s">
        <v>167</v>
      </c>
      <c r="D806" t="s">
        <v>486</v>
      </c>
      <c r="E806" s="102" t="s">
        <v>490</v>
      </c>
      <c r="F806" s="105">
        <f>Dashboard_FS!$P$21</f>
        <v>0</v>
      </c>
      <c r="G806" s="12" t="s">
        <v>491</v>
      </c>
      <c r="H806" s="12" t="s">
        <v>488</v>
      </c>
      <c r="I806" s="12" t="s">
        <v>489</v>
      </c>
      <c r="J806" s="12" t="b">
        <f t="shared" si="68"/>
        <v>1</v>
      </c>
    </row>
    <row r="807" spans="1:10" x14ac:dyDescent="0.25">
      <c r="A807" s="12" t="str">
        <f t="shared" si="66"/>
        <v>Residential_Building Shell_Basement Sidewall Insulation (Electric Heat)_R_old_AG</v>
      </c>
      <c r="B807" t="s">
        <v>162</v>
      </c>
      <c r="C807" t="s">
        <v>167</v>
      </c>
      <c r="D807" t="s">
        <v>486</v>
      </c>
      <c r="E807" s="102" t="s">
        <v>487</v>
      </c>
      <c r="F807" s="105">
        <f>Dashboard_FS!$O$21</f>
        <v>1</v>
      </c>
      <c r="G807" s="12" t="s">
        <v>344</v>
      </c>
      <c r="H807" s="12" t="s">
        <v>488</v>
      </c>
      <c r="I807" s="12" t="s">
        <v>489</v>
      </c>
      <c r="J807" s="12" t="b">
        <f t="shared" si="68"/>
        <v>1</v>
      </c>
    </row>
    <row r="808" spans="1:10" x14ac:dyDescent="0.25">
      <c r="A808" s="12" t="str">
        <f t="shared" si="66"/>
        <v>Residential_Building Shell_Basement Sidewall Insulation (Electric Heat)_L_basement_wall_total</v>
      </c>
      <c r="B808" t="s">
        <v>162</v>
      </c>
      <c r="C808" t="s">
        <v>167</v>
      </c>
      <c r="D808" t="s">
        <v>486</v>
      </c>
      <c r="E808" s="114" t="s">
        <v>492</v>
      </c>
      <c r="F808" s="116">
        <f>Dashboard_FS!$O$10</f>
        <v>0</v>
      </c>
      <c r="G808" s="12" t="s">
        <v>414</v>
      </c>
      <c r="H808" s="12" t="s">
        <v>488</v>
      </c>
      <c r="I808" s="12" t="s">
        <v>489</v>
      </c>
      <c r="J808" s="12" t="b">
        <f t="shared" si="68"/>
        <v>1</v>
      </c>
    </row>
    <row r="809" spans="1:10" x14ac:dyDescent="0.25">
      <c r="A809" s="12" t="str">
        <f t="shared" si="66"/>
        <v>Residential_Building Shell_Basement Sidewall Insulation (Electric Heat)_H_basement_wall_AG</v>
      </c>
      <c r="B809" t="s">
        <v>162</v>
      </c>
      <c r="C809" t="s">
        <v>167</v>
      </c>
      <c r="D809" t="s">
        <v>486</v>
      </c>
      <c r="E809" s="114" t="s">
        <v>493</v>
      </c>
      <c r="F809" s="116">
        <f>Dashboard_FS!$O$11</f>
        <v>1</v>
      </c>
      <c r="G809" s="12" t="s">
        <v>491</v>
      </c>
      <c r="H809" s="12" t="s">
        <v>488</v>
      </c>
      <c r="I809" s="12" t="s">
        <v>489</v>
      </c>
      <c r="J809" s="12" t="b">
        <f t="shared" si="68"/>
        <v>1</v>
      </c>
    </row>
    <row r="810" spans="1:10" x14ac:dyDescent="0.25">
      <c r="A810" s="12" t="str">
        <f t="shared" si="66"/>
        <v>Residential_Building Shell_Basement Sidewall Insulation (Electric Heat)_Framing_factor</v>
      </c>
      <c r="B810" t="s">
        <v>162</v>
      </c>
      <c r="C810" t="s">
        <v>167</v>
      </c>
      <c r="D810" t="s">
        <v>486</v>
      </c>
      <c r="E810" s="102" t="s">
        <v>494</v>
      </c>
      <c r="F810" s="105">
        <v>0.25</v>
      </c>
      <c r="G810" s="12" t="s">
        <v>495</v>
      </c>
      <c r="H810" s="12" t="s">
        <v>488</v>
      </c>
      <c r="I810" s="12" t="s">
        <v>489</v>
      </c>
      <c r="J810" s="12" t="b">
        <f t="shared" si="68"/>
        <v>0</v>
      </c>
    </row>
    <row r="811" spans="1:10" x14ac:dyDescent="0.25">
      <c r="A811" s="12" t="str">
        <f t="shared" si="66"/>
        <v>Residential_Building Shell_Basement Sidewall Insulation (Electric Heat)_R_old_BG</v>
      </c>
      <c r="B811" t="s">
        <v>162</v>
      </c>
      <c r="C811" t="s">
        <v>167</v>
      </c>
      <c r="D811" t="s">
        <v>486</v>
      </c>
      <c r="E811" s="102" t="s">
        <v>496</v>
      </c>
      <c r="F811" s="105">
        <v>7.42</v>
      </c>
      <c r="G811" s="12" t="s">
        <v>497</v>
      </c>
      <c r="H811" s="12" t="s">
        <v>488</v>
      </c>
      <c r="I811" s="12" t="s">
        <v>489</v>
      </c>
      <c r="J811" s="12" t="b">
        <f t="shared" si="68"/>
        <v>0</v>
      </c>
    </row>
    <row r="812" spans="1:10" x14ac:dyDescent="0.25">
      <c r="A812" s="12" t="str">
        <f t="shared" si="66"/>
        <v>Residential_Building Shell_Basement Sidewall Insulation (Electric Heat)_R_added</v>
      </c>
      <c r="B812" t="s">
        <v>162</v>
      </c>
      <c r="C812" t="s">
        <v>167</v>
      </c>
      <c r="D812" t="s">
        <v>486</v>
      </c>
      <c r="E812" s="102" t="s">
        <v>490</v>
      </c>
      <c r="F812" s="105">
        <f>Dashboard_FS!$P$21</f>
        <v>0</v>
      </c>
      <c r="G812" s="12" t="s">
        <v>491</v>
      </c>
      <c r="H812" s="12" t="s">
        <v>488</v>
      </c>
      <c r="I812" s="12" t="s">
        <v>489</v>
      </c>
      <c r="J812" s="12" t="b">
        <f t="shared" si="68"/>
        <v>1</v>
      </c>
    </row>
    <row r="813" spans="1:10" x14ac:dyDescent="0.25">
      <c r="A813" s="12" t="str">
        <f t="shared" si="66"/>
        <v>Residential_Building Shell_Basement Sidewall Insulation (Electric Heat)_R_old_BG</v>
      </c>
      <c r="B813" t="s">
        <v>162</v>
      </c>
      <c r="C813" t="s">
        <v>167</v>
      </c>
      <c r="D813" t="s">
        <v>486</v>
      </c>
      <c r="E813" s="102" t="s">
        <v>496</v>
      </c>
      <c r="F813" s="105">
        <v>7.42</v>
      </c>
      <c r="G813" s="12" t="s">
        <v>497</v>
      </c>
      <c r="H813" s="12" t="s">
        <v>488</v>
      </c>
      <c r="I813" s="12" t="s">
        <v>489</v>
      </c>
      <c r="J813" s="12" t="b">
        <f t="shared" si="68"/>
        <v>0</v>
      </c>
    </row>
    <row r="814" spans="1:10" x14ac:dyDescent="0.25">
      <c r="A814" s="12" t="str">
        <f t="shared" si="66"/>
        <v>Residential_Building Shell_Basement Sidewall Insulation (Electric Heat)_L_basement_wall_total</v>
      </c>
      <c r="B814" t="s">
        <v>162</v>
      </c>
      <c r="C814" t="s">
        <v>167</v>
      </c>
      <c r="D814" t="s">
        <v>486</v>
      </c>
      <c r="E814" s="114" t="s">
        <v>492</v>
      </c>
      <c r="F814" s="116">
        <f>Dashboard_FS!$O$10</f>
        <v>0</v>
      </c>
      <c r="G814" s="12" t="s">
        <v>414</v>
      </c>
      <c r="H814" s="12" t="s">
        <v>488</v>
      </c>
      <c r="I814" s="12" t="s">
        <v>489</v>
      </c>
      <c r="J814" s="12" t="b">
        <f t="shared" si="68"/>
        <v>1</v>
      </c>
    </row>
    <row r="815" spans="1:10" x14ac:dyDescent="0.25">
      <c r="A815" s="12" t="str">
        <f t="shared" si="66"/>
        <v>Residential_Building Shell_Basement Sidewall Insulation (Electric Heat)_H_basement_wall_total</v>
      </c>
      <c r="B815" t="s">
        <v>162</v>
      </c>
      <c r="C815" t="s">
        <v>167</v>
      </c>
      <c r="D815" t="s">
        <v>486</v>
      </c>
      <c r="E815" s="114" t="s">
        <v>498</v>
      </c>
      <c r="F815" s="116">
        <f>Dashboard_FS!$O$12</f>
        <v>3</v>
      </c>
      <c r="G815" s="12" t="s">
        <v>491</v>
      </c>
      <c r="H815" s="12" t="s">
        <v>488</v>
      </c>
      <c r="I815" s="12" t="s">
        <v>489</v>
      </c>
      <c r="J815" s="12" t="b">
        <f t="shared" si="68"/>
        <v>1</v>
      </c>
    </row>
    <row r="816" spans="1:10" x14ac:dyDescent="0.25">
      <c r="A816" s="12" t="str">
        <f t="shared" si="66"/>
        <v>Residential_Building Shell_Basement Sidewall Insulation (Electric Heat)_H_basement_wall_AG</v>
      </c>
      <c r="B816" t="s">
        <v>162</v>
      </c>
      <c r="C816" t="s">
        <v>167</v>
      </c>
      <c r="D816" t="s">
        <v>486</v>
      </c>
      <c r="E816" s="114" t="s">
        <v>493</v>
      </c>
      <c r="F816" s="116">
        <f>Dashboard_FS!$O$11</f>
        <v>1</v>
      </c>
      <c r="G816" s="12" t="s">
        <v>491</v>
      </c>
      <c r="H816" s="12" t="s">
        <v>488</v>
      </c>
      <c r="I816" s="12" t="s">
        <v>489</v>
      </c>
      <c r="J816" s="12" t="b">
        <f t="shared" si="68"/>
        <v>1</v>
      </c>
    </row>
    <row r="817" spans="1:10" x14ac:dyDescent="0.25">
      <c r="A817" s="12" t="str">
        <f t="shared" si="66"/>
        <v>Residential_Building Shell_Basement Sidewall Insulation (Electric Heat)_Framing_factor</v>
      </c>
      <c r="B817" t="s">
        <v>162</v>
      </c>
      <c r="C817" t="s">
        <v>167</v>
      </c>
      <c r="D817" t="s">
        <v>486</v>
      </c>
      <c r="E817" s="102" t="s">
        <v>494</v>
      </c>
      <c r="F817" s="105">
        <v>0.25</v>
      </c>
      <c r="G817" s="12" t="s">
        <v>495</v>
      </c>
      <c r="H817" s="12" t="s">
        <v>488</v>
      </c>
      <c r="I817" s="12" t="s">
        <v>489</v>
      </c>
      <c r="J817" s="12" t="b">
        <f t="shared" si="68"/>
        <v>0</v>
      </c>
    </row>
    <row r="818" spans="1:10" x14ac:dyDescent="0.25">
      <c r="A818" s="12" t="str">
        <f t="shared" si="66"/>
        <v>Residential_Building Shell_Basement Sidewall Insulation (Electric Heat)_24</v>
      </c>
      <c r="B818" t="s">
        <v>162</v>
      </c>
      <c r="C818" t="s">
        <v>167</v>
      </c>
      <c r="D818" t="s">
        <v>486</v>
      </c>
      <c r="E818" s="102">
        <v>24</v>
      </c>
      <c r="F818" s="105">
        <v>24</v>
      </c>
      <c r="H818" s="12" t="s">
        <v>488</v>
      </c>
      <c r="I818" s="12" t="s">
        <v>489</v>
      </c>
      <c r="J818" s="12" t="b">
        <f t="shared" si="68"/>
        <v>0</v>
      </c>
    </row>
    <row r="819" spans="1:10" x14ac:dyDescent="0.25">
      <c r="A819" s="12" t="str">
        <f t="shared" si="66"/>
        <v>Residential_Building Shell_Basement Sidewall Insulation (Electric Heat)_HDD</v>
      </c>
      <c r="B819" t="s">
        <v>162</v>
      </c>
      <c r="C819" t="s">
        <v>167</v>
      </c>
      <c r="D819" t="s">
        <v>486</v>
      </c>
      <c r="E819" s="102" t="s">
        <v>433</v>
      </c>
      <c r="F819" s="105" t="e">
        <f>INDEX('CZ Inputs'!G:G,MATCH(A819&amp;"_"&amp;Dashboard_EE!$K$3,'CZ Inputs'!A:A,0))</f>
        <v>#N/A</v>
      </c>
      <c r="G819" s="12" t="s">
        <v>483</v>
      </c>
      <c r="H819" s="12" t="s">
        <v>488</v>
      </c>
      <c r="I819" s="12" t="s">
        <v>489</v>
      </c>
      <c r="J819" s="12" t="b">
        <f t="shared" si="68"/>
        <v>1</v>
      </c>
    </row>
    <row r="820" spans="1:10" x14ac:dyDescent="0.25">
      <c r="A820" s="12" t="str">
        <f t="shared" si="66"/>
        <v>Residential_Building Shell_Basement Sidewall Insulation (Electric Heat)_3412</v>
      </c>
      <c r="B820" t="s">
        <v>162</v>
      </c>
      <c r="C820" t="s">
        <v>167</v>
      </c>
      <c r="D820" t="s">
        <v>486</v>
      </c>
      <c r="E820" s="102">
        <v>3412</v>
      </c>
      <c r="F820" s="105">
        <v>3412</v>
      </c>
      <c r="H820" s="12" t="s">
        <v>488</v>
      </c>
      <c r="I820" s="12" t="s">
        <v>489</v>
      </c>
      <c r="J820" s="12" t="b">
        <f t="shared" si="68"/>
        <v>0</v>
      </c>
    </row>
    <row r="821" spans="1:10" x14ac:dyDescent="0.25">
      <c r="A821" s="12" t="str">
        <f t="shared" si="66"/>
        <v>Residential_Building Shell_Basement Sidewall Insulation (Electric Heat)_ηHeat</v>
      </c>
      <c r="B821" t="s">
        <v>162</v>
      </c>
      <c r="C821" t="s">
        <v>167</v>
      </c>
      <c r="D821" t="s">
        <v>486</v>
      </c>
      <c r="E821" s="114" t="s">
        <v>434</v>
      </c>
      <c r="F821" s="116">
        <f>Dashboard_FS!$K$6</f>
        <v>0</v>
      </c>
      <c r="G821" s="12" t="s">
        <v>240</v>
      </c>
      <c r="H821" s="12" t="s">
        <v>488</v>
      </c>
      <c r="I821" s="12" t="s">
        <v>489</v>
      </c>
      <c r="J821" s="12" t="b">
        <f t="shared" si="68"/>
        <v>1</v>
      </c>
    </row>
    <row r="822" spans="1:10" x14ac:dyDescent="0.25">
      <c r="A822" s="12" t="str">
        <f t="shared" si="66"/>
        <v>Residential_Building Shell_Basement Sidewall Insulation (Electric Heat)_ηHeat_Mid-Life_Adj</v>
      </c>
      <c r="B822" t="s">
        <v>162</v>
      </c>
      <c r="C822" t="s">
        <v>167</v>
      </c>
      <c r="D822" t="s">
        <v>486</v>
      </c>
      <c r="E822" s="114" t="s">
        <v>435</v>
      </c>
      <c r="F822" s="116">
        <f>Dashboard_FS!$K$6</f>
        <v>0</v>
      </c>
      <c r="G822" s="12" t="s">
        <v>240</v>
      </c>
      <c r="H822" s="12" t="s">
        <v>488</v>
      </c>
      <c r="I822" s="12" t="s">
        <v>489</v>
      </c>
      <c r="J822" s="12" t="b">
        <f t="shared" si="68"/>
        <v>1</v>
      </c>
    </row>
    <row r="823" spans="1:10" x14ac:dyDescent="0.25">
      <c r="A823" s="12" t="str">
        <f t="shared" si="66"/>
        <v>Residential_Building Shell_Basement Sidewall Insulation (Electric Heat)_ADJBasementHeat</v>
      </c>
      <c r="B823" t="s">
        <v>162</v>
      </c>
      <c r="C823" t="s">
        <v>167</v>
      </c>
      <c r="D823" t="s">
        <v>486</v>
      </c>
      <c r="E823" s="102" t="s">
        <v>485</v>
      </c>
      <c r="F823" s="105">
        <v>0.6</v>
      </c>
      <c r="H823" s="12" t="s">
        <v>488</v>
      </c>
      <c r="I823" s="12" t="s">
        <v>489</v>
      </c>
      <c r="J823" s="12" t="b">
        <f t="shared" si="68"/>
        <v>0</v>
      </c>
    </row>
    <row r="824" spans="1:10" x14ac:dyDescent="0.25">
      <c r="A824" s="12" t="str">
        <f t="shared" ref="A824:A887" si="69">B824&amp;"_"&amp;C824&amp;"_"&amp;D824&amp;"_"&amp;E824</f>
        <v>Residential_Building Shell_Basement Sidewall Insulation (Electric Heat)_%ElectricHeat</v>
      </c>
      <c r="B824" t="s">
        <v>162</v>
      </c>
      <c r="C824" t="s">
        <v>167</v>
      </c>
      <c r="D824" t="s">
        <v>486</v>
      </c>
      <c r="E824" s="102" t="s">
        <v>402</v>
      </c>
      <c r="F824" s="105">
        <v>1</v>
      </c>
      <c r="G824" s="12" t="s">
        <v>436</v>
      </c>
      <c r="H824" s="12" t="s">
        <v>488</v>
      </c>
      <c r="I824" s="12" t="s">
        <v>489</v>
      </c>
      <c r="J824" s="12" t="b">
        <f t="shared" si="68"/>
        <v>0</v>
      </c>
    </row>
    <row r="825" spans="1:10" x14ac:dyDescent="0.25">
      <c r="A825" s="12" t="str">
        <f t="shared" si="69"/>
        <v>Residential_Building Shell_Basement Sidewall Insulation (Electric Heat)_Delta_kWh_heatingElectric</v>
      </c>
      <c r="B825" t="s">
        <v>162</v>
      </c>
      <c r="C825" t="s">
        <v>167</v>
      </c>
      <c r="D825" t="s">
        <v>486</v>
      </c>
      <c r="E825" s="114" t="s">
        <v>437</v>
      </c>
      <c r="F825" s="116" t="e">
        <f xml:space="preserve"> ((((1/ F805 - 1/ (F806 + F807)) * F808 * F809 * (1 - F810)) + (((1/ F811 - 1/ (F812 + F813)) * F814 * (F815 - F816) * (1 - F817))) * F818 * F819) / (F820 * F821)) * F823 * F824</f>
        <v>#N/A</v>
      </c>
      <c r="H825" s="12" t="s">
        <v>488</v>
      </c>
      <c r="I825" s="12" t="s">
        <v>489</v>
      </c>
      <c r="J825" s="12" t="b">
        <f t="shared" si="68"/>
        <v>1</v>
      </c>
    </row>
    <row r="826" spans="1:10" x14ac:dyDescent="0.25">
      <c r="A826" s="12" t="str">
        <f t="shared" si="69"/>
        <v>Residential_Building Shell_Basement Sidewall Insulation (Electric Heat)_Delta_kWh_heatingElectric_Mid-Life_Adj</v>
      </c>
      <c r="B826" t="s">
        <v>162</v>
      </c>
      <c r="C826" t="s">
        <v>167</v>
      </c>
      <c r="D826" t="s">
        <v>486</v>
      </c>
      <c r="E826" s="114" t="s">
        <v>438</v>
      </c>
      <c r="F826" s="116" t="e">
        <f xml:space="preserve"> ((((1/ F805 - 1/ (F806 + F807)) * F808 * F809 * (1 - F810)) + (((1/ F811 - 1/ (F812 + F813)) * F814 * (F815 - F816) * (1 - F817))) * F818 * F819) / (F820 * F822)) * F823 * F824</f>
        <v>#N/A</v>
      </c>
      <c r="H826" s="12" t="s">
        <v>488</v>
      </c>
      <c r="I826" s="12" t="s">
        <v>489</v>
      </c>
      <c r="J826" s="12" t="b">
        <f t="shared" si="68"/>
        <v>1</v>
      </c>
    </row>
    <row r="827" spans="1:10" x14ac:dyDescent="0.25">
      <c r="A827" s="12" t="str">
        <f t="shared" si="69"/>
        <v>Residential_Building Shell_Basement Sidewall Insulation (Electric Heat)_Delta_Therms</v>
      </c>
      <c r="B827" t="s">
        <v>162</v>
      </c>
      <c r="C827" t="s">
        <v>167</v>
      </c>
      <c r="D827" t="s">
        <v>486</v>
      </c>
      <c r="E827" s="114" t="s">
        <v>354</v>
      </c>
      <c r="F827" s="116" t="e">
        <f>F857</f>
        <v>#N/A</v>
      </c>
      <c r="H827" s="12" t="s">
        <v>488</v>
      </c>
      <c r="I827" s="12" t="s">
        <v>489</v>
      </c>
      <c r="J827" s="12" t="b">
        <f t="shared" si="68"/>
        <v>1</v>
      </c>
    </row>
    <row r="828" spans="1:10" x14ac:dyDescent="0.25">
      <c r="A828" s="12" t="str">
        <f t="shared" si="69"/>
        <v>Residential_Building Shell_Basement Sidewall Insulation (Electric Heat)_Delta_Therms_Mid-Life_Adj</v>
      </c>
      <c r="B828" t="s">
        <v>162</v>
      </c>
      <c r="C828" t="s">
        <v>167</v>
      </c>
      <c r="D828" t="s">
        <v>486</v>
      </c>
      <c r="E828" s="114" t="s">
        <v>473</v>
      </c>
      <c r="F828" s="116" t="e">
        <f>F858</f>
        <v>#N/A</v>
      </c>
      <c r="H828" s="12" t="s">
        <v>488</v>
      </c>
      <c r="I828" s="12" t="s">
        <v>489</v>
      </c>
      <c r="J828" s="12" t="b">
        <f t="shared" si="68"/>
        <v>1</v>
      </c>
    </row>
    <row r="829" spans="1:10" x14ac:dyDescent="0.25">
      <c r="A829" s="12" t="str">
        <f t="shared" si="69"/>
        <v>Residential_Building Shell_Basement Sidewall Insulation (Electric Heat)_Fe</v>
      </c>
      <c r="B829" t="s">
        <v>162</v>
      </c>
      <c r="C829" t="s">
        <v>167</v>
      </c>
      <c r="D829" t="s">
        <v>486</v>
      </c>
      <c r="E829" s="102" t="s">
        <v>251</v>
      </c>
      <c r="F829" s="105">
        <v>3.1399999999999997E-2</v>
      </c>
      <c r="H829" s="12" t="s">
        <v>488</v>
      </c>
      <c r="I829" s="12" t="s">
        <v>489</v>
      </c>
      <c r="J829" s="12" t="b">
        <f t="shared" si="68"/>
        <v>0</v>
      </c>
    </row>
    <row r="830" spans="1:10" x14ac:dyDescent="0.25">
      <c r="A830" s="12" t="str">
        <f t="shared" si="69"/>
        <v>Residential_Building Shell_Basement Sidewall Insulation (Electric Heat)_29.3</v>
      </c>
      <c r="B830" t="s">
        <v>162</v>
      </c>
      <c r="C830" t="s">
        <v>167</v>
      </c>
      <c r="D830" t="s">
        <v>486</v>
      </c>
      <c r="E830" s="102">
        <v>29.3</v>
      </c>
      <c r="F830" s="105">
        <v>29.3</v>
      </c>
      <c r="H830" s="12" t="s">
        <v>488</v>
      </c>
      <c r="I830" s="12" t="s">
        <v>489</v>
      </c>
      <c r="J830" s="12" t="b">
        <f t="shared" si="68"/>
        <v>0</v>
      </c>
    </row>
    <row r="831" spans="1:10" x14ac:dyDescent="0.25">
      <c r="A831" s="12" t="str">
        <f t="shared" si="69"/>
        <v>Residential_Building Shell_Basement Sidewall Insulation (Electric Heat)_Delta_kWh_heatingGas</v>
      </c>
      <c r="B831" t="s">
        <v>162</v>
      </c>
      <c r="C831" t="s">
        <v>167</v>
      </c>
      <c r="D831" t="s">
        <v>486</v>
      </c>
      <c r="E831" s="114" t="s">
        <v>440</v>
      </c>
      <c r="F831" s="116" t="e">
        <f>F827*F829*F830</f>
        <v>#N/A</v>
      </c>
      <c r="H831" s="12" t="s">
        <v>488</v>
      </c>
      <c r="I831" s="12" t="s">
        <v>489</v>
      </c>
      <c r="J831" s="12" t="b">
        <f t="shared" si="68"/>
        <v>1</v>
      </c>
    </row>
    <row r="832" spans="1:10" x14ac:dyDescent="0.25">
      <c r="A832" s="12" t="str">
        <f t="shared" si="69"/>
        <v>Residential_Building Shell_Basement Sidewall Insulation (Electric Heat)_Delta_kWh_heatingGas_Mid-Life_Adj</v>
      </c>
      <c r="B832" t="s">
        <v>162</v>
      </c>
      <c r="C832" t="s">
        <v>167</v>
      </c>
      <c r="D832" t="s">
        <v>486</v>
      </c>
      <c r="E832" s="114" t="s">
        <v>441</v>
      </c>
      <c r="F832" s="116" t="e">
        <f>F828*F829*F830</f>
        <v>#N/A</v>
      </c>
      <c r="H832" s="12" t="s">
        <v>488</v>
      </c>
      <c r="I832" s="12" t="s">
        <v>489</v>
      </c>
      <c r="J832" s="12" t="b">
        <f t="shared" si="68"/>
        <v>1</v>
      </c>
    </row>
    <row r="833" spans="1:10" x14ac:dyDescent="0.25">
      <c r="A833" s="12" t="str">
        <f t="shared" si="69"/>
        <v>Residential_Building Shell_Basement Sidewall Insulation (Electric Heat)_FLH_cooling</v>
      </c>
      <c r="B833" t="s">
        <v>162</v>
      </c>
      <c r="C833" t="s">
        <v>167</v>
      </c>
      <c r="D833" t="s">
        <v>486</v>
      </c>
      <c r="E833" s="102" t="s">
        <v>442</v>
      </c>
      <c r="F833" s="105" t="e">
        <f>INDEX('CZ Inputs'!G:G,MATCH(A833&amp;"_"&amp;Dashboard_EE!$K$3,'CZ Inputs'!A:A,0))</f>
        <v>#N/A</v>
      </c>
      <c r="G833" s="12" t="s">
        <v>422</v>
      </c>
      <c r="H833" s="12" t="s">
        <v>488</v>
      </c>
      <c r="I833" s="12" t="s">
        <v>489</v>
      </c>
      <c r="J833" s="12" t="b">
        <f t="shared" si="68"/>
        <v>1</v>
      </c>
    </row>
    <row r="834" spans="1:10" x14ac:dyDescent="0.25">
      <c r="A834" s="12" t="str">
        <f t="shared" si="69"/>
        <v>Residential_Building Shell_Basement Sidewall Insulation (Electric Heat)_CF</v>
      </c>
      <c r="B834" t="s">
        <v>162</v>
      </c>
      <c r="C834" t="s">
        <v>167</v>
      </c>
      <c r="D834" t="s">
        <v>486</v>
      </c>
      <c r="E834" s="102" t="s">
        <v>277</v>
      </c>
      <c r="F834" s="105">
        <v>0.68</v>
      </c>
      <c r="G834" s="12" t="s">
        <v>319</v>
      </c>
      <c r="H834" s="12" t="s">
        <v>488</v>
      </c>
      <c r="I834" s="12" t="s">
        <v>489</v>
      </c>
      <c r="J834" s="12" t="b">
        <f t="shared" si="68"/>
        <v>0</v>
      </c>
    </row>
    <row r="835" spans="1:10" x14ac:dyDescent="0.25">
      <c r="A835" s="12" t="str">
        <f t="shared" si="69"/>
        <v>Residential_Building Shell_Basement Sidewall Insulation (Electric Heat)_Delta_kW</v>
      </c>
      <c r="B835" t="s">
        <v>162</v>
      </c>
      <c r="C835" t="s">
        <v>167</v>
      </c>
      <c r="D835" t="s">
        <v>486</v>
      </c>
      <c r="E835" s="114" t="s">
        <v>279</v>
      </c>
      <c r="F835" s="116" t="e">
        <f>(F803/F833)*F834</f>
        <v>#N/A</v>
      </c>
      <c r="H835" s="12" t="s">
        <v>488</v>
      </c>
      <c r="I835" s="12" t="s">
        <v>489</v>
      </c>
      <c r="J835" s="12" t="b">
        <f t="shared" si="68"/>
        <v>1</v>
      </c>
    </row>
    <row r="836" spans="1:10" x14ac:dyDescent="0.25">
      <c r="A836" s="12" t="str">
        <f t="shared" si="69"/>
        <v>Residential_Building Shell_Basement Sidewall Insulation (Electric Heat)_Delta_kW_Mid-Life_Adj</v>
      </c>
      <c r="B836" t="s">
        <v>162</v>
      </c>
      <c r="C836" t="s">
        <v>167</v>
      </c>
      <c r="D836" t="s">
        <v>486</v>
      </c>
      <c r="E836" s="114" t="s">
        <v>443</v>
      </c>
      <c r="F836" s="116" t="e">
        <f>(F804/F833)*F834</f>
        <v>#N/A</v>
      </c>
      <c r="H836" s="12" t="s">
        <v>488</v>
      </c>
      <c r="I836" s="12" t="s">
        <v>489</v>
      </c>
      <c r="J836" s="12" t="b">
        <f t="shared" si="68"/>
        <v>1</v>
      </c>
    </row>
    <row r="837" spans="1:10" x14ac:dyDescent="0.25">
      <c r="A837" s="12" t="str">
        <f t="shared" si="69"/>
        <v>Residential_Building Shell_Basement Sidewall Insulation (Electric Heat)_R_old_AG</v>
      </c>
      <c r="B837" t="s">
        <v>162</v>
      </c>
      <c r="C837" t="s">
        <v>167</v>
      </c>
      <c r="D837" t="s">
        <v>486</v>
      </c>
      <c r="E837" s="102" t="s">
        <v>487</v>
      </c>
      <c r="F837" s="105">
        <f>Dashboard_FS!$O$21</f>
        <v>1</v>
      </c>
      <c r="G837" s="12" t="s">
        <v>344</v>
      </c>
      <c r="H837" s="12" t="s">
        <v>488</v>
      </c>
      <c r="I837" s="12" t="s">
        <v>489</v>
      </c>
      <c r="J837" s="12" t="b">
        <f t="shared" si="68"/>
        <v>1</v>
      </c>
    </row>
    <row r="838" spans="1:10" x14ac:dyDescent="0.25">
      <c r="A838" s="12" t="str">
        <f t="shared" si="69"/>
        <v>Residential_Building Shell_Basement Sidewall Insulation (Electric Heat)_R_added</v>
      </c>
      <c r="B838" t="s">
        <v>162</v>
      </c>
      <c r="C838" t="s">
        <v>167</v>
      </c>
      <c r="D838" t="s">
        <v>486</v>
      </c>
      <c r="E838" s="102" t="s">
        <v>490</v>
      </c>
      <c r="F838" s="105">
        <f>Dashboard_FS!$P$21</f>
        <v>0</v>
      </c>
      <c r="G838" s="12" t="s">
        <v>491</v>
      </c>
      <c r="H838" s="12" t="s">
        <v>488</v>
      </c>
      <c r="I838" s="12" t="s">
        <v>489</v>
      </c>
      <c r="J838" s="12" t="b">
        <f t="shared" si="68"/>
        <v>1</v>
      </c>
    </row>
    <row r="839" spans="1:10" x14ac:dyDescent="0.25">
      <c r="A839" s="12" t="str">
        <f t="shared" si="69"/>
        <v>Residential_Building Shell_Basement Sidewall Insulation (Electric Heat)_R_old_AG</v>
      </c>
      <c r="B839" t="s">
        <v>162</v>
      </c>
      <c r="C839" t="s">
        <v>167</v>
      </c>
      <c r="D839" t="s">
        <v>486</v>
      </c>
      <c r="E839" s="102" t="s">
        <v>487</v>
      </c>
      <c r="F839" s="105">
        <f>Dashboard_FS!$O$21</f>
        <v>1</v>
      </c>
      <c r="G839" s="12" t="s">
        <v>344</v>
      </c>
      <c r="H839" s="12" t="s">
        <v>488</v>
      </c>
      <c r="I839" s="12" t="s">
        <v>489</v>
      </c>
      <c r="J839" s="12" t="b">
        <f t="shared" si="68"/>
        <v>1</v>
      </c>
    </row>
    <row r="840" spans="1:10" x14ac:dyDescent="0.25">
      <c r="A840" s="12" t="str">
        <f t="shared" si="69"/>
        <v>Residential_Building Shell_Basement Sidewall Insulation (Electric Heat)_L_basement_wall_total</v>
      </c>
      <c r="B840" t="s">
        <v>162</v>
      </c>
      <c r="C840" t="s">
        <v>167</v>
      </c>
      <c r="D840" t="s">
        <v>486</v>
      </c>
      <c r="E840" s="114" t="s">
        <v>492</v>
      </c>
      <c r="F840" s="116">
        <f>Dashboard_FS!$O$10</f>
        <v>0</v>
      </c>
      <c r="G840" s="12" t="s">
        <v>414</v>
      </c>
      <c r="H840" s="12" t="s">
        <v>488</v>
      </c>
      <c r="I840" s="12" t="s">
        <v>489</v>
      </c>
      <c r="J840" s="12" t="b">
        <f t="shared" si="68"/>
        <v>1</v>
      </c>
    </row>
    <row r="841" spans="1:10" x14ac:dyDescent="0.25">
      <c r="A841" s="12" t="str">
        <f t="shared" si="69"/>
        <v>Residential_Building Shell_Basement Sidewall Insulation (Electric Heat)_H_basement_wall_AG</v>
      </c>
      <c r="B841" t="s">
        <v>162</v>
      </c>
      <c r="C841" t="s">
        <v>167</v>
      </c>
      <c r="D841" t="s">
        <v>486</v>
      </c>
      <c r="E841" s="114" t="s">
        <v>493</v>
      </c>
      <c r="F841" s="116">
        <f>Dashboard_FS!$O$11</f>
        <v>1</v>
      </c>
      <c r="G841" s="12" t="s">
        <v>491</v>
      </c>
      <c r="H841" s="12" t="s">
        <v>488</v>
      </c>
      <c r="I841" s="12" t="s">
        <v>489</v>
      </c>
      <c r="J841" s="12" t="b">
        <f t="shared" si="68"/>
        <v>1</v>
      </c>
    </row>
    <row r="842" spans="1:10" x14ac:dyDescent="0.25">
      <c r="A842" s="12" t="str">
        <f t="shared" si="69"/>
        <v>Residential_Building Shell_Basement Sidewall Insulation (Electric Heat)_Framing_factor</v>
      </c>
      <c r="B842" t="s">
        <v>162</v>
      </c>
      <c r="C842" t="s">
        <v>167</v>
      </c>
      <c r="D842" t="s">
        <v>486</v>
      </c>
      <c r="E842" s="102" t="s">
        <v>494</v>
      </c>
      <c r="F842" s="105">
        <v>0.25</v>
      </c>
      <c r="G842" s="12" t="s">
        <v>495</v>
      </c>
      <c r="H842" s="12" t="s">
        <v>488</v>
      </c>
      <c r="I842" s="12" t="s">
        <v>489</v>
      </c>
      <c r="J842" s="12" t="b">
        <f t="shared" si="68"/>
        <v>0</v>
      </c>
    </row>
    <row r="843" spans="1:10" x14ac:dyDescent="0.25">
      <c r="A843" s="12" t="str">
        <f t="shared" si="69"/>
        <v>Residential_Building Shell_Basement Sidewall Insulation (Electric Heat)_R_old_BG</v>
      </c>
      <c r="B843" t="s">
        <v>162</v>
      </c>
      <c r="C843" t="s">
        <v>167</v>
      </c>
      <c r="D843" t="s">
        <v>486</v>
      </c>
      <c r="E843" s="102" t="s">
        <v>496</v>
      </c>
      <c r="F843" s="105">
        <v>7.42</v>
      </c>
      <c r="G843" s="12" t="s">
        <v>497</v>
      </c>
      <c r="H843" s="12" t="s">
        <v>488</v>
      </c>
      <c r="I843" s="12" t="s">
        <v>489</v>
      </c>
      <c r="J843" s="12" t="b">
        <f t="shared" si="68"/>
        <v>0</v>
      </c>
    </row>
    <row r="844" spans="1:10" x14ac:dyDescent="0.25">
      <c r="A844" s="12" t="str">
        <f t="shared" si="69"/>
        <v>Residential_Building Shell_Basement Sidewall Insulation (Electric Heat)_R_added</v>
      </c>
      <c r="B844" t="s">
        <v>162</v>
      </c>
      <c r="C844" t="s">
        <v>167</v>
      </c>
      <c r="D844" t="s">
        <v>486</v>
      </c>
      <c r="E844" s="102" t="s">
        <v>490</v>
      </c>
      <c r="F844" s="105">
        <f>Dashboard_FS!$P$21</f>
        <v>0</v>
      </c>
      <c r="G844" s="12" t="s">
        <v>491</v>
      </c>
      <c r="H844" s="12" t="s">
        <v>488</v>
      </c>
      <c r="I844" s="12" t="s">
        <v>489</v>
      </c>
      <c r="J844" s="12" t="b">
        <f t="shared" si="68"/>
        <v>1</v>
      </c>
    </row>
    <row r="845" spans="1:10" x14ac:dyDescent="0.25">
      <c r="A845" s="12" t="str">
        <f t="shared" si="69"/>
        <v>Residential_Building Shell_Basement Sidewall Insulation (Electric Heat)_R_old_BG</v>
      </c>
      <c r="B845" t="s">
        <v>162</v>
      </c>
      <c r="C845" t="s">
        <v>167</v>
      </c>
      <c r="D845" t="s">
        <v>486</v>
      </c>
      <c r="E845" s="102" t="s">
        <v>496</v>
      </c>
      <c r="F845" s="105">
        <v>7.42</v>
      </c>
      <c r="G845" s="12" t="s">
        <v>497</v>
      </c>
      <c r="H845" s="12" t="s">
        <v>488</v>
      </c>
      <c r="I845" s="12" t="s">
        <v>489</v>
      </c>
      <c r="J845" s="12" t="b">
        <f t="shared" si="68"/>
        <v>0</v>
      </c>
    </row>
    <row r="846" spans="1:10" x14ac:dyDescent="0.25">
      <c r="A846" s="12" t="str">
        <f t="shared" si="69"/>
        <v>Residential_Building Shell_Basement Sidewall Insulation (Electric Heat)_L_basement_wall_total</v>
      </c>
      <c r="B846" t="s">
        <v>162</v>
      </c>
      <c r="C846" t="s">
        <v>167</v>
      </c>
      <c r="D846" t="s">
        <v>486</v>
      </c>
      <c r="E846" s="114" t="s">
        <v>492</v>
      </c>
      <c r="F846" s="116">
        <f>Dashboard_FS!$O$10</f>
        <v>0</v>
      </c>
      <c r="G846" s="12" t="s">
        <v>414</v>
      </c>
      <c r="H846" s="12" t="s">
        <v>488</v>
      </c>
      <c r="I846" s="12" t="s">
        <v>489</v>
      </c>
      <c r="J846" s="12" t="b">
        <f t="shared" si="68"/>
        <v>1</v>
      </c>
    </row>
    <row r="847" spans="1:10" x14ac:dyDescent="0.25">
      <c r="A847" s="12" t="str">
        <f t="shared" si="69"/>
        <v>Residential_Building Shell_Basement Sidewall Insulation (Electric Heat)_H_basement_wall_total</v>
      </c>
      <c r="B847" t="s">
        <v>162</v>
      </c>
      <c r="C847" t="s">
        <v>167</v>
      </c>
      <c r="D847" t="s">
        <v>486</v>
      </c>
      <c r="E847" s="114" t="s">
        <v>498</v>
      </c>
      <c r="F847" s="116">
        <f>Dashboard_FS!$O$12</f>
        <v>3</v>
      </c>
      <c r="G847" s="12" t="s">
        <v>491</v>
      </c>
      <c r="H847" s="12" t="s">
        <v>488</v>
      </c>
      <c r="I847" s="12" t="s">
        <v>489</v>
      </c>
      <c r="J847" s="12" t="b">
        <f t="shared" si="68"/>
        <v>1</v>
      </c>
    </row>
    <row r="848" spans="1:10" x14ac:dyDescent="0.25">
      <c r="A848" s="12" t="str">
        <f t="shared" si="69"/>
        <v>Residential_Building Shell_Basement Sidewall Insulation (Electric Heat)_H_basement_wall_AG</v>
      </c>
      <c r="B848" t="s">
        <v>162</v>
      </c>
      <c r="C848" t="s">
        <v>167</v>
      </c>
      <c r="D848" t="s">
        <v>486</v>
      </c>
      <c r="E848" s="114" t="s">
        <v>493</v>
      </c>
      <c r="F848" s="116">
        <f>Dashboard_FS!$O$11</f>
        <v>1</v>
      </c>
      <c r="G848" s="12" t="s">
        <v>491</v>
      </c>
      <c r="H848" s="12" t="s">
        <v>488</v>
      </c>
      <c r="I848" s="12" t="s">
        <v>489</v>
      </c>
      <c r="J848" s="12" t="b">
        <f t="shared" si="68"/>
        <v>1</v>
      </c>
    </row>
    <row r="849" spans="1:10" x14ac:dyDescent="0.25">
      <c r="A849" s="12" t="str">
        <f t="shared" si="69"/>
        <v>Residential_Building Shell_Basement Sidewall Insulation (Electric Heat)_Framing_factor</v>
      </c>
      <c r="B849" t="s">
        <v>162</v>
      </c>
      <c r="C849" t="s">
        <v>167</v>
      </c>
      <c r="D849" t="s">
        <v>486</v>
      </c>
      <c r="E849" s="102" t="s">
        <v>494</v>
      </c>
      <c r="F849" s="105">
        <v>0.25</v>
      </c>
      <c r="G849" s="12" t="s">
        <v>495</v>
      </c>
      <c r="H849" s="12" t="s">
        <v>488</v>
      </c>
      <c r="I849" s="12" t="s">
        <v>489</v>
      </c>
      <c r="J849" s="12" t="b">
        <f t="shared" si="68"/>
        <v>0</v>
      </c>
    </row>
    <row r="850" spans="1:10" x14ac:dyDescent="0.25">
      <c r="A850" s="12" t="str">
        <f t="shared" si="69"/>
        <v>Residential_Building Shell_Basement Sidewall Insulation (Electric Heat)_24</v>
      </c>
      <c r="B850" t="s">
        <v>162</v>
      </c>
      <c r="C850" t="s">
        <v>167</v>
      </c>
      <c r="D850" t="s">
        <v>486</v>
      </c>
      <c r="E850" s="102">
        <v>24</v>
      </c>
      <c r="F850" s="105">
        <v>24</v>
      </c>
      <c r="H850" s="12" t="s">
        <v>488</v>
      </c>
      <c r="I850" s="12" t="s">
        <v>489</v>
      </c>
      <c r="J850" s="12" t="b">
        <f t="shared" si="68"/>
        <v>0</v>
      </c>
    </row>
    <row r="851" spans="1:10" x14ac:dyDescent="0.25">
      <c r="A851" s="12" t="str">
        <f t="shared" si="69"/>
        <v>Residential_Building Shell_Basement Sidewall Insulation (Electric Heat)_HDD</v>
      </c>
      <c r="B851" t="s">
        <v>162</v>
      </c>
      <c r="C851" t="s">
        <v>167</v>
      </c>
      <c r="D851" t="s">
        <v>486</v>
      </c>
      <c r="E851" s="102" t="s">
        <v>433</v>
      </c>
      <c r="F851" s="105" t="e">
        <f>INDEX('CZ Inputs'!G:G,MATCH(A851&amp;"_"&amp;Dashboard_EE!$K$3,'CZ Inputs'!A:A,0))</f>
        <v>#N/A</v>
      </c>
      <c r="G851" s="12" t="s">
        <v>483</v>
      </c>
      <c r="H851" s="12" t="s">
        <v>488</v>
      </c>
      <c r="I851" s="12" t="s">
        <v>489</v>
      </c>
      <c r="J851" s="12" t="b">
        <f t="shared" si="68"/>
        <v>1</v>
      </c>
    </row>
    <row r="852" spans="1:10" x14ac:dyDescent="0.25">
      <c r="A852" s="12" t="str">
        <f t="shared" si="69"/>
        <v>Residential_Building Shell_Basement Sidewall Insulation (Electric Heat)_ηHeat</v>
      </c>
      <c r="B852" t="s">
        <v>162</v>
      </c>
      <c r="C852" t="s">
        <v>167</v>
      </c>
      <c r="D852" t="s">
        <v>486</v>
      </c>
      <c r="E852" s="114" t="s">
        <v>434</v>
      </c>
      <c r="F852" s="116">
        <f>Dashboard_FS!$K$8</f>
        <v>0</v>
      </c>
      <c r="G852" s="12" t="s">
        <v>240</v>
      </c>
      <c r="H852" s="12" t="s">
        <v>488</v>
      </c>
      <c r="I852" s="12" t="s">
        <v>489</v>
      </c>
      <c r="J852" s="12" t="b">
        <f t="shared" si="68"/>
        <v>1</v>
      </c>
    </row>
    <row r="853" spans="1:10" x14ac:dyDescent="0.25">
      <c r="A853" s="12" t="str">
        <f t="shared" si="69"/>
        <v>Residential_Building Shell_Basement Sidewall Insulation (Electric Heat)_ηHeat_Mid-Life_Adj</v>
      </c>
      <c r="B853" t="s">
        <v>162</v>
      </c>
      <c r="C853" t="s">
        <v>167</v>
      </c>
      <c r="D853" t="s">
        <v>486</v>
      </c>
      <c r="E853" s="114" t="s">
        <v>435</v>
      </c>
      <c r="F853" s="116">
        <f>Dashboard_FS!$K$8</f>
        <v>0</v>
      </c>
      <c r="G853" s="12" t="s">
        <v>240</v>
      </c>
      <c r="H853" s="12" t="s">
        <v>488</v>
      </c>
      <c r="I853" s="12" t="s">
        <v>489</v>
      </c>
      <c r="J853" s="12" t="b">
        <f t="shared" si="68"/>
        <v>1</v>
      </c>
    </row>
    <row r="854" spans="1:10" x14ac:dyDescent="0.25">
      <c r="A854" s="12" t="str">
        <f t="shared" si="69"/>
        <v>Residential_Building Shell_Basement Sidewall Insulation (Electric Heat)_100000</v>
      </c>
      <c r="B854" t="s">
        <v>162</v>
      </c>
      <c r="C854" t="s">
        <v>167</v>
      </c>
      <c r="D854" t="s">
        <v>486</v>
      </c>
      <c r="E854" s="102">
        <v>100000</v>
      </c>
      <c r="F854" s="105">
        <v>100000</v>
      </c>
      <c r="H854" s="12" t="s">
        <v>488</v>
      </c>
      <c r="I854" s="12" t="s">
        <v>489</v>
      </c>
      <c r="J854" s="12" t="b">
        <f t="shared" si="68"/>
        <v>0</v>
      </c>
    </row>
    <row r="855" spans="1:10" x14ac:dyDescent="0.25">
      <c r="A855" s="12" t="str">
        <f t="shared" si="69"/>
        <v>Residential_Building Shell_Basement Sidewall Insulation (Electric Heat)_ADJBasementHeat</v>
      </c>
      <c r="B855" t="s">
        <v>162</v>
      </c>
      <c r="C855" t="s">
        <v>167</v>
      </c>
      <c r="D855" t="s">
        <v>486</v>
      </c>
      <c r="E855" s="102" t="s">
        <v>485</v>
      </c>
      <c r="F855" s="105">
        <v>0.63</v>
      </c>
      <c r="H855" s="12" t="s">
        <v>488</v>
      </c>
      <c r="I855" s="12" t="s">
        <v>489</v>
      </c>
      <c r="J855" s="12" t="b">
        <f t="shared" si="68"/>
        <v>0</v>
      </c>
    </row>
    <row r="856" spans="1:10" x14ac:dyDescent="0.25">
      <c r="A856" s="12" t="str">
        <f t="shared" si="69"/>
        <v>Residential_Building Shell_Basement Sidewall Insulation (Electric Heat)_%GasHeat</v>
      </c>
      <c r="B856" t="s">
        <v>162</v>
      </c>
      <c r="C856" t="s">
        <v>167</v>
      </c>
      <c r="D856" t="s">
        <v>486</v>
      </c>
      <c r="E856" s="102" t="s">
        <v>463</v>
      </c>
      <c r="F856" s="105">
        <v>0</v>
      </c>
      <c r="G856" s="12" t="s">
        <v>436</v>
      </c>
      <c r="H856" s="12" t="s">
        <v>488</v>
      </c>
      <c r="I856" s="12" t="s">
        <v>489</v>
      </c>
      <c r="J856" s="12" t="b">
        <f t="shared" si="68"/>
        <v>0</v>
      </c>
    </row>
    <row r="857" spans="1:10" x14ac:dyDescent="0.25">
      <c r="A857" s="12" t="str">
        <f t="shared" si="69"/>
        <v>Residential_Building Shell_Basement Sidewall Insulation (Electric Heat)_Delta_Therms</v>
      </c>
      <c r="B857" t="s">
        <v>162</v>
      </c>
      <c r="C857" t="s">
        <v>167</v>
      </c>
      <c r="D857" t="s">
        <v>486</v>
      </c>
      <c r="E857" s="114" t="s">
        <v>354</v>
      </c>
      <c r="F857" s="116" t="e">
        <f xml:space="preserve"> (((((1/ F837 - 1/ (F838 + F839)) * F840 * F841 * (1 - F842)) + ((1/ F843 - 1/ (F844 + F845)) * F846 * (F847 - F848) * (1 - F849))) * F850 * F851) / (F852 * F854)) * F855 * F856</f>
        <v>#N/A</v>
      </c>
      <c r="H857" s="12" t="s">
        <v>488</v>
      </c>
      <c r="I857" s="12" t="s">
        <v>489</v>
      </c>
      <c r="J857" s="12" t="b">
        <f t="shared" si="68"/>
        <v>1</v>
      </c>
    </row>
    <row r="858" spans="1:10" x14ac:dyDescent="0.25">
      <c r="A858" s="12" t="str">
        <f t="shared" si="69"/>
        <v>Residential_Building Shell_Basement Sidewall Insulation (Electric Heat)_Delta_Therms_Mid-Life_Adj</v>
      </c>
      <c r="B858" t="s">
        <v>162</v>
      </c>
      <c r="C858" t="s">
        <v>167</v>
      </c>
      <c r="D858" t="s">
        <v>486</v>
      </c>
      <c r="E858" s="114" t="s">
        <v>473</v>
      </c>
      <c r="F858" s="116" t="e">
        <f xml:space="preserve"> (((((1/ F837 - 1/ (F838 + F839)) * F840 * F841 * (1 - F842)) + ((1/ F843 - 1/ (F844 + F845)) * F846 * (F847 - F848) * (1 - F849))) * F850 * F851) / (F853 * F854)) * F855 * F856</f>
        <v>#N/A</v>
      </c>
      <c r="H858" s="12" t="s">
        <v>488</v>
      </c>
      <c r="I858" s="12" t="s">
        <v>489</v>
      </c>
      <c r="J858" s="12" t="b">
        <f t="shared" si="68"/>
        <v>1</v>
      </c>
    </row>
    <row r="859" spans="1:10" x14ac:dyDescent="0.25">
      <c r="A859" s="12" t="str">
        <f t="shared" si="69"/>
        <v>Residential_Building Shell_Basement Sidewall Insulation (Electric Heat)_Remaining Year kWh</v>
      </c>
      <c r="B859" t="s">
        <v>162</v>
      </c>
      <c r="C859" t="s">
        <v>167</v>
      </c>
      <c r="D859" t="s">
        <v>486</v>
      </c>
      <c r="E859" s="111" t="s">
        <v>447</v>
      </c>
      <c r="F859" s="101" t="e">
        <f>F803+F825+F831</f>
        <v>#N/A</v>
      </c>
      <c r="H859" s="12" t="s">
        <v>488</v>
      </c>
      <c r="I859" s="12" t="s">
        <v>489</v>
      </c>
      <c r="J859" s="12" t="b">
        <f t="shared" si="68"/>
        <v>1</v>
      </c>
    </row>
    <row r="860" spans="1:10" x14ac:dyDescent="0.25">
      <c r="A860" s="12" t="str">
        <f t="shared" si="69"/>
        <v>Residential_Building Shell_Basement Sidewall Insulation (Electric Heat)_kWh Saved per Unit</v>
      </c>
      <c r="B860" t="s">
        <v>162</v>
      </c>
      <c r="C860" t="s">
        <v>167</v>
      </c>
      <c r="D860" t="s">
        <v>486</v>
      </c>
      <c r="E860" s="111" t="s">
        <v>280</v>
      </c>
      <c r="F860" s="101" t="e">
        <f>F804+F826+F832</f>
        <v>#N/A</v>
      </c>
      <c r="H860" s="12" t="s">
        <v>488</v>
      </c>
      <c r="I860" s="12" t="s">
        <v>489</v>
      </c>
      <c r="J860" s="12" t="b">
        <f t="shared" si="68"/>
        <v>1</v>
      </c>
    </row>
    <row r="861" spans="1:10" x14ac:dyDescent="0.25">
      <c r="A861" s="12" t="str">
        <f t="shared" si="69"/>
        <v>Residential_Building Shell_Basement Sidewall Insulation (Electric Heat)_Remaining Year kW</v>
      </c>
      <c r="B861" t="s">
        <v>162</v>
      </c>
      <c r="C861" t="s">
        <v>167</v>
      </c>
      <c r="D861" t="s">
        <v>486</v>
      </c>
      <c r="E861" s="111" t="s">
        <v>448</v>
      </c>
      <c r="F861" s="101" t="e">
        <f>F835</f>
        <v>#N/A</v>
      </c>
      <c r="H861" s="12" t="s">
        <v>488</v>
      </c>
      <c r="I861" s="12" t="s">
        <v>489</v>
      </c>
      <c r="J861" s="12" t="b">
        <f t="shared" si="68"/>
        <v>1</v>
      </c>
    </row>
    <row r="862" spans="1:10" x14ac:dyDescent="0.25">
      <c r="A862" s="12" t="str">
        <f t="shared" si="69"/>
        <v>Residential_Building Shell_Basement Sidewall Insulation (Electric Heat)_Coincident Peak kW Saved per Unit</v>
      </c>
      <c r="B862" t="s">
        <v>162</v>
      </c>
      <c r="C862" t="s">
        <v>167</v>
      </c>
      <c r="D862" t="s">
        <v>486</v>
      </c>
      <c r="E862" s="111" t="s">
        <v>281</v>
      </c>
      <c r="F862" s="101" t="e">
        <f>F836</f>
        <v>#N/A</v>
      </c>
      <c r="H862" s="12" t="s">
        <v>488</v>
      </c>
      <c r="I862" s="12" t="s">
        <v>489</v>
      </c>
      <c r="J862" s="12" t="b">
        <f t="shared" si="68"/>
        <v>1</v>
      </c>
    </row>
    <row r="863" spans="1:10" x14ac:dyDescent="0.25">
      <c r="A863" s="12" t="str">
        <f t="shared" si="69"/>
        <v>Residential_Building Shell_Basement Sidewall Insulation (Electric Heat)_Remaining Year Therms</v>
      </c>
      <c r="B863" t="s">
        <v>162</v>
      </c>
      <c r="C863" t="s">
        <v>167</v>
      </c>
      <c r="D863" t="s">
        <v>486</v>
      </c>
      <c r="E863" s="111" t="s">
        <v>449</v>
      </c>
      <c r="F863" s="101" t="e">
        <f>F857</f>
        <v>#N/A</v>
      </c>
      <c r="H863" s="12" t="s">
        <v>488</v>
      </c>
      <c r="I863" s="12" t="s">
        <v>489</v>
      </c>
      <c r="J863" s="12" t="b">
        <f t="shared" si="68"/>
        <v>1</v>
      </c>
    </row>
    <row r="864" spans="1:10" x14ac:dyDescent="0.25">
      <c r="A864" s="12" t="str">
        <f t="shared" si="69"/>
        <v>Residential_Building Shell_Basement Sidewall Insulation (Electric Heat)_Therms Saved per Unit</v>
      </c>
      <c r="B864" t="s">
        <v>162</v>
      </c>
      <c r="C864" t="s">
        <v>167</v>
      </c>
      <c r="D864" t="s">
        <v>486</v>
      </c>
      <c r="E864" s="111" t="s">
        <v>376</v>
      </c>
      <c r="F864" s="101" t="e">
        <f>F858</f>
        <v>#N/A</v>
      </c>
      <c r="H864" s="12" t="s">
        <v>488</v>
      </c>
      <c r="I864" s="12" t="s">
        <v>489</v>
      </c>
      <c r="J864" s="12" t="b">
        <f t="shared" si="68"/>
        <v>1</v>
      </c>
    </row>
    <row r="865" spans="1:10" x14ac:dyDescent="0.25">
      <c r="A865" s="12" t="str">
        <f t="shared" si="69"/>
        <v>Residential_Building Shell_Basement Sidewall Insulation (Electric Heat)_Remaining Life</v>
      </c>
      <c r="B865" t="s">
        <v>162</v>
      </c>
      <c r="C865" t="s">
        <v>167</v>
      </c>
      <c r="D865" t="s">
        <v>486</v>
      </c>
      <c r="E865" s="111" t="s">
        <v>450</v>
      </c>
      <c r="F865" s="101">
        <v>10</v>
      </c>
      <c r="H865" s="12" t="s">
        <v>488</v>
      </c>
      <c r="I865" s="12" t="s">
        <v>489</v>
      </c>
      <c r="J865" s="12" t="b">
        <f t="shared" si="68"/>
        <v>0</v>
      </c>
    </row>
    <row r="866" spans="1:10" x14ac:dyDescent="0.25">
      <c r="A866" s="12" t="str">
        <f t="shared" si="69"/>
        <v>Residential_Building Shell_Basement Sidewall Insulation (Electric Heat)_Lifetime (years)</v>
      </c>
      <c r="B866" t="s">
        <v>162</v>
      </c>
      <c r="C866" t="s">
        <v>167</v>
      </c>
      <c r="D866" t="s">
        <v>486</v>
      </c>
      <c r="E866" s="111" t="s">
        <v>284</v>
      </c>
      <c r="F866" s="101">
        <v>30</v>
      </c>
      <c r="H866" s="12" t="s">
        <v>488</v>
      </c>
      <c r="I866" s="12" t="s">
        <v>489</v>
      </c>
      <c r="J866" s="12" t="b">
        <f t="shared" ref="J866:J903" si="70">_xlfn.ISFORMULA(F866)</f>
        <v>0</v>
      </c>
    </row>
    <row r="867" spans="1:10" x14ac:dyDescent="0.25">
      <c r="A867" s="12" t="str">
        <f t="shared" si="69"/>
        <v>Residential_Building Shell_Basement Sidewall Insulation (Electric Heat)_Incremental Cost</v>
      </c>
      <c r="B867" t="s">
        <v>162</v>
      </c>
      <c r="C867" t="s">
        <v>167</v>
      </c>
      <c r="D867" t="s">
        <v>486</v>
      </c>
      <c r="E867" s="111" t="s">
        <v>285</v>
      </c>
      <c r="F867" s="100">
        <f>2*F792</f>
        <v>0</v>
      </c>
      <c r="G867" s="12" t="s">
        <v>451</v>
      </c>
      <c r="H867" s="12" t="s">
        <v>488</v>
      </c>
      <c r="I867" s="12" t="s">
        <v>489</v>
      </c>
      <c r="J867" s="12" t="b">
        <f t="shared" si="70"/>
        <v>1</v>
      </c>
    </row>
    <row r="868" spans="1:10" x14ac:dyDescent="0.25">
      <c r="A868" s="12" t="str">
        <f t="shared" si="69"/>
        <v>Residential_Building Shell_Basement Sidewall Insulation (Electric Heat)_BTU Impact_Existing_Fossil Fuel</v>
      </c>
      <c r="B868" t="s">
        <v>162</v>
      </c>
      <c r="C868" t="s">
        <v>167</v>
      </c>
      <c r="D868" t="s">
        <v>486</v>
      </c>
      <c r="E868" s="111" t="s">
        <v>287</v>
      </c>
      <c r="F868" s="99">
        <v>0</v>
      </c>
      <c r="H868" s="12" t="s">
        <v>488</v>
      </c>
      <c r="I868" s="12" t="s">
        <v>489</v>
      </c>
      <c r="J868" s="12" t="b">
        <f t="shared" ref="J868:J874" si="71">_xlfn.ISFORMULA(F868)</f>
        <v>0</v>
      </c>
    </row>
    <row r="869" spans="1:10" x14ac:dyDescent="0.25">
      <c r="A869" s="12" t="str">
        <f t="shared" si="69"/>
        <v>Residential_Building Shell_Basement Sidewall Insulation (Electric Heat)_BTU Impact_Existing_Winter Electricity</v>
      </c>
      <c r="B869" t="s">
        <v>162</v>
      </c>
      <c r="C869" t="s">
        <v>167</v>
      </c>
      <c r="D869" t="s">
        <v>486</v>
      </c>
      <c r="E869" s="111" t="s">
        <v>288</v>
      </c>
      <c r="F869" s="99">
        <v>0</v>
      </c>
      <c r="H869" s="12" t="s">
        <v>488</v>
      </c>
      <c r="I869" s="12" t="s">
        <v>489</v>
      </c>
      <c r="J869" s="12" t="b">
        <f t="shared" si="71"/>
        <v>0</v>
      </c>
    </row>
    <row r="870" spans="1:10" x14ac:dyDescent="0.25">
      <c r="A870" s="12" t="str">
        <f t="shared" si="69"/>
        <v>Residential_Building Shell_Basement Sidewall Insulation (Electric Heat)_BTU Impact_Existing_Summer Electricity</v>
      </c>
      <c r="B870" t="s">
        <v>162</v>
      </c>
      <c r="C870" t="s">
        <v>167</v>
      </c>
      <c r="D870" t="s">
        <v>486</v>
      </c>
      <c r="E870" s="111" t="s">
        <v>289</v>
      </c>
      <c r="F870" s="99">
        <v>0</v>
      </c>
      <c r="H870" s="12" t="s">
        <v>488</v>
      </c>
      <c r="I870" s="12" t="s">
        <v>489</v>
      </c>
      <c r="J870" s="12" t="b">
        <f t="shared" si="71"/>
        <v>0</v>
      </c>
    </row>
    <row r="871" spans="1:10" x14ac:dyDescent="0.25">
      <c r="A871" s="12" t="str">
        <f t="shared" si="69"/>
        <v>Residential_Building Shell_Basement Sidewall Insulation (Electric Heat)_BTU Impact_New_Fossil Fuel</v>
      </c>
      <c r="B871" t="s">
        <v>162</v>
      </c>
      <c r="C871" t="s">
        <v>167</v>
      </c>
      <c r="D871" t="s">
        <v>486</v>
      </c>
      <c r="E871" s="111" t="s">
        <v>290</v>
      </c>
      <c r="F871" s="99">
        <v>0</v>
      </c>
      <c r="H871" s="12" t="s">
        <v>488</v>
      </c>
      <c r="I871" s="12" t="s">
        <v>489</v>
      </c>
      <c r="J871" s="12" t="b">
        <f t="shared" si="71"/>
        <v>0</v>
      </c>
    </row>
    <row r="872" spans="1:10" x14ac:dyDescent="0.25">
      <c r="A872" s="12" t="str">
        <f t="shared" si="69"/>
        <v>Residential_Building Shell_Basement Sidewall Insulation (Electric Heat)_BTU Impact_New_Winter Electricity</v>
      </c>
      <c r="B872" t="s">
        <v>162</v>
      </c>
      <c r="C872" t="s">
        <v>167</v>
      </c>
      <c r="D872" t="s">
        <v>486</v>
      </c>
      <c r="E872" s="111" t="s">
        <v>291</v>
      </c>
      <c r="F872" s="99" t="e">
        <f>-F825*3412</f>
        <v>#N/A</v>
      </c>
      <c r="H872" s="12" t="s">
        <v>488</v>
      </c>
      <c r="I872" s="12" t="s">
        <v>489</v>
      </c>
      <c r="J872" s="12" t="b">
        <f t="shared" si="71"/>
        <v>1</v>
      </c>
    </row>
    <row r="873" spans="1:10" x14ac:dyDescent="0.25">
      <c r="A873" s="12" t="str">
        <f t="shared" si="69"/>
        <v>Residential_Building Shell_Basement Sidewall Insulation (Electric Heat)_BTU Impact_New_Summer Electricity</v>
      </c>
      <c r="B873" t="s">
        <v>162</v>
      </c>
      <c r="C873" t="s">
        <v>167</v>
      </c>
      <c r="D873" t="s">
        <v>486</v>
      </c>
      <c r="E873" s="111" t="s">
        <v>292</v>
      </c>
      <c r="F873" s="99" t="e">
        <f>-F803*3412</f>
        <v>#N/A</v>
      </c>
      <c r="H873" s="12" t="s">
        <v>488</v>
      </c>
      <c r="I873" s="12" t="s">
        <v>489</v>
      </c>
      <c r="J873" s="12" t="b">
        <f t="shared" si="71"/>
        <v>1</v>
      </c>
    </row>
    <row r="874" spans="1:10" x14ac:dyDescent="0.25">
      <c r="A874" s="12" t="str">
        <f t="shared" si="69"/>
        <v>Residential_Building Shell_Basement Sidewall Insulation (Electric Heat)_</v>
      </c>
      <c r="B874" t="s">
        <v>162</v>
      </c>
      <c r="C874" t="s">
        <v>167</v>
      </c>
      <c r="D874" t="s">
        <v>486</v>
      </c>
      <c r="H874" s="12" t="s">
        <v>488</v>
      </c>
      <c r="I874" s="12" t="s">
        <v>489</v>
      </c>
      <c r="J874" s="12" t="b">
        <f t="shared" si="71"/>
        <v>0</v>
      </c>
    </row>
    <row r="875" spans="1:10" x14ac:dyDescent="0.25">
      <c r="A875" s="12" t="str">
        <f t="shared" si="69"/>
        <v>Residential_HVAC_Furnace_EFLH</v>
      </c>
      <c r="B875" t="s">
        <v>162</v>
      </c>
      <c r="C875" t="s">
        <v>163</v>
      </c>
      <c r="D875" t="s">
        <v>54</v>
      </c>
      <c r="E875" s="114" t="s">
        <v>234</v>
      </c>
      <c r="F875" s="115" t="e">
        <f>INDEX('CZ Inputs'!$G:$G,MATCH($A875&amp;"_"&amp;Dashboard_FS!$K$3,'CZ Inputs'!$A:$A,0))</f>
        <v>#N/A</v>
      </c>
      <c r="H875" s="12" t="s">
        <v>499</v>
      </c>
      <c r="I875" s="12" t="s">
        <v>500</v>
      </c>
      <c r="J875" s="12" t="b">
        <f t="shared" si="70"/>
        <v>1</v>
      </c>
    </row>
    <row r="876" spans="1:10" x14ac:dyDescent="0.25">
      <c r="A876" s="12" t="str">
        <f t="shared" si="69"/>
        <v>Residential_HVAC_Gas High Efficiency Furnace_CAPInput</v>
      </c>
      <c r="B876" t="s">
        <v>162</v>
      </c>
      <c r="C876" t="s">
        <v>163</v>
      </c>
      <c r="D876" t="s">
        <v>501</v>
      </c>
      <c r="E876" s="114" t="s">
        <v>502</v>
      </c>
      <c r="F876" s="116">
        <f>Dashboard_FS!$K$10</f>
        <v>0</v>
      </c>
      <c r="G876" s="12" t="s">
        <v>503</v>
      </c>
      <c r="H876" s="12" t="s">
        <v>499</v>
      </c>
      <c r="I876" s="12" t="s">
        <v>500</v>
      </c>
      <c r="J876" s="12" t="b">
        <f t="shared" si="70"/>
        <v>1</v>
      </c>
    </row>
    <row r="877" spans="1:10" x14ac:dyDescent="0.25">
      <c r="A877" s="12" t="str">
        <f t="shared" si="69"/>
        <v>Residential_HVAC_Gas High Efficiency Furnace_Derating(base)</v>
      </c>
      <c r="B877" t="s">
        <v>162</v>
      </c>
      <c r="C877" t="s">
        <v>163</v>
      </c>
      <c r="D877" t="s">
        <v>501</v>
      </c>
      <c r="E877" s="102" t="s">
        <v>504</v>
      </c>
      <c r="F877" s="105">
        <v>6.4000000000000001E-2</v>
      </c>
      <c r="H877" s="12" t="s">
        <v>499</v>
      </c>
      <c r="I877" s="12" t="s">
        <v>500</v>
      </c>
      <c r="J877" s="12" t="b">
        <f t="shared" si="70"/>
        <v>0</v>
      </c>
    </row>
    <row r="878" spans="1:10" x14ac:dyDescent="0.25">
      <c r="A878" s="12" t="str">
        <f t="shared" si="69"/>
        <v>Residential_HVAC_Gas High Efficiency Furnace_AFUE(base)</v>
      </c>
      <c r="B878" t="s">
        <v>162</v>
      </c>
      <c r="C878" t="s">
        <v>163</v>
      </c>
      <c r="D878" t="s">
        <v>501</v>
      </c>
      <c r="E878" s="114" t="s">
        <v>505</v>
      </c>
      <c r="F878" s="116">
        <f>Dashboard_FS!$K$8</f>
        <v>0</v>
      </c>
      <c r="G878" s="12" t="s">
        <v>506</v>
      </c>
      <c r="H878" s="12" t="s">
        <v>499</v>
      </c>
      <c r="I878" s="12" t="s">
        <v>500</v>
      </c>
      <c r="J878" s="12" t="b">
        <f t="shared" si="70"/>
        <v>1</v>
      </c>
    </row>
    <row r="879" spans="1:10" x14ac:dyDescent="0.25">
      <c r="A879" s="12" t="str">
        <f t="shared" si="69"/>
        <v>Residential_HVAC_Gas High Efficiency Furnace_100000</v>
      </c>
      <c r="B879" t="s">
        <v>162</v>
      </c>
      <c r="C879" t="s">
        <v>163</v>
      </c>
      <c r="D879" t="s">
        <v>501</v>
      </c>
      <c r="E879" s="102">
        <v>100000</v>
      </c>
      <c r="F879" s="105">
        <v>100000</v>
      </c>
      <c r="H879" s="12" t="s">
        <v>499</v>
      </c>
      <c r="I879" s="12" t="s">
        <v>500</v>
      </c>
      <c r="J879" s="12" t="b">
        <f t="shared" si="70"/>
        <v>0</v>
      </c>
    </row>
    <row r="880" spans="1:10" x14ac:dyDescent="0.25">
      <c r="A880" s="12" t="str">
        <f t="shared" si="69"/>
        <v>Residential_HVAC_Gas High Efficiency Furnace_EFLH</v>
      </c>
      <c r="B880" t="s">
        <v>162</v>
      </c>
      <c r="C880" t="s">
        <v>163</v>
      </c>
      <c r="D880" t="s">
        <v>501</v>
      </c>
      <c r="E880" s="114" t="s">
        <v>234</v>
      </c>
      <c r="F880" s="115" t="e">
        <f>INDEX('CZ Inputs'!$G:$G,MATCH($A880&amp;"_"&amp;Dashboard_FS!$K$3,'CZ Inputs'!$A:$A,0))</f>
        <v>#N/A</v>
      </c>
      <c r="H880" s="12" t="s">
        <v>499</v>
      </c>
      <c r="I880" s="12" t="s">
        <v>500</v>
      </c>
      <c r="J880" s="12" t="b">
        <f t="shared" si="70"/>
        <v>1</v>
      </c>
    </row>
    <row r="881" spans="1:10" x14ac:dyDescent="0.25">
      <c r="A881" s="12" t="str">
        <f t="shared" si="69"/>
        <v>Residential_HVAC_Gas High Efficiency Furnace_CAPInput</v>
      </c>
      <c r="B881" t="s">
        <v>162</v>
      </c>
      <c r="C881" t="s">
        <v>163</v>
      </c>
      <c r="D881" t="s">
        <v>501</v>
      </c>
      <c r="E881" s="114" t="s">
        <v>502</v>
      </c>
      <c r="F881" s="116">
        <f>Dashboard_FS!$K$10</f>
        <v>0</v>
      </c>
      <c r="G881" s="12" t="s">
        <v>113</v>
      </c>
      <c r="H881" s="12" t="s">
        <v>499</v>
      </c>
      <c r="I881" s="12" t="s">
        <v>500</v>
      </c>
      <c r="J881" s="12" t="b">
        <f t="shared" si="70"/>
        <v>1</v>
      </c>
    </row>
    <row r="882" spans="1:10" x14ac:dyDescent="0.25">
      <c r="A882" s="12" t="str">
        <f t="shared" si="69"/>
        <v>Residential_HVAC_Gas High Efficiency Furnace_Derating(eff)</v>
      </c>
      <c r="B882" t="s">
        <v>162</v>
      </c>
      <c r="C882" t="s">
        <v>163</v>
      </c>
      <c r="D882" t="s">
        <v>501</v>
      </c>
      <c r="E882" s="102" t="s">
        <v>507</v>
      </c>
      <c r="F882" s="105">
        <v>6.4000000000000001E-2</v>
      </c>
      <c r="H882" s="12" t="s">
        <v>499</v>
      </c>
      <c r="I882" s="12" t="s">
        <v>500</v>
      </c>
      <c r="J882" s="12" t="b">
        <f t="shared" si="70"/>
        <v>0</v>
      </c>
    </row>
    <row r="883" spans="1:10" x14ac:dyDescent="0.25">
      <c r="A883" s="12" t="str">
        <f t="shared" si="69"/>
        <v>Residential_HVAC_Gas High Efficiency Furnace_AFUE(eff)</v>
      </c>
      <c r="B883" t="s">
        <v>162</v>
      </c>
      <c r="C883" t="s">
        <v>163</v>
      </c>
      <c r="D883" t="s">
        <v>501</v>
      </c>
      <c r="E883" s="114" t="s">
        <v>508</v>
      </c>
      <c r="F883" s="116">
        <f>Dashboard_FS!$K$7</f>
        <v>0</v>
      </c>
      <c r="G883" s="12" t="s">
        <v>105</v>
      </c>
      <c r="H883" s="12" t="s">
        <v>499</v>
      </c>
      <c r="I883" s="12" t="s">
        <v>500</v>
      </c>
      <c r="J883" s="12" t="b">
        <f t="shared" si="70"/>
        <v>1</v>
      </c>
    </row>
    <row r="884" spans="1:10" x14ac:dyDescent="0.25">
      <c r="A884" s="12" t="str">
        <f t="shared" si="69"/>
        <v>Residential_HVAC_Gas High Efficiency Furnace_100000</v>
      </c>
      <c r="B884" t="s">
        <v>162</v>
      </c>
      <c r="C884" t="s">
        <v>163</v>
      </c>
      <c r="D884" t="s">
        <v>501</v>
      </c>
      <c r="E884" s="102">
        <v>100000</v>
      </c>
      <c r="F884" s="105">
        <v>100000</v>
      </c>
      <c r="H884" s="12" t="s">
        <v>499</v>
      </c>
      <c r="I884" s="12" t="s">
        <v>500</v>
      </c>
      <c r="J884" s="12" t="b">
        <f t="shared" si="70"/>
        <v>0</v>
      </c>
    </row>
    <row r="885" spans="1:10" x14ac:dyDescent="0.25">
      <c r="A885" s="12" t="str">
        <f t="shared" si="69"/>
        <v>Residential_HVAC_Gas High Efficiency Furnace_Lifetime (years)</v>
      </c>
      <c r="B885" t="s">
        <v>162</v>
      </c>
      <c r="C885" t="s">
        <v>163</v>
      </c>
      <c r="D885" t="s">
        <v>501</v>
      </c>
      <c r="E885" s="111" t="s">
        <v>284</v>
      </c>
      <c r="F885" s="113">
        <v>20</v>
      </c>
      <c r="H885" s="12" t="s">
        <v>499</v>
      </c>
      <c r="I885" s="12" t="s">
        <v>500</v>
      </c>
      <c r="J885" s="12" t="b">
        <f t="shared" si="70"/>
        <v>0</v>
      </c>
    </row>
    <row r="886" spans="1:10" x14ac:dyDescent="0.25">
      <c r="A886" s="12" t="str">
        <f t="shared" si="69"/>
        <v>Residential_HVAC_Gas High Efficiency Furnace_Incremental Cost</v>
      </c>
      <c r="B886" t="s">
        <v>162</v>
      </c>
      <c r="C886" t="s">
        <v>163</v>
      </c>
      <c r="D886" t="s">
        <v>501</v>
      </c>
      <c r="E886" s="111" t="s">
        <v>285</v>
      </c>
      <c r="F886" s="218">
        <v>4354</v>
      </c>
      <c r="G886" s="12" t="s">
        <v>509</v>
      </c>
      <c r="H886" s="12" t="s">
        <v>499</v>
      </c>
      <c r="I886" s="12" t="s">
        <v>500</v>
      </c>
      <c r="J886" s="12" t="b">
        <f t="shared" si="70"/>
        <v>0</v>
      </c>
    </row>
    <row r="887" spans="1:10" x14ac:dyDescent="0.25">
      <c r="A887" s="12" t="str">
        <f t="shared" si="69"/>
        <v>Residential_HVAC_Gas High Efficiency Furnace_BTU Impact_Existing_Fossil Fuel</v>
      </c>
      <c r="B887" t="s">
        <v>162</v>
      </c>
      <c r="C887" t="s">
        <v>163</v>
      </c>
      <c r="D887" t="s">
        <v>501</v>
      </c>
      <c r="E887" s="111" t="s">
        <v>287</v>
      </c>
      <c r="F887" s="99" t="e">
        <f>-(F875*F876)*(1/(F878*(1-F877)))</f>
        <v>#N/A</v>
      </c>
      <c r="H887" s="12" t="s">
        <v>499</v>
      </c>
      <c r="I887" s="12" t="s">
        <v>500</v>
      </c>
      <c r="J887" s="12" t="b">
        <f t="shared" si="70"/>
        <v>1</v>
      </c>
    </row>
    <row r="888" spans="1:10" x14ac:dyDescent="0.25">
      <c r="A888" s="12" t="str">
        <f t="shared" ref="A888:A910" si="72">B888&amp;"_"&amp;C888&amp;"_"&amp;D888&amp;"_"&amp;E888</f>
        <v>Residential_HVAC_Gas High Efficiency Furnace_BTU Impact_Existing_Winter Electricity</v>
      </c>
      <c r="B888" t="s">
        <v>162</v>
      </c>
      <c r="C888" t="s">
        <v>163</v>
      </c>
      <c r="D888" t="s">
        <v>501</v>
      </c>
      <c r="E888" s="111" t="s">
        <v>288</v>
      </c>
      <c r="F888" s="99">
        <v>0</v>
      </c>
      <c r="H888" s="12" t="s">
        <v>499</v>
      </c>
      <c r="I888" s="12" t="s">
        <v>500</v>
      </c>
      <c r="J888" s="12" t="b">
        <f t="shared" si="70"/>
        <v>0</v>
      </c>
    </row>
    <row r="889" spans="1:10" x14ac:dyDescent="0.25">
      <c r="A889" s="12" t="str">
        <f t="shared" si="72"/>
        <v>Residential_HVAC_Gas High Efficiency Furnace_BTU Impact_Existing_Summer Electricity</v>
      </c>
      <c r="B889" t="s">
        <v>162</v>
      </c>
      <c r="C889" t="s">
        <v>163</v>
      </c>
      <c r="D889" t="s">
        <v>501</v>
      </c>
      <c r="E889" s="111" t="s">
        <v>289</v>
      </c>
      <c r="F889" s="99">
        <v>0</v>
      </c>
      <c r="H889" s="12" t="s">
        <v>499</v>
      </c>
      <c r="I889" s="12" t="s">
        <v>500</v>
      </c>
      <c r="J889" s="12" t="b">
        <f t="shared" si="70"/>
        <v>0</v>
      </c>
    </row>
    <row r="890" spans="1:10" x14ac:dyDescent="0.25">
      <c r="A890" s="12" t="str">
        <f t="shared" si="72"/>
        <v>Residential_HVAC_Gas High Efficiency Furnace_BTU Impact_New_Fossil Fuel</v>
      </c>
      <c r="B890" t="s">
        <v>162</v>
      </c>
      <c r="C890" t="s">
        <v>163</v>
      </c>
      <c r="D890" t="s">
        <v>501</v>
      </c>
      <c r="E890" s="111" t="s">
        <v>290</v>
      </c>
      <c r="F890" s="99" t="e">
        <f>(F880*F881)*(1/(F883*(1-F882)))</f>
        <v>#N/A</v>
      </c>
      <c r="H890" s="12" t="s">
        <v>499</v>
      </c>
      <c r="I890" s="12" t="s">
        <v>500</v>
      </c>
      <c r="J890" s="12" t="b">
        <f t="shared" si="70"/>
        <v>1</v>
      </c>
    </row>
    <row r="891" spans="1:10" x14ac:dyDescent="0.25">
      <c r="A891" s="12" t="str">
        <f t="shared" si="72"/>
        <v>Residential_HVAC_Gas High Efficiency Furnace_BTU Impact_New_Winter Electricity</v>
      </c>
      <c r="B891" t="s">
        <v>162</v>
      </c>
      <c r="C891" t="s">
        <v>163</v>
      </c>
      <c r="D891" t="s">
        <v>501</v>
      </c>
      <c r="E891" s="111" t="s">
        <v>291</v>
      </c>
      <c r="F891" s="99">
        <v>0</v>
      </c>
      <c r="H891" s="12" t="s">
        <v>499</v>
      </c>
      <c r="I891" s="12" t="s">
        <v>500</v>
      </c>
      <c r="J891" s="12" t="b">
        <f t="shared" si="70"/>
        <v>0</v>
      </c>
    </row>
    <row r="892" spans="1:10" x14ac:dyDescent="0.25">
      <c r="A892" s="12" t="str">
        <f t="shared" si="72"/>
        <v>Residential_HVAC_Gas High Efficiency Furnace_BTU Impact_New_Summer Electricity</v>
      </c>
      <c r="B892" t="s">
        <v>162</v>
      </c>
      <c r="C892" t="s">
        <v>163</v>
      </c>
      <c r="D892" t="s">
        <v>501</v>
      </c>
      <c r="E892" s="111" t="s">
        <v>292</v>
      </c>
      <c r="F892" s="99">
        <v>0</v>
      </c>
      <c r="H892" s="12" t="s">
        <v>499</v>
      </c>
      <c r="I892" s="12" t="s">
        <v>500</v>
      </c>
      <c r="J892" s="12" t="b">
        <f t="shared" si="70"/>
        <v>0</v>
      </c>
    </row>
    <row r="893" spans="1:10" x14ac:dyDescent="0.25">
      <c r="A893" s="12" t="str">
        <f t="shared" si="72"/>
        <v>Residential_HVAC_Gas High Efficiency Furnace_</v>
      </c>
      <c r="B893" t="s">
        <v>162</v>
      </c>
      <c r="C893" t="s">
        <v>163</v>
      </c>
      <c r="D893" t="s">
        <v>501</v>
      </c>
      <c r="H893" s="12" t="s">
        <v>499</v>
      </c>
      <c r="I893" s="12" t="s">
        <v>500</v>
      </c>
      <c r="J893" s="12" t="b">
        <f t="shared" ref="J893" si="73">_xlfn.ISFORMULA(F893)</f>
        <v>0</v>
      </c>
    </row>
    <row r="894" spans="1:10" x14ac:dyDescent="0.25">
      <c r="A894" s="12" t="str">
        <f t="shared" si="72"/>
        <v>Residential_HVAC_Boiler_EFLH</v>
      </c>
      <c r="B894" t="s">
        <v>162</v>
      </c>
      <c r="C894" t="s">
        <v>163</v>
      </c>
      <c r="D894" t="s">
        <v>293</v>
      </c>
      <c r="E894" s="114" t="s">
        <v>234</v>
      </c>
      <c r="F894" s="115" t="e">
        <f>INDEX('CZ Inputs'!$G:$G,MATCH($A894&amp;"_"&amp;Dashboard_FS!$K$3,'CZ Inputs'!$A:$A,0))</f>
        <v>#N/A</v>
      </c>
      <c r="H894" s="12" t="s">
        <v>510</v>
      </c>
      <c r="I894" s="12" t="s">
        <v>511</v>
      </c>
      <c r="J894" s="12" t="b">
        <f>_xlfn.ISFORMULA(F894)</f>
        <v>1</v>
      </c>
    </row>
    <row r="895" spans="1:10" x14ac:dyDescent="0.25">
      <c r="A895" s="12" t="str">
        <f t="shared" si="72"/>
        <v>Residential_HVAC_Gas High Efficiency Boiler_CAPInput</v>
      </c>
      <c r="B895" t="s">
        <v>162</v>
      </c>
      <c r="C895" t="s">
        <v>163</v>
      </c>
      <c r="D895" t="s">
        <v>512</v>
      </c>
      <c r="E895" s="114" t="s">
        <v>502</v>
      </c>
      <c r="F895" s="116">
        <f>Dashboard_FS!$K$10</f>
        <v>0</v>
      </c>
      <c r="G895" s="12" t="s">
        <v>503</v>
      </c>
      <c r="H895" s="12" t="s">
        <v>510</v>
      </c>
      <c r="I895" s="12" t="s">
        <v>511</v>
      </c>
      <c r="J895" s="12" t="b">
        <f>_xlfn.ISFORMULA(F895)</f>
        <v>1</v>
      </c>
    </row>
    <row r="896" spans="1:10" x14ac:dyDescent="0.25">
      <c r="A896" s="12" t="str">
        <f t="shared" si="72"/>
        <v>Residential_HVAC_Gas High Efficiency Boiler_AFUEBase</v>
      </c>
      <c r="B896" t="s">
        <v>162</v>
      </c>
      <c r="C896" t="s">
        <v>163</v>
      </c>
      <c r="D896" t="s">
        <v>512</v>
      </c>
      <c r="E896" s="114" t="s">
        <v>513</v>
      </c>
      <c r="F896" s="116">
        <f>Dashboard_FS!$K$8</f>
        <v>0</v>
      </c>
      <c r="G896" s="12" t="s">
        <v>506</v>
      </c>
      <c r="H896" s="12" t="s">
        <v>510</v>
      </c>
      <c r="I896" s="12" t="s">
        <v>511</v>
      </c>
      <c r="J896" s="12" t="b">
        <f>_xlfn.ISFORMULA(F896)</f>
        <v>1</v>
      </c>
    </row>
    <row r="897" spans="1:10" x14ac:dyDescent="0.25">
      <c r="A897" s="12" t="str">
        <f t="shared" si="72"/>
        <v>Residential_HVAC_Gas High Efficiency Boiler_100000</v>
      </c>
      <c r="B897" t="s">
        <v>162</v>
      </c>
      <c r="C897" t="s">
        <v>163</v>
      </c>
      <c r="D897" t="s">
        <v>512</v>
      </c>
      <c r="E897" s="102">
        <v>100000</v>
      </c>
      <c r="F897" s="105">
        <v>100000</v>
      </c>
      <c r="H897" s="12" t="s">
        <v>510</v>
      </c>
      <c r="I897" s="12" t="s">
        <v>511</v>
      </c>
      <c r="J897" s="12" t="b">
        <f>_xlfn.ISFORMULA(F897)</f>
        <v>0</v>
      </c>
    </row>
    <row r="898" spans="1:10" x14ac:dyDescent="0.25">
      <c r="A898" s="12" t="str">
        <f t="shared" si="72"/>
        <v>Residential_HVAC_Gas High Efficiency Boiler_EFLH</v>
      </c>
      <c r="B898" t="s">
        <v>162</v>
      </c>
      <c r="C898" t="s">
        <v>163</v>
      </c>
      <c r="D898" t="s">
        <v>512</v>
      </c>
      <c r="E898" s="114" t="s">
        <v>234</v>
      </c>
      <c r="F898" s="115" t="e">
        <f>INDEX('CZ Inputs'!$G:$G,MATCH($A898&amp;"_"&amp;Dashboard_FS!$K$3,'CZ Inputs'!$A:$A,0))</f>
        <v>#N/A</v>
      </c>
      <c r="H898" s="12" t="s">
        <v>510</v>
      </c>
      <c r="I898" s="12" t="s">
        <v>511</v>
      </c>
      <c r="J898" s="12" t="b">
        <f t="shared" si="70"/>
        <v>1</v>
      </c>
    </row>
    <row r="899" spans="1:10" x14ac:dyDescent="0.25">
      <c r="A899" s="12" t="str">
        <f t="shared" si="72"/>
        <v>Residential_HVAC_Gas High Efficiency Boiler_CAPInput</v>
      </c>
      <c r="B899" t="s">
        <v>162</v>
      </c>
      <c r="C899" t="s">
        <v>163</v>
      </c>
      <c r="D899" t="s">
        <v>512</v>
      </c>
      <c r="E899" s="114" t="s">
        <v>502</v>
      </c>
      <c r="F899" s="116">
        <f>Dashboard_FS!$K$10</f>
        <v>0</v>
      </c>
      <c r="G899" s="12" t="s">
        <v>113</v>
      </c>
      <c r="H899" s="12" t="s">
        <v>510</v>
      </c>
      <c r="I899" s="12" t="s">
        <v>511</v>
      </c>
      <c r="J899" s="12" t="b">
        <f t="shared" si="70"/>
        <v>1</v>
      </c>
    </row>
    <row r="900" spans="1:10" x14ac:dyDescent="0.25">
      <c r="A900" s="12" t="str">
        <f t="shared" si="72"/>
        <v>Residential_HVAC_Gas High Efficiency Boiler_AFUEEff</v>
      </c>
      <c r="B900" t="s">
        <v>162</v>
      </c>
      <c r="C900" t="s">
        <v>163</v>
      </c>
      <c r="D900" t="s">
        <v>512</v>
      </c>
      <c r="E900" s="114" t="s">
        <v>514</v>
      </c>
      <c r="F900" s="116">
        <f>Dashboard_FS!$K$7</f>
        <v>0</v>
      </c>
      <c r="G900" s="12" t="s">
        <v>105</v>
      </c>
      <c r="H900" s="12" t="s">
        <v>510</v>
      </c>
      <c r="I900" s="12" t="s">
        <v>511</v>
      </c>
      <c r="J900" s="12" t="b">
        <f t="shared" si="70"/>
        <v>1</v>
      </c>
    </row>
    <row r="901" spans="1:10" x14ac:dyDescent="0.25">
      <c r="A901" s="12" t="str">
        <f t="shared" si="72"/>
        <v>Residential_HVAC_Gas High Efficiency Boiler_100000</v>
      </c>
      <c r="B901" t="s">
        <v>162</v>
      </c>
      <c r="C901" t="s">
        <v>163</v>
      </c>
      <c r="D901" t="s">
        <v>512</v>
      </c>
      <c r="E901" s="102">
        <v>100000</v>
      </c>
      <c r="F901" s="105">
        <v>100000</v>
      </c>
      <c r="H901" s="12" t="s">
        <v>510</v>
      </c>
      <c r="I901" s="12" t="s">
        <v>511</v>
      </c>
      <c r="J901" s="12" t="b">
        <f t="shared" si="70"/>
        <v>0</v>
      </c>
    </row>
    <row r="902" spans="1:10" x14ac:dyDescent="0.25">
      <c r="A902" s="12" t="str">
        <f t="shared" si="72"/>
        <v>Residential_HVAC_Gas High Efficiency Boiler_Lifetime (years)</v>
      </c>
      <c r="B902" t="s">
        <v>162</v>
      </c>
      <c r="C902" t="s">
        <v>163</v>
      </c>
      <c r="D902" t="s">
        <v>512</v>
      </c>
      <c r="E902" s="111" t="s">
        <v>284</v>
      </c>
      <c r="F902" s="113">
        <v>25</v>
      </c>
      <c r="H902" s="12" t="s">
        <v>510</v>
      </c>
      <c r="I902" s="12" t="s">
        <v>511</v>
      </c>
      <c r="J902" s="12" t="b">
        <f t="shared" si="70"/>
        <v>0</v>
      </c>
    </row>
    <row r="903" spans="1:10" x14ac:dyDescent="0.25">
      <c r="A903" s="12" t="str">
        <f t="shared" si="72"/>
        <v>Residential_HVAC_Gas High Efficiency Boiler_Incremental Cost</v>
      </c>
      <c r="B903" t="s">
        <v>162</v>
      </c>
      <c r="C903" t="s">
        <v>163</v>
      </c>
      <c r="D903" t="s">
        <v>512</v>
      </c>
      <c r="E903" s="111" t="s">
        <v>285</v>
      </c>
      <c r="F903" s="218">
        <v>6073</v>
      </c>
      <c r="G903" s="12" t="s">
        <v>509</v>
      </c>
      <c r="H903" s="12" t="s">
        <v>510</v>
      </c>
      <c r="I903" s="12" t="s">
        <v>511</v>
      </c>
      <c r="J903" s="12" t="b">
        <f t="shared" si="70"/>
        <v>0</v>
      </c>
    </row>
    <row r="904" spans="1:10" x14ac:dyDescent="0.25">
      <c r="A904" s="12" t="str">
        <f t="shared" si="72"/>
        <v>Residential_HVAC_Gas High Efficiency Boiler_BTU Impact_Existing_Fossil Fuel</v>
      </c>
      <c r="B904" t="s">
        <v>162</v>
      </c>
      <c r="C904" t="s">
        <v>163</v>
      </c>
      <c r="D904" t="s">
        <v>512</v>
      </c>
      <c r="E904" s="111" t="s">
        <v>287</v>
      </c>
      <c r="F904" s="99" t="e">
        <f>-(F894*F895)*(1/F896)</f>
        <v>#N/A</v>
      </c>
      <c r="H904" s="12" t="s">
        <v>510</v>
      </c>
      <c r="I904" s="12" t="s">
        <v>511</v>
      </c>
      <c r="J904" s="12" t="b">
        <f t="shared" ref="J904:J909" si="74">_xlfn.ISFORMULA(F904)</f>
        <v>1</v>
      </c>
    </row>
    <row r="905" spans="1:10" x14ac:dyDescent="0.25">
      <c r="A905" s="12" t="str">
        <f t="shared" si="72"/>
        <v>Residential_HVAC_Gas High Efficiency Boiler_BTU Impact_Existing_Winter Electricity</v>
      </c>
      <c r="B905" t="s">
        <v>162</v>
      </c>
      <c r="C905" t="s">
        <v>163</v>
      </c>
      <c r="D905" t="s">
        <v>512</v>
      </c>
      <c r="E905" s="111" t="s">
        <v>288</v>
      </c>
      <c r="F905" s="99">
        <v>0</v>
      </c>
      <c r="H905" s="12" t="s">
        <v>510</v>
      </c>
      <c r="I905" s="12" t="s">
        <v>511</v>
      </c>
      <c r="J905" s="12" t="b">
        <f t="shared" si="74"/>
        <v>0</v>
      </c>
    </row>
    <row r="906" spans="1:10" x14ac:dyDescent="0.25">
      <c r="A906" s="12" t="str">
        <f t="shared" si="72"/>
        <v>Residential_HVAC_Gas High Efficiency Boiler_BTU Impact_Existing_Summer Electricity</v>
      </c>
      <c r="B906" t="s">
        <v>162</v>
      </c>
      <c r="C906" t="s">
        <v>163</v>
      </c>
      <c r="D906" t="s">
        <v>512</v>
      </c>
      <c r="E906" s="111" t="s">
        <v>289</v>
      </c>
      <c r="F906" s="99">
        <v>0</v>
      </c>
      <c r="H906" s="12" t="s">
        <v>510</v>
      </c>
      <c r="I906" s="12" t="s">
        <v>511</v>
      </c>
      <c r="J906" s="12" t="b">
        <f t="shared" si="74"/>
        <v>0</v>
      </c>
    </row>
    <row r="907" spans="1:10" x14ac:dyDescent="0.25">
      <c r="A907" s="12" t="str">
        <f t="shared" si="72"/>
        <v>Residential_HVAC_Gas High Efficiency Boiler_BTU Impact_New_Fossil Fuel</v>
      </c>
      <c r="B907" t="s">
        <v>162</v>
      </c>
      <c r="C907" t="s">
        <v>163</v>
      </c>
      <c r="D907" t="s">
        <v>512</v>
      </c>
      <c r="E907" s="111" t="s">
        <v>290</v>
      </c>
      <c r="F907" s="99" t="e">
        <f>(F898*F899)*(1/F900)</f>
        <v>#N/A</v>
      </c>
      <c r="H907" s="12" t="s">
        <v>510</v>
      </c>
      <c r="I907" s="12" t="s">
        <v>511</v>
      </c>
      <c r="J907" s="12" t="b">
        <f t="shared" si="74"/>
        <v>1</v>
      </c>
    </row>
    <row r="908" spans="1:10" x14ac:dyDescent="0.25">
      <c r="A908" s="12" t="str">
        <f t="shared" si="72"/>
        <v>Residential_HVAC_Gas High Efficiency Boiler_BTU Impact_New_Winter Electricity</v>
      </c>
      <c r="B908" t="s">
        <v>162</v>
      </c>
      <c r="C908" t="s">
        <v>163</v>
      </c>
      <c r="D908" t="s">
        <v>512</v>
      </c>
      <c r="E908" s="111" t="s">
        <v>291</v>
      </c>
      <c r="F908" s="99">
        <v>0</v>
      </c>
      <c r="H908" s="12" t="s">
        <v>510</v>
      </c>
      <c r="I908" s="12" t="s">
        <v>511</v>
      </c>
      <c r="J908" s="12" t="b">
        <f t="shared" si="74"/>
        <v>0</v>
      </c>
    </row>
    <row r="909" spans="1:10" x14ac:dyDescent="0.25">
      <c r="A909" s="12" t="str">
        <f t="shared" si="72"/>
        <v>Residential_HVAC_Gas High Efficiency Boiler_BTU Impact_New_Summer Electricity</v>
      </c>
      <c r="B909" t="s">
        <v>162</v>
      </c>
      <c r="C909" t="s">
        <v>163</v>
      </c>
      <c r="D909" t="s">
        <v>512</v>
      </c>
      <c r="E909" s="111" t="s">
        <v>292</v>
      </c>
      <c r="F909" s="99">
        <v>0</v>
      </c>
      <c r="H909" s="12" t="s">
        <v>510</v>
      </c>
      <c r="I909" s="12" t="s">
        <v>511</v>
      </c>
      <c r="J909" s="12" t="b">
        <f t="shared" si="74"/>
        <v>0</v>
      </c>
    </row>
    <row r="910" spans="1:10" x14ac:dyDescent="0.25">
      <c r="A910" s="12" t="str">
        <f t="shared" si="72"/>
        <v>Residential_HVAC_Gas High Efficiency Boiler_</v>
      </c>
      <c r="B910" t="s">
        <v>162</v>
      </c>
      <c r="C910" t="s">
        <v>163</v>
      </c>
      <c r="D910" t="s">
        <v>512</v>
      </c>
      <c r="H910" s="12" t="s">
        <v>510</v>
      </c>
      <c r="I910" s="12" t="s">
        <v>511</v>
      </c>
      <c r="J910" s="12" t="b">
        <f t="shared" ref="J910" si="75">_xlfn.ISFORMULA(F910)</f>
        <v>0</v>
      </c>
    </row>
  </sheetData>
  <autoFilter ref="A1:J910" xr:uid="{28DC8B96-8763-4BD5-9755-2F94298FFA8A}"/>
  <phoneticPr fontId="47" type="noConversion"/>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B5F70-D4B6-40B9-9B42-E2EA8908D4E3}">
  <sheetPr>
    <tabColor rgb="FF00B0F0"/>
  </sheetPr>
  <dimension ref="A1:I37"/>
  <sheetViews>
    <sheetView topLeftCell="A10" zoomScaleNormal="100" workbookViewId="0">
      <selection activeCell="C24" sqref="C24"/>
    </sheetView>
  </sheetViews>
  <sheetFormatPr defaultRowHeight="15" x14ac:dyDescent="0.25"/>
  <cols>
    <col min="1" max="11" width="31.5703125" customWidth="1"/>
  </cols>
  <sheetData>
    <row r="1" spans="1:9" x14ac:dyDescent="0.25">
      <c r="A1" s="1" t="s">
        <v>515</v>
      </c>
      <c r="B1" s="1" t="s">
        <v>148</v>
      </c>
      <c r="C1" s="1" t="s">
        <v>140</v>
      </c>
      <c r="D1" s="1"/>
    </row>
    <row r="2" spans="1:9" x14ac:dyDescent="0.25">
      <c r="A2" t="s">
        <v>79</v>
      </c>
      <c r="B2" t="s">
        <v>126</v>
      </c>
      <c r="C2" t="s">
        <v>143</v>
      </c>
    </row>
    <row r="3" spans="1:9" x14ac:dyDescent="0.25">
      <c r="A3" t="s">
        <v>176</v>
      </c>
      <c r="B3" t="s">
        <v>108</v>
      </c>
      <c r="C3" t="s">
        <v>516</v>
      </c>
    </row>
    <row r="7" spans="1:9" x14ac:dyDescent="0.25">
      <c r="A7" s="1" t="s">
        <v>149</v>
      </c>
      <c r="B7" s="1" t="s">
        <v>238</v>
      </c>
      <c r="C7" s="1" t="s">
        <v>295</v>
      </c>
      <c r="D7" s="1" t="s">
        <v>207</v>
      </c>
      <c r="E7" s="1" t="s">
        <v>164</v>
      </c>
      <c r="F7" s="1" t="s">
        <v>77</v>
      </c>
      <c r="G7" s="1" t="s">
        <v>76</v>
      </c>
      <c r="H7" s="1" t="s">
        <v>379</v>
      </c>
      <c r="I7" s="1" t="s">
        <v>78</v>
      </c>
    </row>
    <row r="8" spans="1:9" x14ac:dyDescent="0.25">
      <c r="A8" t="s">
        <v>517</v>
      </c>
      <c r="B8" t="s">
        <v>238</v>
      </c>
      <c r="C8" t="s">
        <v>295</v>
      </c>
      <c r="D8" t="s">
        <v>207</v>
      </c>
      <c r="E8" t="s">
        <v>164</v>
      </c>
      <c r="F8" t="s">
        <v>77</v>
      </c>
      <c r="G8" t="s">
        <v>76</v>
      </c>
      <c r="H8" t="s">
        <v>379</v>
      </c>
      <c r="I8" t="s">
        <v>412</v>
      </c>
    </row>
    <row r="9" spans="1:9" x14ac:dyDescent="0.25">
      <c r="A9" t="s">
        <v>518</v>
      </c>
      <c r="B9" t="s">
        <v>164</v>
      </c>
      <c r="C9" t="s">
        <v>164</v>
      </c>
      <c r="D9" t="s">
        <v>164</v>
      </c>
      <c r="E9" t="s">
        <v>164</v>
      </c>
      <c r="F9" t="s">
        <v>164</v>
      </c>
      <c r="G9" t="s">
        <v>164</v>
      </c>
      <c r="H9" t="s">
        <v>164</v>
      </c>
      <c r="I9" t="s">
        <v>452</v>
      </c>
    </row>
    <row r="10" spans="1:9" x14ac:dyDescent="0.25">
      <c r="I10" t="s">
        <v>464</v>
      </c>
    </row>
    <row r="11" spans="1:9" x14ac:dyDescent="0.25">
      <c r="A11" t="s">
        <v>147</v>
      </c>
      <c r="B11" t="s">
        <v>54</v>
      </c>
      <c r="C11" t="s">
        <v>293</v>
      </c>
      <c r="D11" t="s">
        <v>54</v>
      </c>
      <c r="E11" t="s">
        <v>164</v>
      </c>
      <c r="F11" t="s">
        <v>519</v>
      </c>
      <c r="G11" t="s">
        <v>520</v>
      </c>
      <c r="H11" t="s">
        <v>521</v>
      </c>
      <c r="I11" t="s">
        <v>465</v>
      </c>
    </row>
    <row r="12" spans="1:9" x14ac:dyDescent="0.25">
      <c r="I12" t="s">
        <v>474</v>
      </c>
    </row>
    <row r="13" spans="1:9" x14ac:dyDescent="0.25">
      <c r="I13" t="s">
        <v>475</v>
      </c>
    </row>
    <row r="14" spans="1:9" x14ac:dyDescent="0.25">
      <c r="A14" s="1" t="s">
        <v>522</v>
      </c>
      <c r="B14" s="1" t="s">
        <v>523</v>
      </c>
      <c r="C14" s="1" t="s">
        <v>524</v>
      </c>
      <c r="D14" s="1" t="s">
        <v>525</v>
      </c>
      <c r="I14" t="s">
        <v>477</v>
      </c>
    </row>
    <row r="15" spans="1:9" x14ac:dyDescent="0.25">
      <c r="A15" t="s">
        <v>126</v>
      </c>
      <c r="B15" t="s">
        <v>526</v>
      </c>
      <c r="C15" s="53">
        <v>91452</v>
      </c>
      <c r="D15" s="98">
        <f>138.63/10^6</f>
        <v>1.3862999999999999E-4</v>
      </c>
      <c r="I15" t="s">
        <v>486</v>
      </c>
    </row>
    <row r="16" spans="1:9" x14ac:dyDescent="0.25">
      <c r="A16" t="s">
        <v>108</v>
      </c>
      <c r="B16" t="s">
        <v>527</v>
      </c>
      <c r="C16" s="53">
        <v>1000000</v>
      </c>
      <c r="D16" s="98">
        <f>116.65/10^6</f>
        <v>1.1665E-4</v>
      </c>
      <c r="I16" t="s">
        <v>164</v>
      </c>
    </row>
    <row r="17" spans="1:7" x14ac:dyDescent="0.25">
      <c r="A17" t="s">
        <v>129</v>
      </c>
      <c r="B17" t="s">
        <v>526</v>
      </c>
      <c r="C17" s="53">
        <v>138500</v>
      </c>
      <c r="D17" s="98">
        <f>163.45/10^6</f>
        <v>1.6344999999999999E-4</v>
      </c>
    </row>
    <row r="18" spans="1:7" x14ac:dyDescent="0.25">
      <c r="A18" t="s">
        <v>161</v>
      </c>
      <c r="B18" t="s">
        <v>528</v>
      </c>
      <c r="C18" s="53">
        <v>3412</v>
      </c>
      <c r="D18" s="98">
        <v>4.1970915951283159E-4</v>
      </c>
    </row>
    <row r="21" spans="1:7" x14ac:dyDescent="0.25">
      <c r="A21" s="1" t="s">
        <v>529</v>
      </c>
      <c r="B21" s="1" t="s">
        <v>530</v>
      </c>
    </row>
    <row r="22" spans="1:7" x14ac:dyDescent="0.25">
      <c r="A22" t="s">
        <v>90</v>
      </c>
      <c r="B22" t="s">
        <v>95</v>
      </c>
    </row>
    <row r="24" spans="1:7" x14ac:dyDescent="0.25">
      <c r="A24" s="1" t="s">
        <v>241</v>
      </c>
    </row>
    <row r="26" spans="1:7" x14ac:dyDescent="0.25">
      <c r="A26" t="s">
        <v>86</v>
      </c>
      <c r="B26" s="225" t="s">
        <v>531</v>
      </c>
      <c r="C26" s="225" t="s">
        <v>223</v>
      </c>
      <c r="D26" s="225" t="s">
        <v>224</v>
      </c>
      <c r="E26" s="225" t="s">
        <v>225</v>
      </c>
      <c r="F26" s="225" t="s">
        <v>226</v>
      </c>
      <c r="G26" s="225" t="s">
        <v>532</v>
      </c>
    </row>
    <row r="27" spans="1:7" x14ac:dyDescent="0.25">
      <c r="A27" t="s">
        <v>208</v>
      </c>
      <c r="B27" s="224">
        <v>0.81</v>
      </c>
      <c r="C27" s="224">
        <v>0.86</v>
      </c>
      <c r="D27" s="224">
        <v>0.87</v>
      </c>
      <c r="E27" s="224">
        <v>0.95</v>
      </c>
      <c r="F27" s="224">
        <v>0.97</v>
      </c>
      <c r="G27" s="224">
        <v>0.9</v>
      </c>
    </row>
    <row r="28" spans="1:7" x14ac:dyDescent="0.25">
      <c r="A28" t="s">
        <v>209</v>
      </c>
      <c r="B28" s="224">
        <v>0.74</v>
      </c>
      <c r="C28" s="224">
        <v>0.8</v>
      </c>
      <c r="D28" s="224">
        <v>0.82</v>
      </c>
      <c r="E28" s="224">
        <v>0.92</v>
      </c>
      <c r="F28" s="224">
        <v>0.95</v>
      </c>
      <c r="G28" s="224">
        <v>0.85</v>
      </c>
    </row>
    <row r="29" spans="1:7" x14ac:dyDescent="0.25">
      <c r="A29" t="s">
        <v>210</v>
      </c>
      <c r="B29" s="224">
        <v>0.7</v>
      </c>
      <c r="C29" s="224">
        <v>0.77</v>
      </c>
      <c r="D29" s="224">
        <v>0.79</v>
      </c>
      <c r="E29" s="224">
        <v>0.88</v>
      </c>
      <c r="F29" s="224">
        <v>0.92</v>
      </c>
      <c r="G29" s="224">
        <v>0.81</v>
      </c>
    </row>
    <row r="30" spans="1:7" x14ac:dyDescent="0.25">
      <c r="A30" t="s">
        <v>211</v>
      </c>
      <c r="B30" s="224">
        <v>0.63</v>
      </c>
      <c r="C30" s="224">
        <v>0.7</v>
      </c>
      <c r="D30" s="224">
        <v>0.73</v>
      </c>
      <c r="E30" s="224">
        <v>0.8</v>
      </c>
      <c r="F30" s="224">
        <v>0.88</v>
      </c>
      <c r="G30" s="224">
        <v>0.75</v>
      </c>
    </row>
    <row r="31" spans="1:7" x14ac:dyDescent="0.25">
      <c r="A31" t="s">
        <v>212</v>
      </c>
      <c r="B31" s="224">
        <v>0.5</v>
      </c>
      <c r="C31" s="224">
        <v>0.56000000000000005</v>
      </c>
      <c r="D31" s="224">
        <v>0.63</v>
      </c>
      <c r="E31" s="224">
        <v>0.71</v>
      </c>
      <c r="F31" s="224">
        <v>0.79</v>
      </c>
      <c r="G31" s="224">
        <v>0.64</v>
      </c>
    </row>
    <row r="32" spans="1:7" x14ac:dyDescent="0.25">
      <c r="A32" t="s">
        <v>124</v>
      </c>
      <c r="B32" s="224">
        <v>0.42</v>
      </c>
      <c r="C32" s="224">
        <v>0.48</v>
      </c>
      <c r="D32" s="224">
        <v>0.56999999999999995</v>
      </c>
      <c r="E32" s="224">
        <v>0.61</v>
      </c>
      <c r="F32" s="224">
        <v>0.72</v>
      </c>
      <c r="G32" s="224">
        <v>0.56999999999999995</v>
      </c>
    </row>
    <row r="33" spans="1:7" x14ac:dyDescent="0.25">
      <c r="A33" t="s">
        <v>213</v>
      </c>
      <c r="B33" s="224">
        <v>0.32</v>
      </c>
      <c r="C33" s="224">
        <v>0.37</v>
      </c>
      <c r="D33" s="224">
        <v>0.43</v>
      </c>
      <c r="E33" s="224">
        <v>0.48</v>
      </c>
      <c r="F33" s="224">
        <v>0.59</v>
      </c>
      <c r="G33" s="224">
        <v>0.44</v>
      </c>
    </row>
    <row r="34" spans="1:7" x14ac:dyDescent="0.25">
      <c r="A34" t="s">
        <v>214</v>
      </c>
      <c r="B34" s="224">
        <v>0.33</v>
      </c>
      <c r="C34" s="224">
        <v>0.26</v>
      </c>
      <c r="D34" s="224">
        <v>0.27</v>
      </c>
      <c r="E34" s="224">
        <v>0.37</v>
      </c>
      <c r="F34" s="224">
        <v>0.41</v>
      </c>
      <c r="G34" s="224">
        <v>0.3</v>
      </c>
    </row>
    <row r="35" spans="1:7" x14ac:dyDescent="0.25">
      <c r="A35" t="s">
        <v>215</v>
      </c>
      <c r="B35" s="224">
        <v>0.18</v>
      </c>
      <c r="C35" s="224">
        <v>0.2</v>
      </c>
      <c r="D35" s="224">
        <v>0.21</v>
      </c>
      <c r="E35" s="224">
        <v>0.3</v>
      </c>
      <c r="F35" s="224">
        <v>0.33</v>
      </c>
      <c r="G35" s="224">
        <v>0.24</v>
      </c>
    </row>
    <row r="36" spans="1:7" x14ac:dyDescent="0.25">
      <c r="A36" t="s">
        <v>216</v>
      </c>
      <c r="B36" s="224">
        <v>0.14000000000000001</v>
      </c>
      <c r="C36" s="224">
        <v>0.14000000000000001</v>
      </c>
      <c r="D36" s="224">
        <v>0.15</v>
      </c>
      <c r="E36" s="224">
        <v>0.21</v>
      </c>
      <c r="F36" s="224">
        <v>0.23</v>
      </c>
      <c r="G36" s="224">
        <v>0.16</v>
      </c>
    </row>
    <row r="37" spans="1:7" x14ac:dyDescent="0.25">
      <c r="A37" t="s">
        <v>217</v>
      </c>
      <c r="B37" s="224">
        <v>0.08</v>
      </c>
      <c r="C37" s="224">
        <v>0.08</v>
      </c>
      <c r="D37" s="224">
        <v>0.08</v>
      </c>
      <c r="E37" s="224">
        <v>0.13</v>
      </c>
      <c r="F37" s="224">
        <v>0.14000000000000001</v>
      </c>
      <c r="G37" s="224">
        <v>0.1</v>
      </c>
    </row>
  </sheetData>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A2831-91FE-4A2A-BAB3-A5BFD782278C}">
  <sheetPr>
    <tabColor rgb="FFFFC000"/>
  </sheetPr>
  <dimension ref="A1:Q586"/>
  <sheetViews>
    <sheetView zoomScaleNormal="100" workbookViewId="0">
      <pane ySplit="1" topLeftCell="A23" activePane="bottomLeft" state="frozen"/>
      <selection pane="bottomLeft" activeCell="F38" sqref="F38"/>
    </sheetView>
  </sheetViews>
  <sheetFormatPr defaultRowHeight="15" x14ac:dyDescent="0.25"/>
  <cols>
    <col min="1" max="1" width="2.85546875" style="12" customWidth="1"/>
    <col min="2" max="2" width="10.42578125" bestFit="1" customWidth="1"/>
    <col min="3" max="3" width="12.5703125" bestFit="1" customWidth="1"/>
    <col min="4" max="4" width="47.5703125" customWidth="1"/>
    <col min="5" max="5" width="37.85546875" style="112" customWidth="1"/>
    <col min="6" max="6" width="13.85546875" bestFit="1" customWidth="1"/>
    <col min="7" max="7" width="18.140625" style="12" customWidth="1"/>
    <col min="8" max="8" width="58.5703125" style="12" customWidth="1"/>
    <col min="9" max="9" width="23" style="12" customWidth="1"/>
    <col min="10" max="10" width="15.42578125" style="12" customWidth="1"/>
    <col min="11" max="17" width="8.5703125" style="12"/>
  </cols>
  <sheetData>
    <row r="1" spans="1:10" x14ac:dyDescent="0.25">
      <c r="A1" s="22" t="s">
        <v>115</v>
      </c>
      <c r="B1" s="1" t="s">
        <v>145</v>
      </c>
      <c r="C1" s="1" t="s">
        <v>146</v>
      </c>
      <c r="D1" s="1" t="s">
        <v>227</v>
      </c>
      <c r="E1" s="110" t="s">
        <v>228</v>
      </c>
      <c r="F1" s="1" t="s">
        <v>229</v>
      </c>
      <c r="G1" s="22" t="s">
        <v>230</v>
      </c>
      <c r="H1" s="22" t="s">
        <v>231</v>
      </c>
      <c r="I1" s="22" t="s">
        <v>232</v>
      </c>
      <c r="J1" s="22" t="s">
        <v>233</v>
      </c>
    </row>
    <row r="2" spans="1:10" s="12" customFormat="1" x14ac:dyDescent="0.25">
      <c r="A2" s="12" t="str">
        <f t="shared" ref="A2:A7" si="0">B2&amp;"_"&amp;C2&amp;"_"&amp;D2&amp;"_"&amp;E2</f>
        <v>Residential_Building Shell_Air Sealing (Fossil Fuel Heat)_CFM50_existing</v>
      </c>
      <c r="B2" t="s">
        <v>162</v>
      </c>
      <c r="C2" t="s">
        <v>167</v>
      </c>
      <c r="D2" t="s">
        <v>179</v>
      </c>
      <c r="E2" s="114" t="s">
        <v>413</v>
      </c>
      <c r="F2" s="116">
        <f>Dashboard_EE!$O$3</f>
        <v>0</v>
      </c>
      <c r="G2" s="12" t="s">
        <v>414</v>
      </c>
      <c r="H2" s="12" t="s">
        <v>415</v>
      </c>
      <c r="I2" s="12" t="s">
        <v>416</v>
      </c>
      <c r="J2" s="12" t="b">
        <f t="shared" ref="J2:J22" si="1">_xlfn.ISFORMULA(F2)</f>
        <v>1</v>
      </c>
    </row>
    <row r="3" spans="1:10" s="12" customFormat="1" x14ac:dyDescent="0.25">
      <c r="A3" s="12" t="str">
        <f t="shared" si="0"/>
        <v>Residential_Building Shell_Air Sealing (Fossil Fuel Heat)_CFM50_new</v>
      </c>
      <c r="B3" t="s">
        <v>162</v>
      </c>
      <c r="C3" t="s">
        <v>167</v>
      </c>
      <c r="D3" t="s">
        <v>179</v>
      </c>
      <c r="E3" s="102" t="s">
        <v>417</v>
      </c>
      <c r="F3" s="105">
        <v>0</v>
      </c>
      <c r="G3" s="12" t="s">
        <v>418</v>
      </c>
      <c r="H3" s="12" t="s">
        <v>415</v>
      </c>
      <c r="I3" s="12" t="s">
        <v>416</v>
      </c>
      <c r="J3" s="12" t="b">
        <f t="shared" si="1"/>
        <v>0</v>
      </c>
    </row>
    <row r="4" spans="1:10" s="12" customFormat="1" x14ac:dyDescent="0.25">
      <c r="A4" s="12" t="str">
        <f t="shared" si="0"/>
        <v>Residential_Building Shell_Air Sealing (Fossil Fuel Heat)_N_cool</v>
      </c>
      <c r="B4" t="s">
        <v>162</v>
      </c>
      <c r="C4" t="s">
        <v>167</v>
      </c>
      <c r="D4" t="s">
        <v>179</v>
      </c>
      <c r="E4" s="102" t="s">
        <v>419</v>
      </c>
      <c r="F4" s="105">
        <v>36.5</v>
      </c>
      <c r="G4" s="12" t="s">
        <v>420</v>
      </c>
      <c r="H4" s="12" t="s">
        <v>415</v>
      </c>
      <c r="I4" s="12" t="s">
        <v>416</v>
      </c>
      <c r="J4" s="12" t="b">
        <f t="shared" si="1"/>
        <v>0</v>
      </c>
    </row>
    <row r="5" spans="1:10" s="12" customFormat="1" x14ac:dyDescent="0.25">
      <c r="A5" s="12" t="str">
        <f t="shared" si="0"/>
        <v>Residential_Building Shell_Air Sealing (Fossil Fuel Heat)_60</v>
      </c>
      <c r="B5" t="s">
        <v>162</v>
      </c>
      <c r="C5" t="s">
        <v>167</v>
      </c>
      <c r="D5" t="s">
        <v>179</v>
      </c>
      <c r="E5" s="102">
        <v>60</v>
      </c>
      <c r="F5" s="105">
        <v>60</v>
      </c>
      <c r="H5" s="12" t="s">
        <v>415</v>
      </c>
      <c r="I5" s="12" t="s">
        <v>416</v>
      </c>
      <c r="J5" s="12" t="b">
        <f t="shared" si="1"/>
        <v>0</v>
      </c>
    </row>
    <row r="6" spans="1:10" s="12" customFormat="1" x14ac:dyDescent="0.25">
      <c r="A6" s="12" t="str">
        <f t="shared" si="0"/>
        <v>Residential_Building Shell_Air Sealing (Fossil Fuel Heat)_24</v>
      </c>
      <c r="B6" t="s">
        <v>162</v>
      </c>
      <c r="C6" t="s">
        <v>167</v>
      </c>
      <c r="D6" t="s">
        <v>179</v>
      </c>
      <c r="E6" s="102">
        <v>24</v>
      </c>
      <c r="F6" s="105">
        <v>24</v>
      </c>
      <c r="H6" s="12" t="s">
        <v>415</v>
      </c>
      <c r="I6" s="12" t="s">
        <v>416</v>
      </c>
      <c r="J6" s="12" t="b">
        <f t="shared" si="1"/>
        <v>0</v>
      </c>
    </row>
    <row r="7" spans="1:10" s="12" customFormat="1" x14ac:dyDescent="0.25">
      <c r="A7" s="12" t="str">
        <f t="shared" si="0"/>
        <v>Residential_Building Shell_Air Sealing (Fossil Fuel Heat)_CDD</v>
      </c>
      <c r="B7" t="s">
        <v>162</v>
      </c>
      <c r="C7" t="s">
        <v>167</v>
      </c>
      <c r="D7" t="s">
        <v>179</v>
      </c>
      <c r="E7" s="102" t="s">
        <v>421</v>
      </c>
      <c r="F7" s="105" t="e">
        <f>INDEX('CZ Inputs'!G:G,MATCH(A7&amp;"_"&amp;Dashboard_EE!$K$3,'CZ Inputs'!A:A,0))</f>
        <v>#N/A</v>
      </c>
      <c r="G7" s="12" t="s">
        <v>422</v>
      </c>
      <c r="H7" s="12" t="s">
        <v>415</v>
      </c>
      <c r="I7" s="12" t="s">
        <v>416</v>
      </c>
      <c r="J7" s="12" t="b">
        <f t="shared" si="1"/>
        <v>1</v>
      </c>
    </row>
    <row r="8" spans="1:10" s="12" customFormat="1" x14ac:dyDescent="0.25">
      <c r="A8" s="12" t="str">
        <f t="shared" ref="A8:A69" si="2">B8&amp;"_"&amp;C8&amp;"_"&amp;D8&amp;"_"&amp;E8</f>
        <v>Residential_Building Shell_Air Sealing (Fossil Fuel Heat)_DUA</v>
      </c>
      <c r="B8" t="s">
        <v>162</v>
      </c>
      <c r="C8" t="s">
        <v>167</v>
      </c>
      <c r="D8" t="s">
        <v>179</v>
      </c>
      <c r="E8" s="102" t="s">
        <v>423</v>
      </c>
      <c r="F8" s="105">
        <v>0.75</v>
      </c>
      <c r="H8" s="12" t="s">
        <v>415</v>
      </c>
      <c r="I8" s="12" t="s">
        <v>416</v>
      </c>
      <c r="J8" s="12" t="b">
        <f t="shared" si="1"/>
        <v>0</v>
      </c>
    </row>
    <row r="9" spans="1:10" s="12" customFormat="1" x14ac:dyDescent="0.25">
      <c r="A9" s="12" t="str">
        <f t="shared" si="2"/>
        <v>Residential_Building Shell_Air Sealing (Fossil Fuel Heat)_0.018</v>
      </c>
      <c r="B9" t="s">
        <v>162</v>
      </c>
      <c r="C9" t="s">
        <v>167</v>
      </c>
      <c r="D9" t="s">
        <v>179</v>
      </c>
      <c r="E9" s="102">
        <v>1.7999999999999999E-2</v>
      </c>
      <c r="F9" s="105">
        <v>1.7999999999999999E-2</v>
      </c>
      <c r="H9" s="12" t="s">
        <v>415</v>
      </c>
      <c r="I9" s="12" t="s">
        <v>416</v>
      </c>
      <c r="J9" s="12" t="b">
        <f t="shared" si="1"/>
        <v>0</v>
      </c>
    </row>
    <row r="10" spans="1:10" s="12" customFormat="1" x14ac:dyDescent="0.25">
      <c r="A10" s="12" t="str">
        <f t="shared" si="2"/>
        <v>Residential_Building Shell_Air Sealing (Fossil Fuel Heat)_1000</v>
      </c>
      <c r="B10" t="s">
        <v>162</v>
      </c>
      <c r="C10" t="s">
        <v>167</v>
      </c>
      <c r="D10" t="s">
        <v>179</v>
      </c>
      <c r="E10" s="102">
        <v>1000</v>
      </c>
      <c r="F10" s="105">
        <v>1000</v>
      </c>
      <c r="H10" s="12" t="s">
        <v>415</v>
      </c>
      <c r="I10" s="12" t="s">
        <v>416</v>
      </c>
      <c r="J10" s="12" t="b">
        <f t="shared" si="1"/>
        <v>0</v>
      </c>
    </row>
    <row r="11" spans="1:10" s="12" customFormat="1" x14ac:dyDescent="0.25">
      <c r="A11" s="12" t="str">
        <f t="shared" si="2"/>
        <v>Residential_Building Shell_Air Sealing (Fossil Fuel Heat)_ηCool</v>
      </c>
      <c r="B11" t="s">
        <v>162</v>
      </c>
      <c r="C11" t="s">
        <v>167</v>
      </c>
      <c r="D11" t="s">
        <v>179</v>
      </c>
      <c r="E11" s="114" t="s">
        <v>424</v>
      </c>
      <c r="F11" s="116">
        <f>Dashboard_EE!$K$13</f>
        <v>0</v>
      </c>
      <c r="G11" s="12" t="s">
        <v>240</v>
      </c>
      <c r="H11" s="12" t="s">
        <v>415</v>
      </c>
      <c r="I11" s="12" t="s">
        <v>416</v>
      </c>
      <c r="J11" s="12" t="b">
        <f t="shared" si="1"/>
        <v>1</v>
      </c>
    </row>
    <row r="12" spans="1:10" s="12" customFormat="1" x14ac:dyDescent="0.25">
      <c r="A12" s="12" t="str">
        <f t="shared" si="2"/>
        <v>Residential_Building Shell_Air Sealing (Fossil Fuel Heat)_ηCool_Mid-Life_Adj</v>
      </c>
      <c r="B12" t="s">
        <v>162</v>
      </c>
      <c r="C12" t="s">
        <v>167</v>
      </c>
      <c r="D12" t="s">
        <v>179</v>
      </c>
      <c r="E12" s="114" t="s">
        <v>425</v>
      </c>
      <c r="F12" s="116">
        <f>Dashboard_EE!$K$13</f>
        <v>0</v>
      </c>
      <c r="G12" s="12" t="s">
        <v>240</v>
      </c>
      <c r="H12" s="12" t="s">
        <v>415</v>
      </c>
      <c r="I12" s="12" t="s">
        <v>416</v>
      </c>
      <c r="J12" s="12" t="b">
        <f t="shared" si="1"/>
        <v>1</v>
      </c>
    </row>
    <row r="13" spans="1:10" s="12" customFormat="1" x14ac:dyDescent="0.25">
      <c r="A13" s="12" t="str">
        <f t="shared" si="2"/>
        <v>Residential_Building Shell_Air Sealing (Fossil Fuel Heat)_LM</v>
      </c>
      <c r="B13" t="s">
        <v>162</v>
      </c>
      <c r="C13" t="s">
        <v>167</v>
      </c>
      <c r="D13" t="s">
        <v>179</v>
      </c>
      <c r="E13" s="102" t="s">
        <v>345</v>
      </c>
      <c r="F13" s="105">
        <v>3.7</v>
      </c>
      <c r="G13" s="12" t="s">
        <v>426</v>
      </c>
      <c r="H13" s="12" t="s">
        <v>415</v>
      </c>
      <c r="I13" s="12" t="s">
        <v>416</v>
      </c>
      <c r="J13" s="12" t="b">
        <f t="shared" si="1"/>
        <v>0</v>
      </c>
    </row>
    <row r="14" spans="1:10" s="12" customFormat="1" x14ac:dyDescent="0.25">
      <c r="A14" s="12" t="str">
        <f t="shared" si="2"/>
        <v>Residential_Building Shell_Air Sealing (Fossil Fuel Heat)_ADJAirSealingCool</v>
      </c>
      <c r="B14" t="s">
        <v>162</v>
      </c>
      <c r="C14" t="s">
        <v>167</v>
      </c>
      <c r="D14" t="s">
        <v>179</v>
      </c>
      <c r="E14" s="102" t="s">
        <v>427</v>
      </c>
      <c r="F14" s="105">
        <v>1.21</v>
      </c>
      <c r="G14" s="12" t="s">
        <v>428</v>
      </c>
      <c r="H14" s="12" t="s">
        <v>415</v>
      </c>
      <c r="I14" s="12" t="s">
        <v>416</v>
      </c>
      <c r="J14" s="12" t="b">
        <f t="shared" si="1"/>
        <v>0</v>
      </c>
    </row>
    <row r="15" spans="1:10" s="12" customFormat="1" x14ac:dyDescent="0.25">
      <c r="A15" s="12" t="str">
        <f t="shared" si="2"/>
        <v>Residential_Building Shell_Air Sealing (Fossil Fuel Heat)_IENetCorrection</v>
      </c>
      <c r="B15" t="s">
        <v>162</v>
      </c>
      <c r="C15" t="s">
        <v>167</v>
      </c>
      <c r="D15" t="s">
        <v>179</v>
      </c>
      <c r="E15" s="102" t="s">
        <v>429</v>
      </c>
      <c r="F15" s="105">
        <f>IF(Dashboard_EE!$K$17="Yes",110%,100%)</f>
        <v>1.1000000000000001</v>
      </c>
      <c r="H15" s="12" t="s">
        <v>415</v>
      </c>
      <c r="I15" s="12" t="s">
        <v>416</v>
      </c>
      <c r="J15" s="12" t="b">
        <f t="shared" si="1"/>
        <v>1</v>
      </c>
    </row>
    <row r="16" spans="1:10" s="12" customFormat="1" x14ac:dyDescent="0.25">
      <c r="A16" s="12" t="str">
        <f t="shared" si="2"/>
        <v>Residential_Building Shell_Air Sealing (Fossil Fuel Heat)_%Cool</v>
      </c>
      <c r="B16" t="s">
        <v>162</v>
      </c>
      <c r="C16" t="s">
        <v>167</v>
      </c>
      <c r="D16" t="s">
        <v>179</v>
      </c>
      <c r="E16" s="114" t="s">
        <v>397</v>
      </c>
      <c r="F16" s="116">
        <f>IF(Dashboard_EE!$K$14="Yes",1,0)</f>
        <v>0</v>
      </c>
      <c r="H16" s="12" t="s">
        <v>415</v>
      </c>
      <c r="I16" s="12" t="s">
        <v>416</v>
      </c>
      <c r="J16" s="12" t="b">
        <f t="shared" si="1"/>
        <v>1</v>
      </c>
    </row>
    <row r="17" spans="1:10" s="12" customFormat="1" x14ac:dyDescent="0.25">
      <c r="A17" s="12" t="str">
        <f t="shared" si="2"/>
        <v>Residential_Building Shell_Air Sealing (Fossil Fuel Heat)_Delta_kWh_cooling</v>
      </c>
      <c r="B17" t="s">
        <v>162</v>
      </c>
      <c r="C17" t="s">
        <v>167</v>
      </c>
      <c r="D17" t="s">
        <v>179</v>
      </c>
      <c r="E17" s="114" t="s">
        <v>430</v>
      </c>
      <c r="F17" s="116" t="e">
        <f xml:space="preserve"> ((((F2 - F3) / F4) * F5 * F6 * F7 * F8 * F9) / (F10 * F11) * F13 * F14) * F15 * F16</f>
        <v>#N/A</v>
      </c>
      <c r="H17" s="12" t="s">
        <v>415</v>
      </c>
      <c r="I17" s="12" t="s">
        <v>416</v>
      </c>
      <c r="J17" s="12" t="b">
        <f t="shared" si="1"/>
        <v>1</v>
      </c>
    </row>
    <row r="18" spans="1:10" s="12" customFormat="1" x14ac:dyDescent="0.25">
      <c r="A18" s="12" t="str">
        <f t="shared" si="2"/>
        <v>Residential_Building Shell_Air Sealing (Fossil Fuel Heat)_Delta_kWh_cooling_Mid-Life_Adj</v>
      </c>
      <c r="B18" t="s">
        <v>162</v>
      </c>
      <c r="C18" t="s">
        <v>167</v>
      </c>
      <c r="D18" t="s">
        <v>179</v>
      </c>
      <c r="E18" s="114" t="s">
        <v>431</v>
      </c>
      <c r="F18" s="116" t="e">
        <f xml:space="preserve"> ((((F2 - F3) / F4) * F5 * F6 * F7 * F8 * F9) / (F10 * F12) * F13 * F14) * F15 * F16</f>
        <v>#N/A</v>
      </c>
      <c r="H18" s="12" t="s">
        <v>415</v>
      </c>
      <c r="I18" s="12" t="s">
        <v>416</v>
      </c>
      <c r="J18" s="12" t="b">
        <f t="shared" si="1"/>
        <v>1</v>
      </c>
    </row>
    <row r="19" spans="1:10" s="12" customFormat="1" x14ac:dyDescent="0.25">
      <c r="A19" s="12" t="str">
        <f t="shared" si="2"/>
        <v>Residential_Building Shell_Air Sealing (Fossil Fuel Heat)_CFM50_existing</v>
      </c>
      <c r="B19" t="s">
        <v>162</v>
      </c>
      <c r="C19" t="s">
        <v>167</v>
      </c>
      <c r="D19" t="s">
        <v>179</v>
      </c>
      <c r="E19" s="114" t="s">
        <v>413</v>
      </c>
      <c r="F19" s="116">
        <f>Dashboard_EE!$O$3</f>
        <v>0</v>
      </c>
      <c r="G19" s="12" t="s">
        <v>414</v>
      </c>
      <c r="H19" s="12" t="s">
        <v>415</v>
      </c>
      <c r="I19" s="12" t="s">
        <v>416</v>
      </c>
      <c r="J19" s="12" t="b">
        <f t="shared" si="1"/>
        <v>1</v>
      </c>
    </row>
    <row r="20" spans="1:10" s="12" customFormat="1" x14ac:dyDescent="0.25">
      <c r="A20" s="12" t="str">
        <f t="shared" si="2"/>
        <v>Residential_Building Shell_Air Sealing (Fossil Fuel Heat)_CFM50_new</v>
      </c>
      <c r="B20" t="s">
        <v>162</v>
      </c>
      <c r="C20" t="s">
        <v>167</v>
      </c>
      <c r="D20" t="s">
        <v>179</v>
      </c>
      <c r="E20" s="102" t="s">
        <v>417</v>
      </c>
      <c r="F20" s="105">
        <v>0</v>
      </c>
      <c r="G20" s="12" t="s">
        <v>418</v>
      </c>
      <c r="H20" s="12" t="s">
        <v>415</v>
      </c>
      <c r="I20" s="12" t="s">
        <v>416</v>
      </c>
      <c r="J20" s="12" t="b">
        <f t="shared" si="1"/>
        <v>0</v>
      </c>
    </row>
    <row r="21" spans="1:10" s="12" customFormat="1" x14ac:dyDescent="0.25">
      <c r="A21" s="12" t="str">
        <f t="shared" si="2"/>
        <v>Residential_Building Shell_Air Sealing (Fossil Fuel Heat)_N_heat</v>
      </c>
      <c r="B21" t="s">
        <v>162</v>
      </c>
      <c r="C21" t="s">
        <v>167</v>
      </c>
      <c r="D21" t="s">
        <v>179</v>
      </c>
      <c r="E21" s="102" t="s">
        <v>432</v>
      </c>
      <c r="F21" s="105">
        <v>21.5</v>
      </c>
      <c r="G21" s="12" t="s">
        <v>420</v>
      </c>
      <c r="H21" s="12" t="s">
        <v>415</v>
      </c>
      <c r="I21" s="12" t="s">
        <v>416</v>
      </c>
      <c r="J21" s="12" t="b">
        <f t="shared" si="1"/>
        <v>0</v>
      </c>
    </row>
    <row r="22" spans="1:10" s="12" customFormat="1" x14ac:dyDescent="0.25">
      <c r="A22" s="12" t="str">
        <f t="shared" si="2"/>
        <v>Residential_Building Shell_Air Sealing (Fossil Fuel Heat)_60</v>
      </c>
      <c r="B22" t="s">
        <v>162</v>
      </c>
      <c r="C22" t="s">
        <v>167</v>
      </c>
      <c r="D22" t="s">
        <v>179</v>
      </c>
      <c r="E22" s="102">
        <v>60</v>
      </c>
      <c r="F22" s="105">
        <v>60</v>
      </c>
      <c r="H22" s="12" t="s">
        <v>415</v>
      </c>
      <c r="I22" s="12" t="s">
        <v>416</v>
      </c>
      <c r="J22" s="12" t="b">
        <f t="shared" si="1"/>
        <v>0</v>
      </c>
    </row>
    <row r="23" spans="1:10" s="12" customFormat="1" x14ac:dyDescent="0.25">
      <c r="A23" s="12" t="str">
        <f t="shared" si="2"/>
        <v>Residential_Building Shell_Air Sealing (Fossil Fuel Heat)_24</v>
      </c>
      <c r="B23" t="s">
        <v>162</v>
      </c>
      <c r="C23" t="s">
        <v>167</v>
      </c>
      <c r="D23" t="s">
        <v>179</v>
      </c>
      <c r="E23" s="102">
        <v>24</v>
      </c>
      <c r="F23" s="105">
        <v>24</v>
      </c>
      <c r="H23" s="12" t="s">
        <v>415</v>
      </c>
      <c r="I23" s="12" t="s">
        <v>416</v>
      </c>
      <c r="J23" s="12" t="b">
        <f t="shared" ref="J23:J83" si="3">_xlfn.ISFORMULA(F23)</f>
        <v>0</v>
      </c>
    </row>
    <row r="24" spans="1:10" s="12" customFormat="1" x14ac:dyDescent="0.25">
      <c r="A24" s="12" t="str">
        <f t="shared" si="2"/>
        <v>Residential_Building Shell_Air Sealing (Fossil Fuel Heat)_HDD</v>
      </c>
      <c r="B24" t="s">
        <v>162</v>
      </c>
      <c r="C24" t="s">
        <v>167</v>
      </c>
      <c r="D24" t="s">
        <v>179</v>
      </c>
      <c r="E24" s="102" t="s">
        <v>433</v>
      </c>
      <c r="F24" s="105" t="e">
        <f>INDEX('CZ Inputs'!G:G,MATCH(A24&amp;"_"&amp;Dashboard_EE!$K$3,'CZ Inputs'!A:A,0))</f>
        <v>#N/A</v>
      </c>
      <c r="G24" s="12" t="s">
        <v>422</v>
      </c>
      <c r="H24" s="12" t="s">
        <v>415</v>
      </c>
      <c r="I24" s="12" t="s">
        <v>416</v>
      </c>
      <c r="J24" s="12" t="b">
        <f t="shared" si="3"/>
        <v>1</v>
      </c>
    </row>
    <row r="25" spans="1:10" s="12" customFormat="1" x14ac:dyDescent="0.25">
      <c r="A25" s="12" t="str">
        <f t="shared" si="2"/>
        <v>Residential_Building Shell_Air Sealing (Fossil Fuel Heat)_0.018</v>
      </c>
      <c r="B25" t="s">
        <v>162</v>
      </c>
      <c r="C25" t="s">
        <v>167</v>
      </c>
      <c r="D25" t="s">
        <v>179</v>
      </c>
      <c r="E25" s="102">
        <v>1.7999999999999999E-2</v>
      </c>
      <c r="F25" s="105">
        <v>1.7999999999999999E-2</v>
      </c>
      <c r="H25" s="12" t="s">
        <v>415</v>
      </c>
      <c r="I25" s="12" t="s">
        <v>416</v>
      </c>
      <c r="J25" s="12" t="b">
        <f t="shared" si="3"/>
        <v>0</v>
      </c>
    </row>
    <row r="26" spans="1:10" s="12" customFormat="1" x14ac:dyDescent="0.25">
      <c r="A26" s="12" t="str">
        <f t="shared" si="2"/>
        <v>Residential_Building Shell_Air Sealing (Fossil Fuel Heat)_ηHeat</v>
      </c>
      <c r="B26" t="s">
        <v>162</v>
      </c>
      <c r="C26" t="s">
        <v>167</v>
      </c>
      <c r="D26" t="s">
        <v>179</v>
      </c>
      <c r="E26" s="114" t="s">
        <v>434</v>
      </c>
      <c r="F26" s="116">
        <f>Dashboard_EE!$K$6</f>
        <v>0</v>
      </c>
      <c r="G26" s="12" t="s">
        <v>240</v>
      </c>
      <c r="H26" s="12" t="s">
        <v>415</v>
      </c>
      <c r="I26" s="12" t="s">
        <v>416</v>
      </c>
      <c r="J26" s="12" t="b">
        <f t="shared" si="3"/>
        <v>1</v>
      </c>
    </row>
    <row r="27" spans="1:10" s="12" customFormat="1" x14ac:dyDescent="0.25">
      <c r="A27" s="12" t="str">
        <f t="shared" si="2"/>
        <v>Residential_Building Shell_Air Sealing (Fossil Fuel Heat)_ηHeat_Mid-Life_Adj</v>
      </c>
      <c r="B27" t="s">
        <v>162</v>
      </c>
      <c r="C27" t="s">
        <v>167</v>
      </c>
      <c r="D27" t="s">
        <v>179</v>
      </c>
      <c r="E27" s="114" t="s">
        <v>435</v>
      </c>
      <c r="F27" s="116">
        <f>Dashboard_EE!$K$6</f>
        <v>0</v>
      </c>
      <c r="G27" s="12" t="s">
        <v>240</v>
      </c>
      <c r="H27" s="12" t="s">
        <v>415</v>
      </c>
      <c r="I27" s="12" t="s">
        <v>416</v>
      </c>
      <c r="J27" s="12" t="b">
        <f t="shared" si="3"/>
        <v>1</v>
      </c>
    </row>
    <row r="28" spans="1:10" s="12" customFormat="1" x14ac:dyDescent="0.25">
      <c r="A28" s="12" t="str">
        <f t="shared" si="2"/>
        <v>Residential_Building Shell_Air Sealing (Fossil Fuel Heat)_3412</v>
      </c>
      <c r="B28" t="s">
        <v>162</v>
      </c>
      <c r="C28" t="s">
        <v>167</v>
      </c>
      <c r="D28" t="s">
        <v>179</v>
      </c>
      <c r="E28" s="102">
        <v>3412</v>
      </c>
      <c r="F28" s="105">
        <v>3412</v>
      </c>
      <c r="H28" s="12" t="s">
        <v>415</v>
      </c>
      <c r="I28" s="12" t="s">
        <v>416</v>
      </c>
      <c r="J28" s="12" t="b">
        <f t="shared" si="3"/>
        <v>0</v>
      </c>
    </row>
    <row r="29" spans="1:10" s="12" customFormat="1" x14ac:dyDescent="0.25">
      <c r="A29" s="12" t="str">
        <f t="shared" si="2"/>
        <v>Residential_Building Shell_Air Sealing (Fossil Fuel Heat)_%ElectricHeat</v>
      </c>
      <c r="B29" t="s">
        <v>162</v>
      </c>
      <c r="C29" t="s">
        <v>167</v>
      </c>
      <c r="D29" t="s">
        <v>179</v>
      </c>
      <c r="E29" s="102" t="s">
        <v>402</v>
      </c>
      <c r="F29" s="105">
        <v>0</v>
      </c>
      <c r="G29" s="12" t="s">
        <v>533</v>
      </c>
      <c r="H29" s="12" t="s">
        <v>415</v>
      </c>
      <c r="I29" s="12" t="s">
        <v>416</v>
      </c>
      <c r="J29" s="12" t="b">
        <f t="shared" si="3"/>
        <v>0</v>
      </c>
    </row>
    <row r="30" spans="1:10" s="12" customFormat="1" x14ac:dyDescent="0.25">
      <c r="A30" s="12" t="str">
        <f t="shared" si="2"/>
        <v>Residential_Building Shell_Air Sealing (Fossil Fuel Heat)_Delta_kWh_heatingElectric</v>
      </c>
      <c r="B30" t="s">
        <v>162</v>
      </c>
      <c r="C30" t="s">
        <v>167</v>
      </c>
      <c r="D30" t="s">
        <v>179</v>
      </c>
      <c r="E30" s="114" t="s">
        <v>437</v>
      </c>
      <c r="F30" s="119" t="e">
        <f xml:space="preserve"> ((((F19 - F20) / F21) * F22 * F23 * F24 * F25) / (F26 * F28)) * F29</f>
        <v>#N/A</v>
      </c>
      <c r="H30" s="12" t="s">
        <v>415</v>
      </c>
      <c r="I30" s="12" t="s">
        <v>416</v>
      </c>
      <c r="J30" s="12" t="b">
        <f t="shared" si="3"/>
        <v>1</v>
      </c>
    </row>
    <row r="31" spans="1:10" s="12" customFormat="1" x14ac:dyDescent="0.25">
      <c r="A31" s="12" t="str">
        <f t="shared" si="2"/>
        <v>Residential_Building Shell_Air Sealing (Fossil Fuel Heat)_Delta_kWh_heatingElectric_Mid-Life_Adj</v>
      </c>
      <c r="B31" t="s">
        <v>162</v>
      </c>
      <c r="C31" t="s">
        <v>167</v>
      </c>
      <c r="D31" t="s">
        <v>179</v>
      </c>
      <c r="E31" s="114" t="s">
        <v>438</v>
      </c>
      <c r="F31" s="119" t="e">
        <f xml:space="preserve"> ((((F19 - F20) / F21) * F22 * F23 * F24 * F25) / (F27 * F28)) * F29</f>
        <v>#N/A</v>
      </c>
      <c r="H31" s="12" t="s">
        <v>415</v>
      </c>
      <c r="I31" s="12" t="s">
        <v>416</v>
      </c>
      <c r="J31" s="12" t="b">
        <f t="shared" si="3"/>
        <v>1</v>
      </c>
    </row>
    <row r="32" spans="1:10" s="12" customFormat="1" x14ac:dyDescent="0.25">
      <c r="A32" s="12" t="str">
        <f t="shared" si="2"/>
        <v>Residential_Building Shell_Air Sealing (Fossil Fuel Heat)_Fe</v>
      </c>
      <c r="B32" t="s">
        <v>162</v>
      </c>
      <c r="C32" t="s">
        <v>167</v>
      </c>
      <c r="D32" t="s">
        <v>179</v>
      </c>
      <c r="E32" s="102" t="s">
        <v>251</v>
      </c>
      <c r="F32" s="107">
        <v>3.1399999999999997E-2</v>
      </c>
      <c r="H32" s="12" t="s">
        <v>415</v>
      </c>
      <c r="I32" s="12" t="s">
        <v>416</v>
      </c>
      <c r="J32" s="12" t="b">
        <f t="shared" si="3"/>
        <v>0</v>
      </c>
    </row>
    <row r="33" spans="1:10" s="12" customFormat="1" x14ac:dyDescent="0.25">
      <c r="A33" s="12" t="str">
        <f t="shared" si="2"/>
        <v>Residential_Building Shell_Air Sealing (Fossil Fuel Heat)_29.3</v>
      </c>
      <c r="B33" t="s">
        <v>162</v>
      </c>
      <c r="C33" t="s">
        <v>167</v>
      </c>
      <c r="D33" t="s">
        <v>179</v>
      </c>
      <c r="E33" s="102">
        <v>29.3</v>
      </c>
      <c r="F33" s="107">
        <v>29.3</v>
      </c>
      <c r="H33" s="12" t="s">
        <v>415</v>
      </c>
      <c r="I33" s="12" t="s">
        <v>416</v>
      </c>
      <c r="J33" s="12" t="b">
        <f t="shared" si="3"/>
        <v>0</v>
      </c>
    </row>
    <row r="34" spans="1:10" s="12" customFormat="1" x14ac:dyDescent="0.25">
      <c r="A34" s="12" t="str">
        <f t="shared" si="2"/>
        <v>Residential_Building Shell_Air Sealing (Fossil Fuel Heat)_ADJAirSealingHeatFan</v>
      </c>
      <c r="B34" t="s">
        <v>162</v>
      </c>
      <c r="C34" t="s">
        <v>167</v>
      </c>
      <c r="D34" t="s">
        <v>179</v>
      </c>
      <c r="E34" s="102" t="s">
        <v>439</v>
      </c>
      <c r="F34" s="107">
        <v>1.07</v>
      </c>
      <c r="G34" s="12" t="s">
        <v>428</v>
      </c>
      <c r="H34" s="12" t="s">
        <v>415</v>
      </c>
      <c r="I34" s="12" t="s">
        <v>416</v>
      </c>
      <c r="J34" s="12" t="b">
        <f t="shared" si="3"/>
        <v>0</v>
      </c>
    </row>
    <row r="35" spans="1:10" s="12" customFormat="1" x14ac:dyDescent="0.25">
      <c r="A35" s="12" t="str">
        <f t="shared" si="2"/>
        <v>Residential_Building Shell_Air Sealing (Fossil Fuel Heat)_IENetCorrection</v>
      </c>
      <c r="B35" t="s">
        <v>162</v>
      </c>
      <c r="C35" t="s">
        <v>167</v>
      </c>
      <c r="D35" t="s">
        <v>179</v>
      </c>
      <c r="E35" s="102" t="s">
        <v>429</v>
      </c>
      <c r="F35" s="107">
        <f>IF(Dashboard_EE!$K$17="Yes",110%,100%)</f>
        <v>1.1000000000000001</v>
      </c>
      <c r="H35" s="12" t="s">
        <v>415</v>
      </c>
      <c r="I35" s="12" t="s">
        <v>416</v>
      </c>
      <c r="J35" s="12" t="b">
        <f t="shared" si="3"/>
        <v>1</v>
      </c>
    </row>
    <row r="36" spans="1:10" s="12" customFormat="1" x14ac:dyDescent="0.25">
      <c r="A36" s="12" t="str">
        <f t="shared" si="2"/>
        <v>Residential_Building Shell_Air Sealing (Fossil Fuel Heat)_Delta_kWh_heatingGas</v>
      </c>
      <c r="B36" t="s">
        <v>162</v>
      </c>
      <c r="C36" t="s">
        <v>167</v>
      </c>
      <c r="D36" t="s">
        <v>179</v>
      </c>
      <c r="E36" s="114" t="s">
        <v>440</v>
      </c>
      <c r="F36" s="119" t="e">
        <f xml:space="preserve"> F60 * F32 * F33 * F34 * F35</f>
        <v>#N/A</v>
      </c>
      <c r="H36" s="12" t="s">
        <v>415</v>
      </c>
      <c r="I36" s="12" t="s">
        <v>416</v>
      </c>
      <c r="J36" s="12" t="b">
        <f t="shared" si="3"/>
        <v>1</v>
      </c>
    </row>
    <row r="37" spans="1:10" s="12" customFormat="1" x14ac:dyDescent="0.25">
      <c r="A37" s="12" t="str">
        <f t="shared" si="2"/>
        <v>Residential_Building Shell_Air Sealing (Fossil Fuel Heat)_Delta_kWh_heatingGas_Mid-Life_Adj</v>
      </c>
      <c r="B37" t="s">
        <v>162</v>
      </c>
      <c r="C37" t="s">
        <v>167</v>
      </c>
      <c r="D37" t="s">
        <v>179</v>
      </c>
      <c r="E37" s="114" t="s">
        <v>441</v>
      </c>
      <c r="F37" s="119" t="e">
        <f xml:space="preserve"> F61 * F32 * F33 * F34 * F35</f>
        <v>#N/A</v>
      </c>
      <c r="H37" s="12" t="s">
        <v>415</v>
      </c>
      <c r="I37" s="12" t="s">
        <v>416</v>
      </c>
      <c r="J37" s="12" t="b">
        <f t="shared" si="3"/>
        <v>1</v>
      </c>
    </row>
    <row r="38" spans="1:10" s="12" customFormat="1" x14ac:dyDescent="0.25">
      <c r="A38" s="12" t="str">
        <f t="shared" si="2"/>
        <v>Residential_Building Shell_Air Sealing (Fossil Fuel Heat)_FLH_cooling</v>
      </c>
      <c r="B38" t="s">
        <v>162</v>
      </c>
      <c r="C38" t="s">
        <v>167</v>
      </c>
      <c r="D38" t="s">
        <v>179</v>
      </c>
      <c r="E38" s="102" t="s">
        <v>442</v>
      </c>
      <c r="F38" s="105" t="e">
        <f>INDEX('CZ Inputs'!G:G,MATCH(A38&amp;"_"&amp;Dashboard_EE!$K$3,'CZ Inputs'!A:A,0))</f>
        <v>#N/A</v>
      </c>
      <c r="G38" s="12" t="s">
        <v>422</v>
      </c>
      <c r="H38" s="12" t="s">
        <v>415</v>
      </c>
      <c r="I38" s="12" t="s">
        <v>416</v>
      </c>
      <c r="J38" s="12" t="b">
        <f t="shared" si="3"/>
        <v>1</v>
      </c>
    </row>
    <row r="39" spans="1:10" s="12" customFormat="1" x14ac:dyDescent="0.25">
      <c r="A39" s="12" t="str">
        <f t="shared" si="2"/>
        <v>Residential_Building Shell_Air Sealing (Fossil Fuel Heat)_CF</v>
      </c>
      <c r="B39" t="s">
        <v>162</v>
      </c>
      <c r="C39" t="s">
        <v>167</v>
      </c>
      <c r="D39" t="s">
        <v>179</v>
      </c>
      <c r="E39" s="102" t="s">
        <v>277</v>
      </c>
      <c r="F39" s="105">
        <v>0.68</v>
      </c>
      <c r="G39" s="12" t="s">
        <v>319</v>
      </c>
      <c r="H39" s="12" t="s">
        <v>415</v>
      </c>
      <c r="I39" s="12" t="s">
        <v>416</v>
      </c>
      <c r="J39" s="12" t="b">
        <f t="shared" si="3"/>
        <v>0</v>
      </c>
    </row>
    <row r="40" spans="1:10" s="12" customFormat="1" x14ac:dyDescent="0.25">
      <c r="A40" s="12" t="str">
        <f t="shared" si="2"/>
        <v>Residential_Building Shell_Air Sealing (Fossil Fuel Heat)_Delta_kW</v>
      </c>
      <c r="B40" t="s">
        <v>162</v>
      </c>
      <c r="C40" t="s">
        <v>167</v>
      </c>
      <c r="D40" t="s">
        <v>179</v>
      </c>
      <c r="E40" s="114" t="s">
        <v>279</v>
      </c>
      <c r="F40" s="116" t="e">
        <f>(F17/F38)*F39</f>
        <v>#N/A</v>
      </c>
      <c r="H40" s="12" t="s">
        <v>415</v>
      </c>
      <c r="I40" s="12" t="s">
        <v>416</v>
      </c>
      <c r="J40" s="12" t="b">
        <f t="shared" si="3"/>
        <v>1</v>
      </c>
    </row>
    <row r="41" spans="1:10" s="12" customFormat="1" x14ac:dyDescent="0.25">
      <c r="A41" s="12" t="str">
        <f t="shared" si="2"/>
        <v>Residential_Building Shell_Air Sealing (Fossil Fuel Heat)_Delta_kW_Mid-Life_Adj</v>
      </c>
      <c r="B41" t="s">
        <v>162</v>
      </c>
      <c r="C41" t="s">
        <v>167</v>
      </c>
      <c r="D41" t="s">
        <v>179</v>
      </c>
      <c r="E41" s="114" t="s">
        <v>443</v>
      </c>
      <c r="F41" s="116" t="e">
        <f>(F18/F38)*F39</f>
        <v>#N/A</v>
      </c>
      <c r="H41" s="12" t="s">
        <v>415</v>
      </c>
      <c r="I41" s="12" t="s">
        <v>416</v>
      </c>
      <c r="J41" s="12" t="b">
        <f t="shared" si="3"/>
        <v>1</v>
      </c>
    </row>
    <row r="42" spans="1:10" s="12" customFormat="1" x14ac:dyDescent="0.25">
      <c r="A42" s="12" t="str">
        <f t="shared" si="2"/>
        <v>Residential_Building Shell_Air Sealing (Fossil Fuel Heat)_CFM50_existing</v>
      </c>
      <c r="B42" t="s">
        <v>162</v>
      </c>
      <c r="C42" t="s">
        <v>167</v>
      </c>
      <c r="D42" t="s">
        <v>179</v>
      </c>
      <c r="E42" s="114" t="s">
        <v>413</v>
      </c>
      <c r="F42" s="116">
        <f>Dashboard_EE!$O$3</f>
        <v>0</v>
      </c>
      <c r="G42" s="12" t="s">
        <v>414</v>
      </c>
      <c r="H42" s="12" t="s">
        <v>415</v>
      </c>
      <c r="I42" s="12" t="s">
        <v>416</v>
      </c>
      <c r="J42" s="12" t="b">
        <f t="shared" si="3"/>
        <v>1</v>
      </c>
    </row>
    <row r="43" spans="1:10" s="12" customFormat="1" x14ac:dyDescent="0.25">
      <c r="A43" s="12" t="str">
        <f t="shared" si="2"/>
        <v>Residential_Building Shell_Air Sealing (Fossil Fuel Heat)_CFM50_new</v>
      </c>
      <c r="B43" t="s">
        <v>162</v>
      </c>
      <c r="C43" t="s">
        <v>167</v>
      </c>
      <c r="D43" t="s">
        <v>179</v>
      </c>
      <c r="E43" s="102" t="s">
        <v>417</v>
      </c>
      <c r="F43" s="105">
        <v>0</v>
      </c>
      <c r="G43" s="12" t="s">
        <v>418</v>
      </c>
      <c r="H43" s="12" t="s">
        <v>415</v>
      </c>
      <c r="I43" s="12" t="s">
        <v>416</v>
      </c>
      <c r="J43" s="12" t="b">
        <f t="shared" si="3"/>
        <v>0</v>
      </c>
    </row>
    <row r="44" spans="1:10" s="12" customFormat="1" x14ac:dyDescent="0.25">
      <c r="A44" s="12" t="str">
        <f t="shared" si="2"/>
        <v>Residential_Building Shell_Air Sealing (Fossil Fuel Heat)_N_heat</v>
      </c>
      <c r="B44" t="s">
        <v>162</v>
      </c>
      <c r="C44" t="s">
        <v>167</v>
      </c>
      <c r="D44" t="s">
        <v>179</v>
      </c>
      <c r="E44" s="102" t="s">
        <v>432</v>
      </c>
      <c r="F44" s="105">
        <v>21.5</v>
      </c>
      <c r="G44" s="12" t="s">
        <v>420</v>
      </c>
      <c r="H44" s="12" t="s">
        <v>415</v>
      </c>
      <c r="I44" s="12" t="s">
        <v>416</v>
      </c>
      <c r="J44" s="12" t="b">
        <f t="shared" si="3"/>
        <v>0</v>
      </c>
    </row>
    <row r="45" spans="1:10" s="12" customFormat="1" x14ac:dyDescent="0.25">
      <c r="A45" s="12" t="str">
        <f t="shared" si="2"/>
        <v>Residential_Building Shell_Air Sealing (Fossil Fuel Heat)_60</v>
      </c>
      <c r="B45" t="s">
        <v>162</v>
      </c>
      <c r="C45" t="s">
        <v>167</v>
      </c>
      <c r="D45" t="s">
        <v>179</v>
      </c>
      <c r="E45" s="102">
        <v>60</v>
      </c>
      <c r="F45" s="105">
        <v>60</v>
      </c>
      <c r="H45" s="12" t="s">
        <v>415</v>
      </c>
      <c r="I45" s="12" t="s">
        <v>416</v>
      </c>
      <c r="J45" s="12" t="b">
        <f t="shared" si="3"/>
        <v>0</v>
      </c>
    </row>
    <row r="46" spans="1:10" s="12" customFormat="1" x14ac:dyDescent="0.25">
      <c r="A46" s="12" t="str">
        <f t="shared" si="2"/>
        <v>Residential_Building Shell_Air Sealing (Fossil Fuel Heat)_24</v>
      </c>
      <c r="B46" t="s">
        <v>162</v>
      </c>
      <c r="C46" t="s">
        <v>167</v>
      </c>
      <c r="D46" t="s">
        <v>179</v>
      </c>
      <c r="E46" s="102">
        <v>24</v>
      </c>
      <c r="F46" s="105">
        <v>24</v>
      </c>
      <c r="H46" s="12" t="s">
        <v>415</v>
      </c>
      <c r="I46" s="12" t="s">
        <v>416</v>
      </c>
      <c r="J46" s="12" t="b">
        <f t="shared" si="3"/>
        <v>0</v>
      </c>
    </row>
    <row r="47" spans="1:10" s="12" customFormat="1" x14ac:dyDescent="0.25">
      <c r="A47" s="12" t="str">
        <f t="shared" si="2"/>
        <v>Residential_Building Shell_Air Sealing (Fossil Fuel Heat)_HDD</v>
      </c>
      <c r="B47" t="s">
        <v>162</v>
      </c>
      <c r="C47" t="s">
        <v>167</v>
      </c>
      <c r="D47" t="s">
        <v>179</v>
      </c>
      <c r="E47" s="102" t="s">
        <v>433</v>
      </c>
      <c r="F47" s="105" t="e">
        <f>INDEX('CZ Inputs'!G:G,MATCH(A47&amp;"_"&amp;Dashboard_EE!$K$3,'CZ Inputs'!A:A,0))</f>
        <v>#N/A</v>
      </c>
      <c r="G47" s="12" t="s">
        <v>422</v>
      </c>
      <c r="H47" s="12" t="s">
        <v>415</v>
      </c>
      <c r="I47" s="12" t="s">
        <v>416</v>
      </c>
      <c r="J47" s="12" t="b">
        <f t="shared" si="3"/>
        <v>1</v>
      </c>
    </row>
    <row r="48" spans="1:10" s="12" customFormat="1" x14ac:dyDescent="0.25">
      <c r="A48" s="12" t="str">
        <f t="shared" si="2"/>
        <v>Residential_Building Shell_Air Sealing (Fossil Fuel Heat)_0.018</v>
      </c>
      <c r="B48" t="s">
        <v>162</v>
      </c>
      <c r="C48" t="s">
        <v>167</v>
      </c>
      <c r="D48" t="s">
        <v>179</v>
      </c>
      <c r="E48" s="102">
        <v>1.7999999999999999E-2</v>
      </c>
      <c r="F48" s="105">
        <v>1.7999999999999999E-2</v>
      </c>
      <c r="H48" s="12" t="s">
        <v>415</v>
      </c>
      <c r="I48" s="12" t="s">
        <v>416</v>
      </c>
      <c r="J48" s="12" t="b">
        <f t="shared" si="3"/>
        <v>0</v>
      </c>
    </row>
    <row r="49" spans="1:10" s="12" customFormat="1" x14ac:dyDescent="0.25">
      <c r="A49" s="12" t="str">
        <f t="shared" si="2"/>
        <v>Residential_Building Shell_Air Sealing (Fossil Fuel Heat)_ηHeat</v>
      </c>
      <c r="B49" t="s">
        <v>162</v>
      </c>
      <c r="C49" t="s">
        <v>167</v>
      </c>
      <c r="D49" t="s">
        <v>179</v>
      </c>
      <c r="E49" s="114" t="s">
        <v>434</v>
      </c>
      <c r="F49" s="116">
        <f>Dashboard_EE!$K$8</f>
        <v>0</v>
      </c>
      <c r="G49" s="12" t="s">
        <v>240</v>
      </c>
      <c r="H49" s="12" t="s">
        <v>415</v>
      </c>
      <c r="I49" s="12" t="s">
        <v>416</v>
      </c>
      <c r="J49" s="12" t="b">
        <f t="shared" si="3"/>
        <v>1</v>
      </c>
    </row>
    <row r="50" spans="1:10" s="12" customFormat="1" x14ac:dyDescent="0.25">
      <c r="A50" s="12" t="str">
        <f t="shared" si="2"/>
        <v>Residential_Building Shell_Air Sealing (Fossil Fuel Heat)_ηHeat_Mid-Life_Adj</v>
      </c>
      <c r="B50" t="s">
        <v>162</v>
      </c>
      <c r="C50" t="s">
        <v>167</v>
      </c>
      <c r="D50" t="s">
        <v>179</v>
      </c>
      <c r="E50" s="114" t="s">
        <v>435</v>
      </c>
      <c r="F50" s="116">
        <f>Dashboard_EE!$K$8</f>
        <v>0</v>
      </c>
      <c r="G50" s="12" t="s">
        <v>240</v>
      </c>
      <c r="H50" s="12" t="s">
        <v>415</v>
      </c>
      <c r="I50" s="12" t="s">
        <v>416</v>
      </c>
      <c r="J50" s="12" t="b">
        <f t="shared" si="3"/>
        <v>1</v>
      </c>
    </row>
    <row r="51" spans="1:10" s="12" customFormat="1" x14ac:dyDescent="0.25">
      <c r="A51" s="12" t="str">
        <f t="shared" si="2"/>
        <v>Residential_Building Shell_Air Sealing (Fossil Fuel Heat)_100000</v>
      </c>
      <c r="B51" t="s">
        <v>162</v>
      </c>
      <c r="C51" t="s">
        <v>167</v>
      </c>
      <c r="D51" t="s">
        <v>179</v>
      </c>
      <c r="E51" s="102">
        <v>100000</v>
      </c>
      <c r="F51" s="105">
        <v>100000</v>
      </c>
      <c r="H51" s="12" t="s">
        <v>415</v>
      </c>
      <c r="I51" s="12" t="s">
        <v>416</v>
      </c>
      <c r="J51" s="12" t="b">
        <f t="shared" si="3"/>
        <v>0</v>
      </c>
    </row>
    <row r="52" spans="1:10" s="12" customFormat="1" x14ac:dyDescent="0.25">
      <c r="A52" s="12" t="str">
        <f t="shared" si="2"/>
        <v>Residential_Building Shell_Air Sealing (Fossil Fuel Heat)_ADJAirSealingGasHeat</v>
      </c>
      <c r="B52" t="s">
        <v>162</v>
      </c>
      <c r="C52" t="s">
        <v>167</v>
      </c>
      <c r="D52" t="s">
        <v>179</v>
      </c>
      <c r="E52" s="102" t="s">
        <v>444</v>
      </c>
      <c r="F52" s="105">
        <v>0.76</v>
      </c>
      <c r="G52" s="12" t="s">
        <v>428</v>
      </c>
      <c r="H52" s="12" t="s">
        <v>415</v>
      </c>
      <c r="I52" s="12" t="s">
        <v>416</v>
      </c>
      <c r="J52" s="12" t="b">
        <f t="shared" si="3"/>
        <v>0</v>
      </c>
    </row>
    <row r="53" spans="1:10" s="12" customFormat="1" x14ac:dyDescent="0.25">
      <c r="A53" s="12" t="str">
        <f t="shared" si="2"/>
        <v>Residential_Building Shell_Air Sealing (Fossil Fuel Heat)_IENetCorrection</v>
      </c>
      <c r="B53" t="s">
        <v>162</v>
      </c>
      <c r="C53" t="s">
        <v>167</v>
      </c>
      <c r="D53" t="s">
        <v>179</v>
      </c>
      <c r="E53" s="102" t="s">
        <v>429</v>
      </c>
      <c r="F53" s="105">
        <f>IF(Dashboard_EE!$K$17="Yes",110%,100%)</f>
        <v>1.1000000000000001</v>
      </c>
      <c r="H53" s="12" t="s">
        <v>415</v>
      </c>
      <c r="I53" s="12" t="s">
        <v>416</v>
      </c>
      <c r="J53" s="12" t="b">
        <f t="shared" si="3"/>
        <v>1</v>
      </c>
    </row>
    <row r="54" spans="1:10" s="12" customFormat="1" x14ac:dyDescent="0.25">
      <c r="A54" s="12" t="str">
        <f t="shared" si="2"/>
        <v>Residential_Building Shell_Air Sealing (Fossil Fuel Heat)_Delta_therms</v>
      </c>
      <c r="B54" t="s">
        <v>162</v>
      </c>
      <c r="C54" t="s">
        <v>167</v>
      </c>
      <c r="D54" t="s">
        <v>179</v>
      </c>
      <c r="E54" s="114" t="s">
        <v>445</v>
      </c>
      <c r="F54" s="116" t="e">
        <f xml:space="preserve"> (((F42 - F43) / F44) * F45 * F46 * F47 * F48) / (F49 * F51) * F52 * F53</f>
        <v>#N/A</v>
      </c>
      <c r="H54" s="12" t="s">
        <v>415</v>
      </c>
      <c r="I54" s="12" t="s">
        <v>416</v>
      </c>
      <c r="J54" s="12" t="b">
        <f t="shared" si="3"/>
        <v>1</v>
      </c>
    </row>
    <row r="55" spans="1:10" s="12" customFormat="1" x14ac:dyDescent="0.25">
      <c r="A55" s="12" t="str">
        <f t="shared" si="2"/>
        <v>Residential_Building Shell_Air Sealing (Fossil Fuel Heat)_Delta_therms_Mid-Life_Adj</v>
      </c>
      <c r="B55" t="s">
        <v>162</v>
      </c>
      <c r="C55" t="s">
        <v>167</v>
      </c>
      <c r="D55" t="s">
        <v>179</v>
      </c>
      <c r="E55" s="114" t="s">
        <v>446</v>
      </c>
      <c r="F55" s="116" t="e">
        <f xml:space="preserve"> (((F42 - F43) / F44) * F45 * F46 * F47 * F48) / (F50 * F51) * F52 * F53</f>
        <v>#N/A</v>
      </c>
      <c r="H55" s="12" t="s">
        <v>415</v>
      </c>
      <c r="I55" s="12" t="s">
        <v>416</v>
      </c>
      <c r="J55" s="12" t="b">
        <f t="shared" si="3"/>
        <v>1</v>
      </c>
    </row>
    <row r="56" spans="1:10" s="12" customFormat="1" x14ac:dyDescent="0.25">
      <c r="A56" s="12" t="str">
        <f t="shared" si="2"/>
        <v>Residential_Building Shell_Air Sealing (Fossil Fuel Heat)_Remaining Year kWh</v>
      </c>
      <c r="B56" t="s">
        <v>162</v>
      </c>
      <c r="C56" t="s">
        <v>167</v>
      </c>
      <c r="D56" t="s">
        <v>179</v>
      </c>
      <c r="E56" s="111" t="s">
        <v>447</v>
      </c>
      <c r="F56" s="101" t="e">
        <f>F17+F30+F36</f>
        <v>#N/A</v>
      </c>
      <c r="H56" s="12" t="s">
        <v>415</v>
      </c>
      <c r="I56" s="12" t="s">
        <v>416</v>
      </c>
      <c r="J56" s="12" t="b">
        <f t="shared" si="3"/>
        <v>1</v>
      </c>
    </row>
    <row r="57" spans="1:10" s="12" customFormat="1" x14ac:dyDescent="0.25">
      <c r="A57" s="12" t="str">
        <f t="shared" si="2"/>
        <v>Residential_Building Shell_Air Sealing (Fossil Fuel Heat)_kWh Saved per Unit</v>
      </c>
      <c r="B57" t="s">
        <v>162</v>
      </c>
      <c r="C57" t="s">
        <v>167</v>
      </c>
      <c r="D57" t="s">
        <v>179</v>
      </c>
      <c r="E57" s="111" t="s">
        <v>280</v>
      </c>
      <c r="F57" s="101" t="e">
        <f>F18+F31+F37</f>
        <v>#N/A</v>
      </c>
      <c r="H57" s="12" t="s">
        <v>415</v>
      </c>
      <c r="I57" s="12" t="s">
        <v>416</v>
      </c>
      <c r="J57" s="12" t="b">
        <f t="shared" si="3"/>
        <v>1</v>
      </c>
    </row>
    <row r="58" spans="1:10" s="12" customFormat="1" x14ac:dyDescent="0.25">
      <c r="A58" s="12" t="str">
        <f t="shared" si="2"/>
        <v>Residential_Building Shell_Air Sealing (Fossil Fuel Heat)_Remaining Year kW</v>
      </c>
      <c r="B58" t="s">
        <v>162</v>
      </c>
      <c r="C58" t="s">
        <v>167</v>
      </c>
      <c r="D58" t="s">
        <v>179</v>
      </c>
      <c r="E58" s="111" t="s">
        <v>448</v>
      </c>
      <c r="F58" s="101" t="e">
        <f>F40</f>
        <v>#N/A</v>
      </c>
      <c r="H58" s="12" t="s">
        <v>415</v>
      </c>
      <c r="I58" s="12" t="s">
        <v>416</v>
      </c>
      <c r="J58" s="12" t="b">
        <f t="shared" si="3"/>
        <v>1</v>
      </c>
    </row>
    <row r="59" spans="1:10" s="12" customFormat="1" x14ac:dyDescent="0.25">
      <c r="A59" s="12" t="str">
        <f t="shared" si="2"/>
        <v>Residential_Building Shell_Air Sealing (Fossil Fuel Heat)_Coincident Peak kW Saved per Unit</v>
      </c>
      <c r="B59" t="s">
        <v>162</v>
      </c>
      <c r="C59" t="s">
        <v>167</v>
      </c>
      <c r="D59" t="s">
        <v>179</v>
      </c>
      <c r="E59" s="111" t="s">
        <v>281</v>
      </c>
      <c r="F59" s="101" t="e">
        <f>F41</f>
        <v>#N/A</v>
      </c>
      <c r="H59" s="12" t="s">
        <v>415</v>
      </c>
      <c r="I59" s="12" t="s">
        <v>416</v>
      </c>
      <c r="J59" s="12" t="b">
        <f t="shared" si="3"/>
        <v>1</v>
      </c>
    </row>
    <row r="60" spans="1:10" s="12" customFormat="1" x14ac:dyDescent="0.25">
      <c r="A60" s="12" t="str">
        <f t="shared" si="2"/>
        <v>Residential_Building Shell_Air Sealing (Fossil Fuel Heat)_Remaining Year Therms</v>
      </c>
      <c r="B60" t="s">
        <v>162</v>
      </c>
      <c r="C60" t="s">
        <v>167</v>
      </c>
      <c r="D60" t="s">
        <v>179</v>
      </c>
      <c r="E60" s="111" t="s">
        <v>449</v>
      </c>
      <c r="F60" s="101" t="e">
        <f>F54</f>
        <v>#N/A</v>
      </c>
      <c r="G60" s="12" t="s">
        <v>533</v>
      </c>
      <c r="H60" s="12" t="s">
        <v>415</v>
      </c>
      <c r="I60" s="12" t="s">
        <v>416</v>
      </c>
      <c r="J60" s="12" t="b">
        <f t="shared" si="3"/>
        <v>1</v>
      </c>
    </row>
    <row r="61" spans="1:10" s="12" customFormat="1" x14ac:dyDescent="0.25">
      <c r="A61" s="12" t="str">
        <f t="shared" si="2"/>
        <v>Residential_Building Shell_Air Sealing (Fossil Fuel Heat)_Therms Saved per Unit</v>
      </c>
      <c r="B61" t="s">
        <v>162</v>
      </c>
      <c r="C61" t="s">
        <v>167</v>
      </c>
      <c r="D61" t="s">
        <v>179</v>
      </c>
      <c r="E61" s="111" t="s">
        <v>376</v>
      </c>
      <c r="F61" s="101" t="e">
        <f>F55</f>
        <v>#N/A</v>
      </c>
      <c r="G61" s="12" t="s">
        <v>533</v>
      </c>
      <c r="H61" s="12" t="s">
        <v>415</v>
      </c>
      <c r="I61" s="12" t="s">
        <v>416</v>
      </c>
      <c r="J61" s="12" t="b">
        <f t="shared" si="3"/>
        <v>1</v>
      </c>
    </row>
    <row r="62" spans="1:10" s="12" customFormat="1" x14ac:dyDescent="0.25">
      <c r="A62" s="12" t="str">
        <f t="shared" si="2"/>
        <v>Residential_Building Shell_Air Sealing (Fossil Fuel Heat)_Remaining Life</v>
      </c>
      <c r="B62" t="s">
        <v>162</v>
      </c>
      <c r="C62" t="s">
        <v>167</v>
      </c>
      <c r="D62" t="s">
        <v>179</v>
      </c>
      <c r="E62" s="111" t="s">
        <v>450</v>
      </c>
      <c r="F62" s="101">
        <v>10</v>
      </c>
      <c r="H62" s="12" t="s">
        <v>415</v>
      </c>
      <c r="I62" s="12" t="s">
        <v>416</v>
      </c>
      <c r="J62" s="12" t="b">
        <f t="shared" si="3"/>
        <v>0</v>
      </c>
    </row>
    <row r="63" spans="1:10" s="12" customFormat="1" x14ac:dyDescent="0.25">
      <c r="A63" s="12" t="str">
        <f t="shared" si="2"/>
        <v>Residential_Building Shell_Air Sealing (Fossil Fuel Heat)_Lifetime (years)</v>
      </c>
      <c r="B63" t="s">
        <v>162</v>
      </c>
      <c r="C63" t="s">
        <v>167</v>
      </c>
      <c r="D63" t="s">
        <v>179</v>
      </c>
      <c r="E63" s="111" t="s">
        <v>284</v>
      </c>
      <c r="F63" s="101">
        <v>20</v>
      </c>
      <c r="H63" s="12" t="s">
        <v>415</v>
      </c>
      <c r="I63" s="12" t="s">
        <v>416</v>
      </c>
      <c r="J63" s="12" t="b">
        <f t="shared" si="3"/>
        <v>0</v>
      </c>
    </row>
    <row r="64" spans="1:10" s="12" customFormat="1" x14ac:dyDescent="0.25">
      <c r="A64" s="12" t="str">
        <f t="shared" si="2"/>
        <v>Residential_Building Shell_Air Sealing (Fossil Fuel Heat)_Incremental Cost</v>
      </c>
      <c r="B64" t="s">
        <v>162</v>
      </c>
      <c r="C64" t="s">
        <v>167</v>
      </c>
      <c r="D64" t="s">
        <v>179</v>
      </c>
      <c r="E64" s="111" t="s">
        <v>285</v>
      </c>
      <c r="F64" s="100">
        <f>0.35*F2</f>
        <v>0</v>
      </c>
      <c r="G64" s="12" t="s">
        <v>451</v>
      </c>
      <c r="H64" s="12" t="s">
        <v>415</v>
      </c>
      <c r="I64" s="12" t="s">
        <v>416</v>
      </c>
      <c r="J64" s="12" t="b">
        <f t="shared" si="3"/>
        <v>1</v>
      </c>
    </row>
    <row r="65" spans="1:10" s="12" customFormat="1" x14ac:dyDescent="0.25">
      <c r="A65" s="12" t="str">
        <f t="shared" si="2"/>
        <v>Residential_Building Shell_Air Sealing (Fossil Fuel Heat)_BTU Impact_New_Fossil Fuel</v>
      </c>
      <c r="B65" t="s">
        <v>162</v>
      </c>
      <c r="C65" t="s">
        <v>167</v>
      </c>
      <c r="D65" t="s">
        <v>179</v>
      </c>
      <c r="E65" s="111" t="s">
        <v>290</v>
      </c>
      <c r="F65" s="99" t="e">
        <f>-F54*100000</f>
        <v>#N/A</v>
      </c>
      <c r="H65" s="12" t="s">
        <v>415</v>
      </c>
      <c r="I65" s="12" t="s">
        <v>416</v>
      </c>
      <c r="J65" s="12" t="b">
        <f t="shared" si="3"/>
        <v>1</v>
      </c>
    </row>
    <row r="66" spans="1:10" s="12" customFormat="1" x14ac:dyDescent="0.25">
      <c r="A66" s="12" t="str">
        <f t="shared" si="2"/>
        <v>Residential_Building Shell_Air Sealing (Fossil Fuel Heat)_BTU Impact_New_Winter Electricity</v>
      </c>
      <c r="B66" t="s">
        <v>162</v>
      </c>
      <c r="C66" t="s">
        <v>167</v>
      </c>
      <c r="D66" t="s">
        <v>179</v>
      </c>
      <c r="E66" s="111" t="s">
        <v>291</v>
      </c>
      <c r="F66" s="99" t="e">
        <f>-F36*3412</f>
        <v>#N/A</v>
      </c>
      <c r="H66" s="12" t="s">
        <v>415</v>
      </c>
      <c r="I66" s="12" t="s">
        <v>416</v>
      </c>
      <c r="J66" s="12" t="b">
        <f t="shared" si="3"/>
        <v>1</v>
      </c>
    </row>
    <row r="67" spans="1:10" s="12" customFormat="1" x14ac:dyDescent="0.25">
      <c r="A67" s="12" t="str">
        <f t="shared" si="2"/>
        <v>Residential_Building Shell_Air Sealing (Fossil Fuel Heat)_BTU Impact_New_Summer Electricity</v>
      </c>
      <c r="B67" t="s">
        <v>162</v>
      </c>
      <c r="C67" t="s">
        <v>167</v>
      </c>
      <c r="D67" t="s">
        <v>179</v>
      </c>
      <c r="E67" s="111" t="s">
        <v>292</v>
      </c>
      <c r="F67" s="99" t="e">
        <f>-F17*3412</f>
        <v>#N/A</v>
      </c>
      <c r="H67" s="12" t="s">
        <v>415</v>
      </c>
      <c r="I67" s="12" t="s">
        <v>416</v>
      </c>
      <c r="J67" s="12" t="b">
        <f t="shared" si="3"/>
        <v>1</v>
      </c>
    </row>
    <row r="68" spans="1:10" s="12" customFormat="1" x14ac:dyDescent="0.25">
      <c r="A68" s="12" t="str">
        <f t="shared" si="2"/>
        <v>Residential_Building Shell_Air Sealing (Fossil Fuel Heat)_</v>
      </c>
      <c r="B68" t="s">
        <v>162</v>
      </c>
      <c r="C68" t="s">
        <v>167</v>
      </c>
      <c r="D68" t="s">
        <v>179</v>
      </c>
      <c r="E68" s="112"/>
      <c r="F68"/>
      <c r="H68" s="12" t="s">
        <v>415</v>
      </c>
      <c r="I68" s="12" t="s">
        <v>416</v>
      </c>
      <c r="J68" s="12" t="b">
        <f t="shared" si="3"/>
        <v>0</v>
      </c>
    </row>
    <row r="69" spans="1:10" s="12" customFormat="1" x14ac:dyDescent="0.25">
      <c r="A69" s="12" t="str">
        <f t="shared" si="2"/>
        <v>Residential_Building Shell_Ceiling/Attic Insulation #1 (Fossil Fuel Heat)_R_old</v>
      </c>
      <c r="B69" t="s">
        <v>162</v>
      </c>
      <c r="C69" t="s">
        <v>167</v>
      </c>
      <c r="D69" t="s">
        <v>180</v>
      </c>
      <c r="E69" s="102" t="s">
        <v>453</v>
      </c>
      <c r="F69" s="105">
        <f>Dashboard_EE!$O$15</f>
        <v>0</v>
      </c>
      <c r="G69" s="12" t="s">
        <v>240</v>
      </c>
      <c r="H69" s="12" t="s">
        <v>454</v>
      </c>
      <c r="I69" t="s">
        <v>455</v>
      </c>
      <c r="J69" s="12" t="b">
        <f t="shared" si="3"/>
        <v>1</v>
      </c>
    </row>
    <row r="70" spans="1:10" s="12" customFormat="1" x14ac:dyDescent="0.25">
      <c r="A70" s="12" t="str">
        <f t="shared" ref="A70:A129" si="4">B70&amp;"_"&amp;C70&amp;"_"&amp;D70&amp;"_"&amp;E70</f>
        <v>Residential_Building Shell_Ceiling/Attic Insulation #1 (Fossil Fuel Heat)_R_attic</v>
      </c>
      <c r="B70" t="s">
        <v>162</v>
      </c>
      <c r="C70" t="s">
        <v>167</v>
      </c>
      <c r="D70" t="s">
        <v>180</v>
      </c>
      <c r="E70" s="102" t="s">
        <v>456</v>
      </c>
      <c r="F70" s="105">
        <f>Dashboard_EE!$P$15</f>
        <v>0</v>
      </c>
      <c r="G70" s="12" t="s">
        <v>240</v>
      </c>
      <c r="H70" s="12" t="s">
        <v>454</v>
      </c>
      <c r="I70" t="s">
        <v>455</v>
      </c>
      <c r="J70" s="12" t="b">
        <f t="shared" si="3"/>
        <v>1</v>
      </c>
    </row>
    <row r="71" spans="1:10" s="12" customFormat="1" x14ac:dyDescent="0.25">
      <c r="A71" s="12" t="str">
        <f t="shared" si="4"/>
        <v>Residential_Building Shell_Ceiling/Attic Insulation #1 (Fossil Fuel Heat)_A_attic</v>
      </c>
      <c r="B71" t="s">
        <v>162</v>
      </c>
      <c r="C71" t="s">
        <v>167</v>
      </c>
      <c r="D71" t="s">
        <v>180</v>
      </c>
      <c r="E71" s="114" t="s">
        <v>457</v>
      </c>
      <c r="F71" s="116">
        <f>Dashboard_EE!$O$4</f>
        <v>0</v>
      </c>
      <c r="G71" s="12" t="s">
        <v>240</v>
      </c>
      <c r="H71" s="12" t="s">
        <v>454</v>
      </c>
      <c r="I71" t="s">
        <v>455</v>
      </c>
      <c r="J71" s="12" t="b">
        <f t="shared" si="3"/>
        <v>1</v>
      </c>
    </row>
    <row r="72" spans="1:10" s="12" customFormat="1" x14ac:dyDescent="0.25">
      <c r="A72" s="12" t="str">
        <f t="shared" si="4"/>
        <v>Residential_Building Shell_Ceiling/Attic Insulation #1 (Fossil Fuel Heat)_Framing_factor_attic</v>
      </c>
      <c r="B72" t="s">
        <v>162</v>
      </c>
      <c r="C72" t="s">
        <v>167</v>
      </c>
      <c r="D72" t="s">
        <v>180</v>
      </c>
      <c r="E72" s="102" t="s">
        <v>458</v>
      </c>
      <c r="F72" s="105">
        <v>7.0000000000000007E-2</v>
      </c>
      <c r="H72" s="12" t="s">
        <v>454</v>
      </c>
      <c r="I72" t="s">
        <v>455</v>
      </c>
      <c r="J72" s="12" t="b">
        <f t="shared" si="3"/>
        <v>0</v>
      </c>
    </row>
    <row r="73" spans="1:10" s="12" customFormat="1" x14ac:dyDescent="0.25">
      <c r="A73" s="12" t="str">
        <f>B73&amp;"_"&amp;C73&amp;"_"&amp;D73&amp;"_"&amp;E73</f>
        <v>Residential_Building Shell_Ceiling/Attic Insulation #1 (Fossil Fuel Heat)_24</v>
      </c>
      <c r="B73" t="s">
        <v>162</v>
      </c>
      <c r="C73" t="s">
        <v>167</v>
      </c>
      <c r="D73" t="s">
        <v>180</v>
      </c>
      <c r="E73" s="102">
        <v>24</v>
      </c>
      <c r="F73" s="105">
        <v>24</v>
      </c>
      <c r="H73" s="12" t="s">
        <v>454</v>
      </c>
      <c r="I73" t="s">
        <v>455</v>
      </c>
      <c r="J73" s="12" t="b">
        <f t="shared" si="3"/>
        <v>0</v>
      </c>
    </row>
    <row r="74" spans="1:10" s="12" customFormat="1" x14ac:dyDescent="0.25">
      <c r="A74" s="12" t="str">
        <f t="shared" si="4"/>
        <v>Residential_Building Shell_Ceiling/Attic Insulation #1 (Fossil Fuel Heat)_CDD</v>
      </c>
      <c r="B74" t="s">
        <v>162</v>
      </c>
      <c r="C74" t="s">
        <v>167</v>
      </c>
      <c r="D74" t="s">
        <v>180</v>
      </c>
      <c r="E74" s="102" t="s">
        <v>421</v>
      </c>
      <c r="F74" s="105" t="e">
        <f>INDEX('CZ Inputs'!G:G,MATCH(A74&amp;"_"&amp;Dashboard_EE!$K$3,'CZ Inputs'!A:A,0))</f>
        <v>#N/A</v>
      </c>
      <c r="G74" s="12" t="s">
        <v>422</v>
      </c>
      <c r="H74" s="12" t="s">
        <v>454</v>
      </c>
      <c r="I74" t="s">
        <v>455</v>
      </c>
      <c r="J74" s="12" t="b">
        <f t="shared" si="3"/>
        <v>1</v>
      </c>
    </row>
    <row r="75" spans="1:10" s="12" customFormat="1" x14ac:dyDescent="0.25">
      <c r="A75" s="12" t="str">
        <f t="shared" si="4"/>
        <v>Residential_Building Shell_Ceiling/Attic Insulation #1 (Fossil Fuel Heat)_DUA</v>
      </c>
      <c r="B75" t="s">
        <v>162</v>
      </c>
      <c r="C75" t="s">
        <v>167</v>
      </c>
      <c r="D75" t="s">
        <v>180</v>
      </c>
      <c r="E75" s="102" t="s">
        <v>423</v>
      </c>
      <c r="F75" s="105">
        <v>0.75</v>
      </c>
      <c r="H75" s="12" t="s">
        <v>454</v>
      </c>
      <c r="I75" t="s">
        <v>455</v>
      </c>
      <c r="J75" s="12" t="b">
        <f t="shared" si="3"/>
        <v>0</v>
      </c>
    </row>
    <row r="76" spans="1:10" s="12" customFormat="1" x14ac:dyDescent="0.25">
      <c r="A76" s="12" t="str">
        <f t="shared" si="4"/>
        <v>Residential_Building Shell_Ceiling/Attic Insulation #1 (Fossil Fuel Heat)_1000</v>
      </c>
      <c r="B76" t="s">
        <v>162</v>
      </c>
      <c r="C76" t="s">
        <v>167</v>
      </c>
      <c r="D76" t="s">
        <v>180</v>
      </c>
      <c r="E76" s="102">
        <v>1000</v>
      </c>
      <c r="F76" s="105">
        <v>1000</v>
      </c>
      <c r="H76" s="12" t="s">
        <v>454</v>
      </c>
      <c r="I76" t="s">
        <v>455</v>
      </c>
      <c r="J76" s="12" t="b">
        <f t="shared" si="3"/>
        <v>0</v>
      </c>
    </row>
    <row r="77" spans="1:10" s="12" customFormat="1" x14ac:dyDescent="0.25">
      <c r="A77" s="12" t="str">
        <f t="shared" si="4"/>
        <v>Residential_Building Shell_Ceiling/Attic Insulation #1 (Fossil Fuel Heat)_ηCool</v>
      </c>
      <c r="B77" t="s">
        <v>162</v>
      </c>
      <c r="C77" t="s">
        <v>167</v>
      </c>
      <c r="D77" t="s">
        <v>180</v>
      </c>
      <c r="E77" s="114" t="s">
        <v>424</v>
      </c>
      <c r="F77" s="116">
        <f>Dashboard_EE!$K$13</f>
        <v>0</v>
      </c>
      <c r="G77" s="12" t="s">
        <v>240</v>
      </c>
      <c r="H77" s="12" t="s">
        <v>454</v>
      </c>
      <c r="I77" t="s">
        <v>455</v>
      </c>
      <c r="J77" s="12" t="b">
        <f t="shared" si="3"/>
        <v>1</v>
      </c>
    </row>
    <row r="78" spans="1:10" s="12" customFormat="1" x14ac:dyDescent="0.25">
      <c r="A78" s="12" t="str">
        <f t="shared" si="4"/>
        <v>Residential_Building Shell_Ceiling/Attic Insulation #1 (Fossil Fuel Heat)_ηCool_Mid-Life_Adj</v>
      </c>
      <c r="B78" t="s">
        <v>162</v>
      </c>
      <c r="C78" t="s">
        <v>167</v>
      </c>
      <c r="D78" t="s">
        <v>180</v>
      </c>
      <c r="E78" s="114" t="s">
        <v>425</v>
      </c>
      <c r="F78" s="116">
        <f>Dashboard_EE!$K$13</f>
        <v>0</v>
      </c>
      <c r="G78" s="12" t="s">
        <v>240</v>
      </c>
      <c r="H78" s="12" t="s">
        <v>454</v>
      </c>
      <c r="I78" t="s">
        <v>455</v>
      </c>
      <c r="J78" s="12" t="b">
        <f t="shared" si="3"/>
        <v>1</v>
      </c>
    </row>
    <row r="79" spans="1:10" s="12" customFormat="1" x14ac:dyDescent="0.25">
      <c r="A79" s="12" t="str">
        <f t="shared" si="4"/>
        <v>Residential_Building Shell_Ceiling/Attic Insulation #1 (Fossil Fuel Heat)_ADJAtticCool</v>
      </c>
      <c r="B79" t="s">
        <v>162</v>
      </c>
      <c r="C79" t="s">
        <v>167</v>
      </c>
      <c r="D79" t="s">
        <v>180</v>
      </c>
      <c r="E79" s="102" t="s">
        <v>459</v>
      </c>
      <c r="F79" s="105">
        <v>1.1399999999999999</v>
      </c>
      <c r="H79" s="12" t="s">
        <v>454</v>
      </c>
      <c r="I79" t="s">
        <v>455</v>
      </c>
      <c r="J79" s="12" t="b">
        <f t="shared" si="3"/>
        <v>0</v>
      </c>
    </row>
    <row r="80" spans="1:10" s="12" customFormat="1" x14ac:dyDescent="0.25">
      <c r="A80" s="12" t="str">
        <f t="shared" si="4"/>
        <v>Residential_Building Shell_Ceiling/Attic Insulation #1 (Fossil Fuel Heat)_IENetCorrection</v>
      </c>
      <c r="B80" t="s">
        <v>162</v>
      </c>
      <c r="C80" t="s">
        <v>167</v>
      </c>
      <c r="D80" t="s">
        <v>180</v>
      </c>
      <c r="E80" s="102" t="s">
        <v>429</v>
      </c>
      <c r="F80" s="105">
        <f>IF(Dashboard_EE!$K$17="Yes",110%,100%)</f>
        <v>1.1000000000000001</v>
      </c>
      <c r="H80" s="12" t="s">
        <v>454</v>
      </c>
      <c r="I80" t="s">
        <v>455</v>
      </c>
      <c r="J80" s="12" t="b">
        <f t="shared" si="3"/>
        <v>1</v>
      </c>
    </row>
    <row r="81" spans="1:10" s="12" customFormat="1" x14ac:dyDescent="0.25">
      <c r="A81" s="12" t="str">
        <f t="shared" si="4"/>
        <v>Residential_Building Shell_Ceiling/Attic Insulation #1 (Fossil Fuel Heat)_%Cool</v>
      </c>
      <c r="B81" t="s">
        <v>162</v>
      </c>
      <c r="C81" t="s">
        <v>167</v>
      </c>
      <c r="D81" t="s">
        <v>180</v>
      </c>
      <c r="E81" s="114" t="s">
        <v>397</v>
      </c>
      <c r="F81" s="116">
        <f>IF(Dashboard_EE!$K$14="Yes",1,0)</f>
        <v>0</v>
      </c>
      <c r="G81" s="12" t="s">
        <v>240</v>
      </c>
      <c r="H81" s="12" t="s">
        <v>454</v>
      </c>
      <c r="I81" t="s">
        <v>455</v>
      </c>
      <c r="J81" s="12" t="b">
        <f t="shared" si="3"/>
        <v>1</v>
      </c>
    </row>
    <row r="82" spans="1:10" s="12" customFormat="1" x14ac:dyDescent="0.25">
      <c r="A82" s="12" t="str">
        <f t="shared" si="4"/>
        <v>Residential_Building Shell_Ceiling/Attic Insulation #1 (Fossil Fuel Heat)_Delta_kWh_cooling</v>
      </c>
      <c r="B82" t="s">
        <v>162</v>
      </c>
      <c r="C82" t="s">
        <v>167</v>
      </c>
      <c r="D82" t="s">
        <v>180</v>
      </c>
      <c r="E82" s="114" t="s">
        <v>430</v>
      </c>
      <c r="F82" s="116" t="e">
        <f>((((1/ F69 - 1/ F70) * F71 * (1 - F72)) * F73 * F74 * F75) / (F76 * F77)) * F79 * F80 * F81</f>
        <v>#DIV/0!</v>
      </c>
      <c r="H82" s="12" t="s">
        <v>454</v>
      </c>
      <c r="I82" t="s">
        <v>455</v>
      </c>
      <c r="J82" s="12" t="b">
        <f t="shared" si="3"/>
        <v>1</v>
      </c>
    </row>
    <row r="83" spans="1:10" s="12" customFormat="1" x14ac:dyDescent="0.25">
      <c r="A83" s="12" t="str">
        <f t="shared" si="4"/>
        <v>Residential_Building Shell_Ceiling/Attic Insulation #1 (Fossil Fuel Heat)_Delta_kWh_cooling_Mid-Life_Adj</v>
      </c>
      <c r="B83" t="s">
        <v>162</v>
      </c>
      <c r="C83" t="s">
        <v>167</v>
      </c>
      <c r="D83" t="s">
        <v>180</v>
      </c>
      <c r="E83" s="114" t="s">
        <v>431</v>
      </c>
      <c r="F83" s="116" t="e">
        <f>((((1/ F69 - 1/ F70) * F71 * (1 - F72)) * F73 * F74 * F75) / (F76 * F78)) * F79 * F80 * F81</f>
        <v>#DIV/0!</v>
      </c>
      <c r="H83" s="12" t="s">
        <v>454</v>
      </c>
      <c r="I83" t="s">
        <v>455</v>
      </c>
      <c r="J83" s="12" t="b">
        <f t="shared" si="3"/>
        <v>1</v>
      </c>
    </row>
    <row r="84" spans="1:10" s="12" customFormat="1" x14ac:dyDescent="0.25">
      <c r="A84" s="12" t="str">
        <f t="shared" si="4"/>
        <v>Residential_Building Shell_Ceiling/Attic Insulation #1 (Fossil Fuel Heat)_R_old</v>
      </c>
      <c r="B84" t="s">
        <v>162</v>
      </c>
      <c r="C84" t="s">
        <v>167</v>
      </c>
      <c r="D84" t="s">
        <v>180</v>
      </c>
      <c r="E84" s="102" t="s">
        <v>453</v>
      </c>
      <c r="F84" s="105">
        <f>Dashboard_EE!$O$15</f>
        <v>0</v>
      </c>
      <c r="G84" s="12" t="s">
        <v>240</v>
      </c>
      <c r="H84" s="12" t="s">
        <v>454</v>
      </c>
      <c r="I84" t="s">
        <v>455</v>
      </c>
      <c r="J84" s="12" t="b">
        <f t="shared" ref="J84:J271" si="5">_xlfn.ISFORMULA(F84)</f>
        <v>1</v>
      </c>
    </row>
    <row r="85" spans="1:10" s="12" customFormat="1" x14ac:dyDescent="0.25">
      <c r="A85" s="12" t="str">
        <f t="shared" si="4"/>
        <v>Residential_Building Shell_Ceiling/Attic Insulation #1 (Fossil Fuel Heat)_R_attic</v>
      </c>
      <c r="B85" t="s">
        <v>162</v>
      </c>
      <c r="C85" t="s">
        <v>167</v>
      </c>
      <c r="D85" t="s">
        <v>180</v>
      </c>
      <c r="E85" s="102" t="s">
        <v>456</v>
      </c>
      <c r="F85" s="105">
        <f>Dashboard_EE!$P$15</f>
        <v>0</v>
      </c>
      <c r="G85" s="12" t="s">
        <v>240</v>
      </c>
      <c r="H85" s="12" t="s">
        <v>454</v>
      </c>
      <c r="I85" t="s">
        <v>455</v>
      </c>
      <c r="J85" s="12" t="b">
        <f t="shared" si="5"/>
        <v>1</v>
      </c>
    </row>
    <row r="86" spans="1:10" s="12" customFormat="1" x14ac:dyDescent="0.25">
      <c r="A86" s="12" t="str">
        <f t="shared" si="4"/>
        <v>Residential_Building Shell_Ceiling/Attic Insulation #1 (Fossil Fuel Heat)_A_attic</v>
      </c>
      <c r="B86" t="s">
        <v>162</v>
      </c>
      <c r="C86" t="s">
        <v>167</v>
      </c>
      <c r="D86" t="s">
        <v>180</v>
      </c>
      <c r="E86" s="114" t="s">
        <v>457</v>
      </c>
      <c r="F86" s="116">
        <f>Dashboard_EE!$O$4</f>
        <v>0</v>
      </c>
      <c r="G86" s="12" t="s">
        <v>240</v>
      </c>
      <c r="H86" s="12" t="s">
        <v>454</v>
      </c>
      <c r="I86" t="s">
        <v>455</v>
      </c>
      <c r="J86" s="12" t="b">
        <f t="shared" si="5"/>
        <v>1</v>
      </c>
    </row>
    <row r="87" spans="1:10" s="12" customFormat="1" x14ac:dyDescent="0.25">
      <c r="A87" s="12" t="str">
        <f t="shared" si="4"/>
        <v>Residential_Building Shell_Ceiling/Attic Insulation #1 (Fossil Fuel Heat)_Framing_factor_attic</v>
      </c>
      <c r="B87" t="s">
        <v>162</v>
      </c>
      <c r="C87" t="s">
        <v>167</v>
      </c>
      <c r="D87" t="s">
        <v>180</v>
      </c>
      <c r="E87" s="102" t="s">
        <v>458</v>
      </c>
      <c r="F87" s="105">
        <v>7.0000000000000007E-2</v>
      </c>
      <c r="H87" s="12" t="s">
        <v>454</v>
      </c>
      <c r="I87" t="s">
        <v>455</v>
      </c>
      <c r="J87" s="12" t="b">
        <f t="shared" si="5"/>
        <v>0</v>
      </c>
    </row>
    <row r="88" spans="1:10" s="12" customFormat="1" x14ac:dyDescent="0.25">
      <c r="A88" s="12" t="str">
        <f t="shared" si="4"/>
        <v>Residential_Building Shell_Ceiling/Attic Insulation #1 (Fossil Fuel Heat)_24</v>
      </c>
      <c r="B88" t="s">
        <v>162</v>
      </c>
      <c r="C88" t="s">
        <v>167</v>
      </c>
      <c r="D88" t="s">
        <v>180</v>
      </c>
      <c r="E88" s="102">
        <v>24</v>
      </c>
      <c r="F88" s="105">
        <v>24</v>
      </c>
      <c r="H88" s="12" t="s">
        <v>454</v>
      </c>
      <c r="I88" t="s">
        <v>455</v>
      </c>
      <c r="J88" s="12" t="b">
        <f t="shared" si="5"/>
        <v>0</v>
      </c>
    </row>
    <row r="89" spans="1:10" s="12" customFormat="1" x14ac:dyDescent="0.25">
      <c r="A89" s="12" t="str">
        <f t="shared" si="4"/>
        <v>Residential_Building Shell_Ceiling/Attic Insulation #1 (Fossil Fuel Heat)_HDD</v>
      </c>
      <c r="B89" t="s">
        <v>162</v>
      </c>
      <c r="C89" t="s">
        <v>167</v>
      </c>
      <c r="D89" t="s">
        <v>180</v>
      </c>
      <c r="E89" s="102" t="s">
        <v>433</v>
      </c>
      <c r="F89" s="105" t="e">
        <f>INDEX('CZ Inputs'!G:G,MATCH(A89&amp;"_"&amp;Dashboard_EE!$K$3,'CZ Inputs'!A:A,0))</f>
        <v>#N/A</v>
      </c>
      <c r="G89" s="12" t="s">
        <v>422</v>
      </c>
      <c r="H89" s="12" t="s">
        <v>454</v>
      </c>
      <c r="I89" t="s">
        <v>455</v>
      </c>
      <c r="J89" s="12" t="b">
        <f t="shared" si="5"/>
        <v>1</v>
      </c>
    </row>
    <row r="90" spans="1:10" s="12" customFormat="1" x14ac:dyDescent="0.25">
      <c r="A90" s="12" t="str">
        <f t="shared" si="4"/>
        <v>Residential_Building Shell_Ceiling/Attic Insulation #1 (Fossil Fuel Heat)_ηHeat</v>
      </c>
      <c r="B90" t="s">
        <v>162</v>
      </c>
      <c r="C90" t="s">
        <v>167</v>
      </c>
      <c r="D90" t="s">
        <v>180</v>
      </c>
      <c r="E90" s="114" t="s">
        <v>434</v>
      </c>
      <c r="F90" s="116">
        <f>Dashboard_EE!$K$6</f>
        <v>0</v>
      </c>
      <c r="G90" s="12" t="s">
        <v>240</v>
      </c>
      <c r="H90" s="12" t="s">
        <v>454</v>
      </c>
      <c r="I90" t="s">
        <v>455</v>
      </c>
      <c r="J90" s="12" t="b">
        <f t="shared" si="5"/>
        <v>1</v>
      </c>
    </row>
    <row r="91" spans="1:10" s="12" customFormat="1" x14ac:dyDescent="0.25">
      <c r="A91" s="12" t="str">
        <f t="shared" si="4"/>
        <v>Residential_Building Shell_Ceiling/Attic Insulation #1 (Fossil Fuel Heat)_ηHeat_Mid-Life_Adj</v>
      </c>
      <c r="B91" t="s">
        <v>162</v>
      </c>
      <c r="C91" t="s">
        <v>167</v>
      </c>
      <c r="D91" t="s">
        <v>180</v>
      </c>
      <c r="E91" s="114" t="s">
        <v>435</v>
      </c>
      <c r="F91" s="116">
        <f>Dashboard_EE!$K$6</f>
        <v>0</v>
      </c>
      <c r="G91" s="12" t="s">
        <v>240</v>
      </c>
      <c r="H91" s="12" t="s">
        <v>454</v>
      </c>
      <c r="I91" t="s">
        <v>455</v>
      </c>
      <c r="J91" s="12" t="b">
        <f t="shared" si="5"/>
        <v>1</v>
      </c>
    </row>
    <row r="92" spans="1:10" s="12" customFormat="1" x14ac:dyDescent="0.25">
      <c r="A92" s="12" t="str">
        <f t="shared" si="4"/>
        <v>Residential_Building Shell_Ceiling/Attic Insulation #1 (Fossil Fuel Heat)_3412</v>
      </c>
      <c r="B92" t="s">
        <v>162</v>
      </c>
      <c r="C92" t="s">
        <v>167</v>
      </c>
      <c r="D92" t="s">
        <v>180</v>
      </c>
      <c r="E92" s="102">
        <v>3412</v>
      </c>
      <c r="F92" s="105">
        <v>3412</v>
      </c>
      <c r="H92" s="12" t="s">
        <v>454</v>
      </c>
      <c r="I92" t="s">
        <v>455</v>
      </c>
      <c r="J92" s="12" t="b">
        <f t="shared" si="5"/>
        <v>0</v>
      </c>
    </row>
    <row r="93" spans="1:10" s="12" customFormat="1" x14ac:dyDescent="0.25">
      <c r="A93" s="12" t="str">
        <f t="shared" si="4"/>
        <v>Residential_Building Shell_Ceiling/Attic Insulation #1 (Fossil Fuel Heat)_ADJAtticElectricHeat</v>
      </c>
      <c r="B93" t="s">
        <v>162</v>
      </c>
      <c r="C93" t="s">
        <v>167</v>
      </c>
      <c r="D93" t="s">
        <v>180</v>
      </c>
      <c r="E93" s="102" t="s">
        <v>460</v>
      </c>
      <c r="F93" s="105">
        <v>0.63</v>
      </c>
      <c r="H93" s="12" t="s">
        <v>454</v>
      </c>
      <c r="I93" t="s">
        <v>455</v>
      </c>
      <c r="J93" s="12" t="b">
        <f t="shared" si="5"/>
        <v>0</v>
      </c>
    </row>
    <row r="94" spans="1:10" s="12" customFormat="1" x14ac:dyDescent="0.25">
      <c r="A94" s="12" t="str">
        <f t="shared" si="4"/>
        <v>Residential_Building Shell_Ceiling/Attic Insulation #1 (Fossil Fuel Heat)_%ElectricHeat</v>
      </c>
      <c r="B94" t="s">
        <v>162</v>
      </c>
      <c r="C94" t="s">
        <v>167</v>
      </c>
      <c r="D94" t="s">
        <v>180</v>
      </c>
      <c r="E94" s="102" t="s">
        <v>402</v>
      </c>
      <c r="F94" s="105">
        <v>0</v>
      </c>
      <c r="G94" s="12" t="s">
        <v>533</v>
      </c>
      <c r="H94" s="12" t="s">
        <v>454</v>
      </c>
      <c r="I94" t="s">
        <v>455</v>
      </c>
      <c r="J94" s="12" t="b">
        <f t="shared" si="5"/>
        <v>0</v>
      </c>
    </row>
    <row r="95" spans="1:10" s="12" customFormat="1" x14ac:dyDescent="0.25">
      <c r="A95" s="12" t="str">
        <f t="shared" si="4"/>
        <v>Residential_Building Shell_Ceiling/Attic Insulation #1 (Fossil Fuel Heat)_Delta_kWh_heatingElectric</v>
      </c>
      <c r="B95" t="s">
        <v>162</v>
      </c>
      <c r="C95" t="s">
        <v>167</v>
      </c>
      <c r="D95" t="s">
        <v>180</v>
      </c>
      <c r="E95" s="114" t="s">
        <v>437</v>
      </c>
      <c r="F95" s="116" t="e">
        <f>((((1/ F84 - 1/ F85) * F86 * (1 - F87)) * F88 * F89) / (F90 * F92)) * F93 * F94</f>
        <v>#DIV/0!</v>
      </c>
      <c r="H95" s="12" t="s">
        <v>454</v>
      </c>
      <c r="I95" t="s">
        <v>455</v>
      </c>
      <c r="J95" s="12" t="b">
        <f t="shared" si="5"/>
        <v>1</v>
      </c>
    </row>
    <row r="96" spans="1:10" s="12" customFormat="1" x14ac:dyDescent="0.25">
      <c r="A96" s="12" t="str">
        <f t="shared" si="4"/>
        <v>Residential_Building Shell_Ceiling/Attic Insulation #1 (Fossil Fuel Heat)_Delta_kWh_heatingElectric_Mid-Life_Adj</v>
      </c>
      <c r="B96" t="s">
        <v>162</v>
      </c>
      <c r="C96" t="s">
        <v>167</v>
      </c>
      <c r="D96" t="s">
        <v>180</v>
      </c>
      <c r="E96" s="114" t="s">
        <v>438</v>
      </c>
      <c r="F96" s="116" t="e">
        <f>((((1/ F84 - 1/ F85) * F86 * (1 - F87)) * F88 * F89) / (F91 * F92)) * F93 * F94</f>
        <v>#DIV/0!</v>
      </c>
      <c r="H96" s="12" t="s">
        <v>454</v>
      </c>
      <c r="I96" t="s">
        <v>455</v>
      </c>
      <c r="J96" s="12" t="b">
        <f t="shared" si="5"/>
        <v>1</v>
      </c>
    </row>
    <row r="97" spans="1:10" s="12" customFormat="1" x14ac:dyDescent="0.25">
      <c r="A97" s="12" t="str">
        <f t="shared" si="4"/>
        <v>Residential_Building Shell_Ceiling/Attic Insulation #1 (Fossil Fuel Heat)_Fe</v>
      </c>
      <c r="B97" t="s">
        <v>162</v>
      </c>
      <c r="C97" t="s">
        <v>167</v>
      </c>
      <c r="D97" t="s">
        <v>180</v>
      </c>
      <c r="E97" s="102" t="s">
        <v>251</v>
      </c>
      <c r="F97" s="105">
        <v>3.1399999999999997E-2</v>
      </c>
      <c r="H97" s="12" t="s">
        <v>454</v>
      </c>
      <c r="I97" t="s">
        <v>455</v>
      </c>
      <c r="J97" s="12" t="b">
        <f t="shared" si="5"/>
        <v>0</v>
      </c>
    </row>
    <row r="98" spans="1:10" s="12" customFormat="1" x14ac:dyDescent="0.25">
      <c r="A98" s="12" t="str">
        <f t="shared" si="4"/>
        <v>Residential_Building Shell_Ceiling/Attic Insulation #1 (Fossil Fuel Heat)_29.3</v>
      </c>
      <c r="B98" t="s">
        <v>162</v>
      </c>
      <c r="C98" t="s">
        <v>167</v>
      </c>
      <c r="D98" t="s">
        <v>180</v>
      </c>
      <c r="E98" s="102">
        <v>29.3</v>
      </c>
      <c r="F98" s="105">
        <v>29.3</v>
      </c>
      <c r="H98" s="12" t="s">
        <v>454</v>
      </c>
      <c r="I98" t="s">
        <v>455</v>
      </c>
      <c r="J98" s="12" t="b">
        <f t="shared" si="5"/>
        <v>0</v>
      </c>
    </row>
    <row r="99" spans="1:10" s="12" customFormat="1" x14ac:dyDescent="0.25">
      <c r="A99" s="12" t="str">
        <f t="shared" si="4"/>
        <v>Residential_Building Shell_Ceiling/Attic Insulation #1 (Fossil Fuel Heat)_ADJAtticHeatFan</v>
      </c>
      <c r="B99" t="s">
        <v>162</v>
      </c>
      <c r="C99" t="s">
        <v>167</v>
      </c>
      <c r="D99" t="s">
        <v>180</v>
      </c>
      <c r="E99" s="102" t="s">
        <v>461</v>
      </c>
      <c r="F99" s="105">
        <v>1.1299999999999999</v>
      </c>
      <c r="H99" s="12" t="s">
        <v>454</v>
      </c>
      <c r="I99" t="s">
        <v>455</v>
      </c>
      <c r="J99" s="12" t="b">
        <f t="shared" si="5"/>
        <v>0</v>
      </c>
    </row>
    <row r="100" spans="1:10" s="12" customFormat="1" x14ac:dyDescent="0.25">
      <c r="A100" s="12" t="str">
        <f t="shared" si="4"/>
        <v>Residential_Building Shell_Ceiling/Attic Insulation #1 (Fossil Fuel Heat)_Delta_kWh_heatingGas</v>
      </c>
      <c r="B100" t="s">
        <v>162</v>
      </c>
      <c r="C100" t="s">
        <v>167</v>
      </c>
      <c r="D100" t="s">
        <v>180</v>
      </c>
      <c r="E100" s="114" t="s">
        <v>440</v>
      </c>
      <c r="F100" s="116" t="e">
        <f xml:space="preserve"> F118 * F97 * F98 * F99</f>
        <v>#DIV/0!</v>
      </c>
      <c r="H100" s="12" t="s">
        <v>454</v>
      </c>
      <c r="I100" t="s">
        <v>455</v>
      </c>
      <c r="J100" s="12" t="b">
        <f t="shared" si="5"/>
        <v>1</v>
      </c>
    </row>
    <row r="101" spans="1:10" s="12" customFormat="1" x14ac:dyDescent="0.25">
      <c r="A101" s="12" t="str">
        <f t="shared" si="4"/>
        <v>Residential_Building Shell_Ceiling/Attic Insulation #1 (Fossil Fuel Heat)_Delta_kWh_heatingGas_Mid-Life_Adj</v>
      </c>
      <c r="B101" t="s">
        <v>162</v>
      </c>
      <c r="C101" t="s">
        <v>167</v>
      </c>
      <c r="D101" t="s">
        <v>180</v>
      </c>
      <c r="E101" s="114" t="s">
        <v>441</v>
      </c>
      <c r="F101" s="116" t="e">
        <f xml:space="preserve"> F119 * F97 * F98 * F99</f>
        <v>#DIV/0!</v>
      </c>
      <c r="H101" s="12" t="s">
        <v>454</v>
      </c>
      <c r="I101" t="s">
        <v>455</v>
      </c>
      <c r="J101" s="12" t="b">
        <f t="shared" si="5"/>
        <v>1</v>
      </c>
    </row>
    <row r="102" spans="1:10" s="12" customFormat="1" x14ac:dyDescent="0.25">
      <c r="A102" s="12" t="str">
        <f t="shared" si="4"/>
        <v>Residential_Building Shell_Ceiling/Attic Insulation #1 (Fossil Fuel Heat)_FLH_cooling</v>
      </c>
      <c r="B102" t="s">
        <v>162</v>
      </c>
      <c r="C102" t="s">
        <v>167</v>
      </c>
      <c r="D102" t="s">
        <v>180</v>
      </c>
      <c r="E102" s="102" t="s">
        <v>442</v>
      </c>
      <c r="F102" s="105" t="e">
        <f>INDEX('CZ Inputs'!G:G,MATCH(A102&amp;"_"&amp;Dashboard_EE!$K$3,'CZ Inputs'!A:A,0))</f>
        <v>#N/A</v>
      </c>
      <c r="G102" s="12" t="s">
        <v>422</v>
      </c>
      <c r="H102" s="12" t="s">
        <v>454</v>
      </c>
      <c r="I102" t="s">
        <v>455</v>
      </c>
      <c r="J102" s="12" t="b">
        <f t="shared" si="5"/>
        <v>1</v>
      </c>
    </row>
    <row r="103" spans="1:10" s="12" customFormat="1" x14ac:dyDescent="0.25">
      <c r="A103" s="12" t="str">
        <f t="shared" si="4"/>
        <v>Residential_Building Shell_Ceiling/Attic Insulation #1 (Fossil Fuel Heat)_CF</v>
      </c>
      <c r="B103" t="s">
        <v>162</v>
      </c>
      <c r="C103" t="s">
        <v>167</v>
      </c>
      <c r="D103" t="s">
        <v>180</v>
      </c>
      <c r="E103" s="102" t="s">
        <v>277</v>
      </c>
      <c r="F103" s="105">
        <v>0.68</v>
      </c>
      <c r="G103" s="12" t="s">
        <v>319</v>
      </c>
      <c r="H103" s="12" t="s">
        <v>454</v>
      </c>
      <c r="I103" t="s">
        <v>455</v>
      </c>
      <c r="J103" s="12" t="b">
        <f t="shared" si="5"/>
        <v>0</v>
      </c>
    </row>
    <row r="104" spans="1:10" s="12" customFormat="1" x14ac:dyDescent="0.25">
      <c r="A104" s="12" t="str">
        <f t="shared" si="4"/>
        <v>Residential_Building Shell_Ceiling/Attic Insulation #1 (Fossil Fuel Heat)_Delta_kW</v>
      </c>
      <c r="B104" t="s">
        <v>162</v>
      </c>
      <c r="C104" t="s">
        <v>167</v>
      </c>
      <c r="D104" t="s">
        <v>180</v>
      </c>
      <c r="E104" s="114" t="s">
        <v>279</v>
      </c>
      <c r="F104" s="116" t="e">
        <f>(F82/F102)*F103</f>
        <v>#DIV/0!</v>
      </c>
      <c r="H104" s="12" t="s">
        <v>454</v>
      </c>
      <c r="I104" t="s">
        <v>455</v>
      </c>
      <c r="J104" s="12" t="b">
        <f t="shared" si="5"/>
        <v>1</v>
      </c>
    </row>
    <row r="105" spans="1:10" s="12" customFormat="1" x14ac:dyDescent="0.25">
      <c r="A105" s="12" t="str">
        <f t="shared" si="4"/>
        <v>Residential_Building Shell_Ceiling/Attic Insulation #1 (Fossil Fuel Heat)_Delta_kW_Mid-Life_Adj</v>
      </c>
      <c r="B105" t="s">
        <v>162</v>
      </c>
      <c r="C105" t="s">
        <v>167</v>
      </c>
      <c r="D105" t="s">
        <v>180</v>
      </c>
      <c r="E105" s="114" t="s">
        <v>443</v>
      </c>
      <c r="F105" s="116" t="e">
        <f>(F83/F102)*F103</f>
        <v>#DIV/0!</v>
      </c>
      <c r="H105" s="12" t="s">
        <v>454</v>
      </c>
      <c r="I105" t="s">
        <v>455</v>
      </c>
      <c r="J105" s="12" t="b">
        <f t="shared" si="5"/>
        <v>1</v>
      </c>
    </row>
    <row r="106" spans="1:10" s="12" customFormat="1" x14ac:dyDescent="0.25">
      <c r="A106" s="12" t="str">
        <f t="shared" si="4"/>
        <v>Residential_Building Shell_Ceiling/Attic Insulation #1 (Fossil Fuel Heat)_R_old</v>
      </c>
      <c r="B106" t="s">
        <v>162</v>
      </c>
      <c r="C106" t="s">
        <v>167</v>
      </c>
      <c r="D106" t="s">
        <v>180</v>
      </c>
      <c r="E106" s="102" t="s">
        <v>453</v>
      </c>
      <c r="F106" s="105">
        <f>Dashboard_EE!$O$15</f>
        <v>0</v>
      </c>
      <c r="G106" s="12" t="s">
        <v>240</v>
      </c>
      <c r="H106" s="12" t="s">
        <v>454</v>
      </c>
      <c r="I106" t="s">
        <v>455</v>
      </c>
      <c r="J106" s="12" t="b">
        <f t="shared" si="5"/>
        <v>1</v>
      </c>
    </row>
    <row r="107" spans="1:10" s="12" customFormat="1" x14ac:dyDescent="0.25">
      <c r="A107" s="12" t="str">
        <f t="shared" si="4"/>
        <v>Residential_Building Shell_Ceiling/Attic Insulation #1 (Fossil Fuel Heat)_R_attic</v>
      </c>
      <c r="B107" t="s">
        <v>162</v>
      </c>
      <c r="C107" t="s">
        <v>167</v>
      </c>
      <c r="D107" t="s">
        <v>180</v>
      </c>
      <c r="E107" s="102" t="s">
        <v>456</v>
      </c>
      <c r="F107" s="105">
        <f>Dashboard_EE!$P$15</f>
        <v>0</v>
      </c>
      <c r="G107" s="12" t="s">
        <v>240</v>
      </c>
      <c r="H107" s="12" t="s">
        <v>454</v>
      </c>
      <c r="I107" t="s">
        <v>455</v>
      </c>
      <c r="J107" s="12" t="b">
        <f t="shared" si="5"/>
        <v>1</v>
      </c>
    </row>
    <row r="108" spans="1:10" s="12" customFormat="1" x14ac:dyDescent="0.25">
      <c r="A108" s="12" t="str">
        <f t="shared" si="4"/>
        <v>Residential_Building Shell_Ceiling/Attic Insulation #1 (Fossil Fuel Heat)_A_attic</v>
      </c>
      <c r="B108" t="s">
        <v>162</v>
      </c>
      <c r="C108" t="s">
        <v>167</v>
      </c>
      <c r="D108" t="s">
        <v>180</v>
      </c>
      <c r="E108" s="114" t="s">
        <v>457</v>
      </c>
      <c r="F108" s="116">
        <f>Dashboard_EE!$O$4</f>
        <v>0</v>
      </c>
      <c r="G108" s="12" t="s">
        <v>240</v>
      </c>
      <c r="H108" s="12" t="s">
        <v>454</v>
      </c>
      <c r="I108" t="s">
        <v>455</v>
      </c>
      <c r="J108" s="12" t="b">
        <f t="shared" si="5"/>
        <v>1</v>
      </c>
    </row>
    <row r="109" spans="1:10" s="12" customFormat="1" x14ac:dyDescent="0.25">
      <c r="A109" s="12" t="str">
        <f t="shared" si="4"/>
        <v>Residential_Building Shell_Ceiling/Attic Insulation #1 (Fossil Fuel Heat)_Framing_factor_attic</v>
      </c>
      <c r="B109" t="s">
        <v>162</v>
      </c>
      <c r="C109" t="s">
        <v>167</v>
      </c>
      <c r="D109" t="s">
        <v>180</v>
      </c>
      <c r="E109" s="102" t="s">
        <v>458</v>
      </c>
      <c r="F109" s="105">
        <v>7.0000000000000007E-2</v>
      </c>
      <c r="H109" s="12" t="s">
        <v>454</v>
      </c>
      <c r="I109" t="s">
        <v>455</v>
      </c>
      <c r="J109" s="12" t="b">
        <f t="shared" si="5"/>
        <v>0</v>
      </c>
    </row>
    <row r="110" spans="1:10" s="12" customFormat="1" x14ac:dyDescent="0.25">
      <c r="A110" s="12" t="str">
        <f t="shared" si="4"/>
        <v>Residential_Building Shell_Ceiling/Attic Insulation #1 (Fossil Fuel Heat)_24</v>
      </c>
      <c r="B110" t="s">
        <v>162</v>
      </c>
      <c r="C110" t="s">
        <v>167</v>
      </c>
      <c r="D110" t="s">
        <v>180</v>
      </c>
      <c r="E110" s="102">
        <v>24</v>
      </c>
      <c r="F110" s="105">
        <v>24</v>
      </c>
      <c r="H110" s="12" t="s">
        <v>454</v>
      </c>
      <c r="I110" t="s">
        <v>455</v>
      </c>
      <c r="J110" s="12" t="b">
        <f t="shared" si="5"/>
        <v>0</v>
      </c>
    </row>
    <row r="111" spans="1:10" s="12" customFormat="1" x14ac:dyDescent="0.25">
      <c r="A111" s="12" t="str">
        <f t="shared" si="4"/>
        <v>Residential_Building Shell_Ceiling/Attic Insulation #1 (Fossil Fuel Heat)_HDD</v>
      </c>
      <c r="B111" t="s">
        <v>162</v>
      </c>
      <c r="C111" t="s">
        <v>167</v>
      </c>
      <c r="D111" t="s">
        <v>180</v>
      </c>
      <c r="E111" s="102" t="s">
        <v>433</v>
      </c>
      <c r="F111" s="105" t="e">
        <f>INDEX('CZ Inputs'!G:G,MATCH(A111&amp;"_"&amp;Dashboard_EE!$K$3,'CZ Inputs'!A:A,0))</f>
        <v>#N/A</v>
      </c>
      <c r="G111" s="12" t="s">
        <v>422</v>
      </c>
      <c r="H111" s="12" t="s">
        <v>454</v>
      </c>
      <c r="I111" t="s">
        <v>455</v>
      </c>
      <c r="J111" s="12" t="b">
        <f t="shared" si="5"/>
        <v>1</v>
      </c>
    </row>
    <row r="112" spans="1:10" s="12" customFormat="1" x14ac:dyDescent="0.25">
      <c r="A112" s="12" t="str">
        <f t="shared" si="4"/>
        <v>Residential_Building Shell_Ceiling/Attic Insulation #1 (Fossil Fuel Heat)_ηHeat</v>
      </c>
      <c r="B112" t="s">
        <v>162</v>
      </c>
      <c r="C112" t="s">
        <v>167</v>
      </c>
      <c r="D112" t="s">
        <v>180</v>
      </c>
      <c r="E112" s="114" t="s">
        <v>434</v>
      </c>
      <c r="F112" s="116">
        <f>Dashboard_EE!$K$8</f>
        <v>0</v>
      </c>
      <c r="G112" s="12" t="s">
        <v>240</v>
      </c>
      <c r="H112" s="12" t="s">
        <v>454</v>
      </c>
      <c r="I112" t="s">
        <v>455</v>
      </c>
      <c r="J112" s="12" t="b">
        <f t="shared" si="5"/>
        <v>1</v>
      </c>
    </row>
    <row r="113" spans="1:10" s="12" customFormat="1" x14ac:dyDescent="0.25">
      <c r="A113" s="12" t="str">
        <f t="shared" si="4"/>
        <v>Residential_Building Shell_Ceiling/Attic Insulation #1 (Fossil Fuel Heat)_ηHeat_Mid-Life_Adj</v>
      </c>
      <c r="B113" t="s">
        <v>162</v>
      </c>
      <c r="C113" t="s">
        <v>167</v>
      </c>
      <c r="D113" t="s">
        <v>180</v>
      </c>
      <c r="E113" s="114" t="s">
        <v>435</v>
      </c>
      <c r="F113" s="116">
        <f>Dashboard_EE!$K$8</f>
        <v>0</v>
      </c>
      <c r="G113" s="12" t="s">
        <v>240</v>
      </c>
      <c r="H113" s="12" t="s">
        <v>454</v>
      </c>
      <c r="I113" t="s">
        <v>455</v>
      </c>
      <c r="J113" s="12" t="b">
        <f t="shared" si="5"/>
        <v>1</v>
      </c>
    </row>
    <row r="114" spans="1:10" s="12" customFormat="1" x14ac:dyDescent="0.25">
      <c r="A114" s="12" t="str">
        <f t="shared" si="4"/>
        <v>Residential_Building Shell_Ceiling/Attic Insulation #1 (Fossil Fuel Heat)_100000</v>
      </c>
      <c r="B114" t="s">
        <v>162</v>
      </c>
      <c r="C114" t="s">
        <v>167</v>
      </c>
      <c r="D114" t="s">
        <v>180</v>
      </c>
      <c r="E114" s="102">
        <v>100000</v>
      </c>
      <c r="F114" s="105">
        <v>100000</v>
      </c>
      <c r="H114" s="12" t="s">
        <v>454</v>
      </c>
      <c r="I114" t="s">
        <v>455</v>
      </c>
      <c r="J114" s="12" t="b">
        <f t="shared" si="5"/>
        <v>0</v>
      </c>
    </row>
    <row r="115" spans="1:10" s="12" customFormat="1" x14ac:dyDescent="0.25">
      <c r="A115" s="12" t="str">
        <f t="shared" si="4"/>
        <v>Residential_Building Shell_Ceiling/Attic Insulation #1 (Fossil Fuel Heat)_ADJAtticGasHeat</v>
      </c>
      <c r="B115" t="s">
        <v>162</v>
      </c>
      <c r="C115" t="s">
        <v>167</v>
      </c>
      <c r="D115" t="s">
        <v>180</v>
      </c>
      <c r="E115" s="102" t="s">
        <v>462</v>
      </c>
      <c r="F115" s="105">
        <v>0.76</v>
      </c>
      <c r="H115" s="12" t="s">
        <v>454</v>
      </c>
      <c r="I115" t="s">
        <v>455</v>
      </c>
      <c r="J115" s="12" t="b">
        <f t="shared" si="5"/>
        <v>0</v>
      </c>
    </row>
    <row r="116" spans="1:10" s="12" customFormat="1" x14ac:dyDescent="0.25">
      <c r="A116" s="12" t="str">
        <f t="shared" si="4"/>
        <v>Residential_Building Shell_Ceiling/Attic Insulation #1 (Fossil Fuel Heat)_IENetCorrection</v>
      </c>
      <c r="B116" t="s">
        <v>162</v>
      </c>
      <c r="C116" t="s">
        <v>167</v>
      </c>
      <c r="D116" t="s">
        <v>180</v>
      </c>
      <c r="E116" s="102" t="s">
        <v>429</v>
      </c>
      <c r="F116" s="105">
        <f>IF(Dashboard_EE!$K$17="Yes",110%,100%)</f>
        <v>1.1000000000000001</v>
      </c>
      <c r="H116" s="12" t="s">
        <v>454</v>
      </c>
      <c r="I116" t="s">
        <v>455</v>
      </c>
      <c r="J116" s="12" t="b">
        <f t="shared" si="5"/>
        <v>1</v>
      </c>
    </row>
    <row r="117" spans="1:10" s="12" customFormat="1" x14ac:dyDescent="0.25">
      <c r="A117" s="12" t="str">
        <f t="shared" si="4"/>
        <v>Residential_Building Shell_Ceiling/Attic Insulation #1 (Fossil Fuel Heat)_%GasHeat</v>
      </c>
      <c r="B117" t="s">
        <v>162</v>
      </c>
      <c r="C117" t="s">
        <v>167</v>
      </c>
      <c r="D117" t="s">
        <v>180</v>
      </c>
      <c r="E117" s="102" t="s">
        <v>463</v>
      </c>
      <c r="F117" s="105">
        <v>1</v>
      </c>
      <c r="G117" s="12" t="s">
        <v>533</v>
      </c>
      <c r="H117" s="12" t="s">
        <v>454</v>
      </c>
      <c r="I117" t="s">
        <v>455</v>
      </c>
      <c r="J117" s="12" t="b">
        <f t="shared" si="5"/>
        <v>0</v>
      </c>
    </row>
    <row r="118" spans="1:10" s="12" customFormat="1" x14ac:dyDescent="0.25">
      <c r="A118" s="12" t="str">
        <f t="shared" si="4"/>
        <v>Residential_Building Shell_Ceiling/Attic Insulation #1 (Fossil Fuel Heat)_Delta_therms</v>
      </c>
      <c r="B118" t="s">
        <v>162</v>
      </c>
      <c r="C118" t="s">
        <v>167</v>
      </c>
      <c r="D118" t="s">
        <v>180</v>
      </c>
      <c r="E118" s="114" t="s">
        <v>445</v>
      </c>
      <c r="F118" s="116" t="e">
        <f xml:space="preserve"> ((((1/ F106 - 1/ F107) * F108 * (1 - F109)) * F110 * F111) / (F112 * F114)) * F115 * F116 * F117</f>
        <v>#DIV/0!</v>
      </c>
      <c r="H118" s="12" t="s">
        <v>454</v>
      </c>
      <c r="I118" t="s">
        <v>455</v>
      </c>
      <c r="J118" s="12" t="b">
        <f t="shared" si="5"/>
        <v>1</v>
      </c>
    </row>
    <row r="119" spans="1:10" s="12" customFormat="1" x14ac:dyDescent="0.25">
      <c r="A119" s="12" t="str">
        <f t="shared" si="4"/>
        <v>Residential_Building Shell_Ceiling/Attic Insulation #1 (Fossil Fuel Heat)_Delta_therms_Mid-Life_Adj</v>
      </c>
      <c r="B119" t="s">
        <v>162</v>
      </c>
      <c r="C119" t="s">
        <v>167</v>
      </c>
      <c r="D119" t="s">
        <v>180</v>
      </c>
      <c r="E119" s="114" t="s">
        <v>446</v>
      </c>
      <c r="F119" s="116" t="e">
        <f xml:space="preserve"> ((((1/ F106 - 1/ F107) * F108 * (1 - F109)) * F110 * F111) / (F113 * F114)) * F115 * F116 * F117</f>
        <v>#DIV/0!</v>
      </c>
      <c r="H119" s="12" t="s">
        <v>454</v>
      </c>
      <c r="I119" t="s">
        <v>455</v>
      </c>
      <c r="J119" s="12" t="b">
        <f t="shared" si="5"/>
        <v>1</v>
      </c>
    </row>
    <row r="120" spans="1:10" s="12" customFormat="1" x14ac:dyDescent="0.25">
      <c r="A120" s="12" t="str">
        <f t="shared" si="4"/>
        <v>Residential_Building Shell_Ceiling/Attic Insulation #1 (Fossil Fuel Heat)_Remaining Year kWh</v>
      </c>
      <c r="B120" t="s">
        <v>162</v>
      </c>
      <c r="C120" t="s">
        <v>167</v>
      </c>
      <c r="D120" t="s">
        <v>180</v>
      </c>
      <c r="E120" s="111" t="s">
        <v>447</v>
      </c>
      <c r="F120" s="101" t="e">
        <f>F82+F95+F100</f>
        <v>#DIV/0!</v>
      </c>
      <c r="H120" s="12" t="s">
        <v>454</v>
      </c>
      <c r="I120" t="s">
        <v>455</v>
      </c>
      <c r="J120" s="12" t="b">
        <f t="shared" si="5"/>
        <v>1</v>
      </c>
    </row>
    <row r="121" spans="1:10" s="12" customFormat="1" x14ac:dyDescent="0.25">
      <c r="A121" s="12" t="str">
        <f t="shared" si="4"/>
        <v>Residential_Building Shell_Ceiling/Attic Insulation #1 (Fossil Fuel Heat)_kWh Saved per Unit</v>
      </c>
      <c r="B121" t="s">
        <v>162</v>
      </c>
      <c r="C121" t="s">
        <v>167</v>
      </c>
      <c r="D121" t="s">
        <v>180</v>
      </c>
      <c r="E121" s="111" t="s">
        <v>280</v>
      </c>
      <c r="F121" s="101" t="e">
        <f>F83+F96+F101</f>
        <v>#DIV/0!</v>
      </c>
      <c r="H121" s="12" t="s">
        <v>454</v>
      </c>
      <c r="I121" t="s">
        <v>455</v>
      </c>
      <c r="J121" s="12" t="b">
        <f t="shared" si="5"/>
        <v>1</v>
      </c>
    </row>
    <row r="122" spans="1:10" s="12" customFormat="1" x14ac:dyDescent="0.25">
      <c r="A122" s="12" t="str">
        <f t="shared" si="4"/>
        <v>Residential_Building Shell_Ceiling/Attic Insulation #1 (Fossil Fuel Heat)_Remaining Year kW</v>
      </c>
      <c r="B122" t="s">
        <v>162</v>
      </c>
      <c r="C122" t="s">
        <v>167</v>
      </c>
      <c r="D122" t="s">
        <v>180</v>
      </c>
      <c r="E122" s="111" t="s">
        <v>448</v>
      </c>
      <c r="F122" s="101" t="e">
        <f>F104</f>
        <v>#DIV/0!</v>
      </c>
      <c r="H122" s="12" t="s">
        <v>454</v>
      </c>
      <c r="I122" t="s">
        <v>455</v>
      </c>
      <c r="J122" s="12" t="b">
        <f t="shared" si="5"/>
        <v>1</v>
      </c>
    </row>
    <row r="123" spans="1:10" s="12" customFormat="1" x14ac:dyDescent="0.25">
      <c r="A123" s="12" t="str">
        <f t="shared" si="4"/>
        <v>Residential_Building Shell_Ceiling/Attic Insulation #1 (Fossil Fuel Heat)_Coincident Peak kW Saved per Unit</v>
      </c>
      <c r="B123" t="s">
        <v>162</v>
      </c>
      <c r="C123" t="s">
        <v>167</v>
      </c>
      <c r="D123" t="s">
        <v>180</v>
      </c>
      <c r="E123" s="111" t="s">
        <v>281</v>
      </c>
      <c r="F123" s="101" t="e">
        <f>F105</f>
        <v>#DIV/0!</v>
      </c>
      <c r="H123" s="12" t="s">
        <v>454</v>
      </c>
      <c r="I123" t="s">
        <v>455</v>
      </c>
      <c r="J123" s="12" t="b">
        <f t="shared" si="5"/>
        <v>1</v>
      </c>
    </row>
    <row r="124" spans="1:10" s="12" customFormat="1" x14ac:dyDescent="0.25">
      <c r="A124" s="12" t="str">
        <f t="shared" si="4"/>
        <v>Residential_Building Shell_Ceiling/Attic Insulation #1 (Fossil Fuel Heat)_Remaining Year Therms</v>
      </c>
      <c r="B124" t="s">
        <v>162</v>
      </c>
      <c r="C124" t="s">
        <v>167</v>
      </c>
      <c r="D124" t="s">
        <v>180</v>
      </c>
      <c r="E124" s="111" t="s">
        <v>449</v>
      </c>
      <c r="F124" s="101" t="e">
        <f>F118</f>
        <v>#DIV/0!</v>
      </c>
      <c r="G124" s="12" t="s">
        <v>533</v>
      </c>
      <c r="H124" s="12" t="s">
        <v>454</v>
      </c>
      <c r="I124" t="s">
        <v>455</v>
      </c>
      <c r="J124" s="12" t="b">
        <f t="shared" si="5"/>
        <v>1</v>
      </c>
    </row>
    <row r="125" spans="1:10" s="12" customFormat="1" x14ac:dyDescent="0.25">
      <c r="A125" s="12" t="str">
        <f t="shared" si="4"/>
        <v>Residential_Building Shell_Ceiling/Attic Insulation #1 (Fossil Fuel Heat)_Therms Saved per Unit</v>
      </c>
      <c r="B125" t="s">
        <v>162</v>
      </c>
      <c r="C125" t="s">
        <v>167</v>
      </c>
      <c r="D125" t="s">
        <v>180</v>
      </c>
      <c r="E125" s="111" t="s">
        <v>376</v>
      </c>
      <c r="F125" s="101" t="e">
        <f>F119</f>
        <v>#DIV/0!</v>
      </c>
      <c r="G125" s="12" t="s">
        <v>533</v>
      </c>
      <c r="H125" s="12" t="s">
        <v>454</v>
      </c>
      <c r="I125" t="s">
        <v>455</v>
      </c>
      <c r="J125" s="12" t="b">
        <f t="shared" si="5"/>
        <v>1</v>
      </c>
    </row>
    <row r="126" spans="1:10" s="12" customFormat="1" x14ac:dyDescent="0.25">
      <c r="A126" s="12" t="str">
        <f t="shared" si="4"/>
        <v>Residential_Building Shell_Ceiling/Attic Insulation #1 (Fossil Fuel Heat)_Remaining Life</v>
      </c>
      <c r="B126" t="s">
        <v>162</v>
      </c>
      <c r="C126" t="s">
        <v>167</v>
      </c>
      <c r="D126" t="s">
        <v>180</v>
      </c>
      <c r="E126" s="111" t="s">
        <v>450</v>
      </c>
      <c r="F126" s="101">
        <v>10</v>
      </c>
      <c r="H126" s="12" t="s">
        <v>454</v>
      </c>
      <c r="I126" t="s">
        <v>455</v>
      </c>
      <c r="J126" s="12" t="b">
        <f t="shared" si="5"/>
        <v>0</v>
      </c>
    </row>
    <row r="127" spans="1:10" s="12" customFormat="1" x14ac:dyDescent="0.25">
      <c r="A127" s="12" t="str">
        <f t="shared" si="4"/>
        <v>Residential_Building Shell_Ceiling/Attic Insulation #1 (Fossil Fuel Heat)_Lifetime (years)</v>
      </c>
      <c r="B127" t="s">
        <v>162</v>
      </c>
      <c r="C127" t="s">
        <v>167</v>
      </c>
      <c r="D127" t="s">
        <v>180</v>
      </c>
      <c r="E127" s="111" t="s">
        <v>284</v>
      </c>
      <c r="F127" s="101">
        <v>30</v>
      </c>
      <c r="H127" s="12" t="s">
        <v>454</v>
      </c>
      <c r="I127" t="s">
        <v>455</v>
      </c>
      <c r="J127" s="12" t="b">
        <f t="shared" si="5"/>
        <v>0</v>
      </c>
    </row>
    <row r="128" spans="1:10" s="12" customFormat="1" x14ac:dyDescent="0.25">
      <c r="A128" s="12" t="str">
        <f t="shared" si="4"/>
        <v>Residential_Building Shell_Ceiling/Attic Insulation #1 (Fossil Fuel Heat)_Incremental Cost</v>
      </c>
      <c r="B128" t="s">
        <v>162</v>
      </c>
      <c r="C128" t="s">
        <v>167</v>
      </c>
      <c r="D128" t="s">
        <v>180</v>
      </c>
      <c r="E128" s="111" t="s">
        <v>285</v>
      </c>
      <c r="F128" s="100">
        <f>0.75*F71</f>
        <v>0</v>
      </c>
      <c r="G128" s="12" t="s">
        <v>451</v>
      </c>
      <c r="H128" s="12" t="s">
        <v>454</v>
      </c>
      <c r="I128" t="s">
        <v>455</v>
      </c>
      <c r="J128" s="12" t="b">
        <f t="shared" si="5"/>
        <v>1</v>
      </c>
    </row>
    <row r="129" spans="1:10" s="12" customFormat="1" x14ac:dyDescent="0.25">
      <c r="A129" s="12" t="str">
        <f t="shared" si="4"/>
        <v>Residential_Building Shell_Ceiling/Attic Insulation #1 (Fossil Fuel Heat)_BTU Impact_New_Fossil Fuel</v>
      </c>
      <c r="B129" t="s">
        <v>162</v>
      </c>
      <c r="C129" t="s">
        <v>167</v>
      </c>
      <c r="D129" t="s">
        <v>180</v>
      </c>
      <c r="E129" s="111" t="s">
        <v>290</v>
      </c>
      <c r="F129" s="99" t="e">
        <f>-F118*100000</f>
        <v>#DIV/0!</v>
      </c>
      <c r="H129" s="12" t="s">
        <v>454</v>
      </c>
      <c r="I129" t="s">
        <v>455</v>
      </c>
      <c r="J129" s="12" t="b">
        <f t="shared" si="5"/>
        <v>1</v>
      </c>
    </row>
    <row r="130" spans="1:10" s="12" customFormat="1" x14ac:dyDescent="0.25">
      <c r="A130" s="12" t="str">
        <f t="shared" ref="A130:A319" si="6">B130&amp;"_"&amp;C130&amp;"_"&amp;D130&amp;"_"&amp;E130</f>
        <v>Residential_Building Shell_Ceiling/Attic Insulation #1 (Fossil Fuel Heat)_BTU Impact_New_Winter Electricity</v>
      </c>
      <c r="B130" t="s">
        <v>162</v>
      </c>
      <c r="C130" t="s">
        <v>167</v>
      </c>
      <c r="D130" t="s">
        <v>180</v>
      </c>
      <c r="E130" s="111" t="s">
        <v>291</v>
      </c>
      <c r="F130" s="99" t="e">
        <f>-F100*3412</f>
        <v>#DIV/0!</v>
      </c>
      <c r="H130" s="12" t="s">
        <v>454</v>
      </c>
      <c r="I130" t="s">
        <v>455</v>
      </c>
      <c r="J130" s="12" t="b">
        <f t="shared" si="5"/>
        <v>1</v>
      </c>
    </row>
    <row r="131" spans="1:10" s="12" customFormat="1" x14ac:dyDescent="0.25">
      <c r="A131" s="12" t="str">
        <f t="shared" si="6"/>
        <v>Residential_Building Shell_Ceiling/Attic Insulation #1 (Fossil Fuel Heat)_BTU Impact_New_Summer Electricity</v>
      </c>
      <c r="B131" t="s">
        <v>162</v>
      </c>
      <c r="C131" t="s">
        <v>167</v>
      </c>
      <c r="D131" t="s">
        <v>180</v>
      </c>
      <c r="E131" s="111" t="s">
        <v>292</v>
      </c>
      <c r="F131" s="99" t="e">
        <f>-F82*3412</f>
        <v>#DIV/0!</v>
      </c>
      <c r="H131" s="12" t="s">
        <v>454</v>
      </c>
      <c r="I131" t="s">
        <v>455</v>
      </c>
      <c r="J131" s="12" t="b">
        <f t="shared" si="5"/>
        <v>1</v>
      </c>
    </row>
    <row r="132" spans="1:10" s="12" customFormat="1" x14ac:dyDescent="0.25">
      <c r="A132" s="12" t="str">
        <f t="shared" si="6"/>
        <v>Residential_Building Shell_Ceiling/Attic Insulation #1 (Fossil Fuel Heat)_</v>
      </c>
      <c r="B132" t="s">
        <v>162</v>
      </c>
      <c r="C132" t="s">
        <v>167</v>
      </c>
      <c r="D132" t="s">
        <v>180</v>
      </c>
      <c r="E132" s="112"/>
      <c r="F132"/>
      <c r="H132" s="12" t="s">
        <v>454</v>
      </c>
      <c r="I132" t="s">
        <v>455</v>
      </c>
      <c r="J132" s="12" t="b">
        <f t="shared" si="5"/>
        <v>0</v>
      </c>
    </row>
    <row r="133" spans="1:10" s="12" customFormat="1" x14ac:dyDescent="0.25">
      <c r="A133" s="12" t="str">
        <f t="shared" si="6"/>
        <v>Residential_Building Shell_Ceiling/Attic Insulation #2 (Fossil Fuel Heat)_R_old</v>
      </c>
      <c r="B133" t="s">
        <v>162</v>
      </c>
      <c r="C133" t="s">
        <v>167</v>
      </c>
      <c r="D133" t="s">
        <v>181</v>
      </c>
      <c r="E133" s="102" t="s">
        <v>453</v>
      </c>
      <c r="F133" s="105">
        <f>Dashboard_EE!$O$16</f>
        <v>0</v>
      </c>
      <c r="G133" s="12" t="s">
        <v>240</v>
      </c>
      <c r="H133" s="12" t="s">
        <v>454</v>
      </c>
      <c r="I133" t="s">
        <v>455</v>
      </c>
      <c r="J133" s="12" t="b">
        <f t="shared" si="5"/>
        <v>1</v>
      </c>
    </row>
    <row r="134" spans="1:10" s="12" customFormat="1" x14ac:dyDescent="0.25">
      <c r="A134" s="12" t="str">
        <f t="shared" si="6"/>
        <v>Residential_Building Shell_Ceiling/Attic Insulation #2 (Fossil Fuel Heat)_R_attic</v>
      </c>
      <c r="B134" t="s">
        <v>162</v>
      </c>
      <c r="C134" t="s">
        <v>167</v>
      </c>
      <c r="D134" t="s">
        <v>181</v>
      </c>
      <c r="E134" s="102" t="s">
        <v>456</v>
      </c>
      <c r="F134" s="105">
        <f>Dashboard_EE!$P$16</f>
        <v>0</v>
      </c>
      <c r="G134" s="12" t="s">
        <v>240</v>
      </c>
      <c r="H134" s="12" t="s">
        <v>454</v>
      </c>
      <c r="I134" t="s">
        <v>455</v>
      </c>
      <c r="J134" s="12" t="b">
        <f t="shared" si="5"/>
        <v>1</v>
      </c>
    </row>
    <row r="135" spans="1:10" s="12" customFormat="1" x14ac:dyDescent="0.25">
      <c r="A135" s="12" t="str">
        <f t="shared" si="6"/>
        <v>Residential_Building Shell_Ceiling/Attic Insulation #2 (Fossil Fuel Heat)_A_attic</v>
      </c>
      <c r="B135" t="s">
        <v>162</v>
      </c>
      <c r="C135" t="s">
        <v>167</v>
      </c>
      <c r="D135" t="s">
        <v>181</v>
      </c>
      <c r="E135" s="114" t="s">
        <v>457</v>
      </c>
      <c r="F135" s="116">
        <f>Dashboard_EE!$O$5</f>
        <v>0</v>
      </c>
      <c r="G135" s="12" t="s">
        <v>240</v>
      </c>
      <c r="H135" s="12" t="s">
        <v>454</v>
      </c>
      <c r="I135" t="s">
        <v>455</v>
      </c>
      <c r="J135" s="12" t="b">
        <f t="shared" si="5"/>
        <v>1</v>
      </c>
    </row>
    <row r="136" spans="1:10" s="12" customFormat="1" x14ac:dyDescent="0.25">
      <c r="A136" s="12" t="str">
        <f t="shared" si="6"/>
        <v>Residential_Building Shell_Ceiling/Attic Insulation #2 (Fossil Fuel Heat)_Framing_factor_attic</v>
      </c>
      <c r="B136" t="s">
        <v>162</v>
      </c>
      <c r="C136" t="s">
        <v>167</v>
      </c>
      <c r="D136" t="s">
        <v>181</v>
      </c>
      <c r="E136" s="102" t="s">
        <v>458</v>
      </c>
      <c r="F136" s="105">
        <v>7.0000000000000007E-2</v>
      </c>
      <c r="H136" s="12" t="s">
        <v>454</v>
      </c>
      <c r="I136" t="s">
        <v>455</v>
      </c>
      <c r="J136" s="12" t="b">
        <f t="shared" si="5"/>
        <v>0</v>
      </c>
    </row>
    <row r="137" spans="1:10" s="12" customFormat="1" x14ac:dyDescent="0.25">
      <c r="A137" s="12" t="str">
        <f t="shared" si="6"/>
        <v>Residential_Building Shell_Ceiling/Attic Insulation #2 (Fossil Fuel Heat)_24</v>
      </c>
      <c r="B137" t="s">
        <v>162</v>
      </c>
      <c r="C137" t="s">
        <v>167</v>
      </c>
      <c r="D137" t="s">
        <v>181</v>
      </c>
      <c r="E137" s="102">
        <v>24</v>
      </c>
      <c r="F137" s="105">
        <v>24</v>
      </c>
      <c r="H137" s="12" t="s">
        <v>454</v>
      </c>
      <c r="I137" t="s">
        <v>455</v>
      </c>
      <c r="J137" s="12" t="b">
        <f t="shared" si="5"/>
        <v>0</v>
      </c>
    </row>
    <row r="138" spans="1:10" s="12" customFormat="1" x14ac:dyDescent="0.25">
      <c r="A138" s="12" t="str">
        <f t="shared" si="6"/>
        <v>Residential_Building Shell_Ceiling/Attic Insulation #2 (Fossil Fuel Heat)_CDD</v>
      </c>
      <c r="B138" t="s">
        <v>162</v>
      </c>
      <c r="C138" t="s">
        <v>167</v>
      </c>
      <c r="D138" t="s">
        <v>181</v>
      </c>
      <c r="E138" s="102" t="s">
        <v>421</v>
      </c>
      <c r="F138" s="105" t="e">
        <f>INDEX('CZ Inputs'!G:G,MATCH(A138&amp;"_"&amp;Dashboard_EE!$K$3,'CZ Inputs'!A:A,0))</f>
        <v>#N/A</v>
      </c>
      <c r="G138" s="12" t="s">
        <v>422</v>
      </c>
      <c r="H138" s="12" t="s">
        <v>454</v>
      </c>
      <c r="I138" t="s">
        <v>455</v>
      </c>
      <c r="J138" s="12" t="b">
        <f t="shared" si="5"/>
        <v>1</v>
      </c>
    </row>
    <row r="139" spans="1:10" s="12" customFormat="1" x14ac:dyDescent="0.25">
      <c r="A139" s="12" t="str">
        <f t="shared" si="6"/>
        <v>Residential_Building Shell_Ceiling/Attic Insulation #2 (Fossil Fuel Heat)_DUA</v>
      </c>
      <c r="B139" t="s">
        <v>162</v>
      </c>
      <c r="C139" t="s">
        <v>167</v>
      </c>
      <c r="D139" t="s">
        <v>181</v>
      </c>
      <c r="E139" s="102" t="s">
        <v>423</v>
      </c>
      <c r="F139" s="105">
        <v>0.75</v>
      </c>
      <c r="H139" s="12" t="s">
        <v>454</v>
      </c>
      <c r="I139" t="s">
        <v>455</v>
      </c>
      <c r="J139" s="12" t="b">
        <f t="shared" si="5"/>
        <v>0</v>
      </c>
    </row>
    <row r="140" spans="1:10" s="12" customFormat="1" x14ac:dyDescent="0.25">
      <c r="A140" s="12" t="str">
        <f t="shared" si="6"/>
        <v>Residential_Building Shell_Ceiling/Attic Insulation #2 (Fossil Fuel Heat)_1000</v>
      </c>
      <c r="B140" t="s">
        <v>162</v>
      </c>
      <c r="C140" t="s">
        <v>167</v>
      </c>
      <c r="D140" t="s">
        <v>181</v>
      </c>
      <c r="E140" s="102">
        <v>1000</v>
      </c>
      <c r="F140" s="105">
        <v>1000</v>
      </c>
      <c r="H140" s="12" t="s">
        <v>454</v>
      </c>
      <c r="I140" t="s">
        <v>455</v>
      </c>
      <c r="J140" s="12" t="b">
        <f t="shared" si="5"/>
        <v>0</v>
      </c>
    </row>
    <row r="141" spans="1:10" s="12" customFormat="1" x14ac:dyDescent="0.25">
      <c r="A141" s="12" t="str">
        <f t="shared" si="6"/>
        <v>Residential_Building Shell_Ceiling/Attic Insulation #2 (Fossil Fuel Heat)_ηCool</v>
      </c>
      <c r="B141" t="s">
        <v>162</v>
      </c>
      <c r="C141" t="s">
        <v>167</v>
      </c>
      <c r="D141" t="s">
        <v>181</v>
      </c>
      <c r="E141" s="114" t="s">
        <v>424</v>
      </c>
      <c r="F141" s="116">
        <f>Dashboard_EE!$K$13</f>
        <v>0</v>
      </c>
      <c r="G141" s="12" t="s">
        <v>240</v>
      </c>
      <c r="H141" s="12" t="s">
        <v>454</v>
      </c>
      <c r="I141" t="s">
        <v>455</v>
      </c>
      <c r="J141" s="12" t="b">
        <f t="shared" si="5"/>
        <v>1</v>
      </c>
    </row>
    <row r="142" spans="1:10" s="12" customFormat="1" x14ac:dyDescent="0.25">
      <c r="A142" s="12" t="str">
        <f t="shared" si="6"/>
        <v>Residential_Building Shell_Ceiling/Attic Insulation #2 (Fossil Fuel Heat)_ηCool_Mid-Life_Adj</v>
      </c>
      <c r="B142" t="s">
        <v>162</v>
      </c>
      <c r="C142" t="s">
        <v>167</v>
      </c>
      <c r="D142" t="s">
        <v>181</v>
      </c>
      <c r="E142" s="114" t="s">
        <v>425</v>
      </c>
      <c r="F142" s="116">
        <f>Dashboard_EE!$K$13</f>
        <v>0</v>
      </c>
      <c r="G142" s="12" t="s">
        <v>240</v>
      </c>
      <c r="H142" s="12" t="s">
        <v>454</v>
      </c>
      <c r="I142" t="s">
        <v>455</v>
      </c>
      <c r="J142" s="12" t="b">
        <f t="shared" si="5"/>
        <v>1</v>
      </c>
    </row>
    <row r="143" spans="1:10" s="12" customFormat="1" x14ac:dyDescent="0.25">
      <c r="A143" s="12" t="str">
        <f t="shared" si="6"/>
        <v>Residential_Building Shell_Ceiling/Attic Insulation #2 (Fossil Fuel Heat)_ADJAtticCool</v>
      </c>
      <c r="B143" t="s">
        <v>162</v>
      </c>
      <c r="C143" t="s">
        <v>167</v>
      </c>
      <c r="D143" t="s">
        <v>181</v>
      </c>
      <c r="E143" s="102" t="s">
        <v>459</v>
      </c>
      <c r="F143" s="105">
        <v>1.1399999999999999</v>
      </c>
      <c r="H143" s="12" t="s">
        <v>454</v>
      </c>
      <c r="I143" t="s">
        <v>455</v>
      </c>
      <c r="J143" s="12" t="b">
        <f t="shared" si="5"/>
        <v>0</v>
      </c>
    </row>
    <row r="144" spans="1:10" s="12" customFormat="1" x14ac:dyDescent="0.25">
      <c r="A144" s="12" t="str">
        <f t="shared" si="6"/>
        <v>Residential_Building Shell_Ceiling/Attic Insulation #2 (Fossil Fuel Heat)_IENetCorrection</v>
      </c>
      <c r="B144" t="s">
        <v>162</v>
      </c>
      <c r="C144" t="s">
        <v>167</v>
      </c>
      <c r="D144" t="s">
        <v>181</v>
      </c>
      <c r="E144" s="102" t="s">
        <v>429</v>
      </c>
      <c r="F144" s="105">
        <f>IF(Dashboard_EE!$K$17="Yes",110%,100%)</f>
        <v>1.1000000000000001</v>
      </c>
      <c r="H144" s="12" t="s">
        <v>454</v>
      </c>
      <c r="I144" t="s">
        <v>455</v>
      </c>
      <c r="J144" s="12" t="b">
        <f t="shared" si="5"/>
        <v>1</v>
      </c>
    </row>
    <row r="145" spans="1:10" s="12" customFormat="1" x14ac:dyDescent="0.25">
      <c r="A145" s="12" t="str">
        <f t="shared" si="6"/>
        <v>Residential_Building Shell_Ceiling/Attic Insulation #2 (Fossil Fuel Heat)_%Cool</v>
      </c>
      <c r="B145" t="s">
        <v>162</v>
      </c>
      <c r="C145" t="s">
        <v>167</v>
      </c>
      <c r="D145" t="s">
        <v>181</v>
      </c>
      <c r="E145" s="114" t="s">
        <v>397</v>
      </c>
      <c r="F145" s="116">
        <f>IF(Dashboard_EE!$K$14="Yes",1,0)</f>
        <v>0</v>
      </c>
      <c r="G145" s="12" t="s">
        <v>240</v>
      </c>
      <c r="H145" s="12" t="s">
        <v>454</v>
      </c>
      <c r="I145" t="s">
        <v>455</v>
      </c>
      <c r="J145" s="12" t="b">
        <f t="shared" si="5"/>
        <v>1</v>
      </c>
    </row>
    <row r="146" spans="1:10" s="12" customFormat="1" x14ac:dyDescent="0.25">
      <c r="A146" s="12" t="str">
        <f t="shared" si="6"/>
        <v>Residential_Building Shell_Ceiling/Attic Insulation #2 (Fossil Fuel Heat)_Delta_kWh_cooling</v>
      </c>
      <c r="B146" t="s">
        <v>162</v>
      </c>
      <c r="C146" t="s">
        <v>167</v>
      </c>
      <c r="D146" t="s">
        <v>181</v>
      </c>
      <c r="E146" s="114" t="s">
        <v>430</v>
      </c>
      <c r="F146" s="116" t="e">
        <f>((((1/ F133 - 1/ F134) * F135 * (1 - F136)) * F137 * F138 * F139) / (F140 * F141)) * F143 * F144 * F145</f>
        <v>#DIV/0!</v>
      </c>
      <c r="H146" s="12" t="s">
        <v>454</v>
      </c>
      <c r="I146" t="s">
        <v>455</v>
      </c>
      <c r="J146" s="12" t="b">
        <f t="shared" si="5"/>
        <v>1</v>
      </c>
    </row>
    <row r="147" spans="1:10" s="12" customFormat="1" x14ac:dyDescent="0.25">
      <c r="A147" s="12" t="str">
        <f t="shared" si="6"/>
        <v>Residential_Building Shell_Ceiling/Attic Insulation #2 (Fossil Fuel Heat)_Delta_kWh_cooling_Mid-Life_Adj</v>
      </c>
      <c r="B147" t="s">
        <v>162</v>
      </c>
      <c r="C147" t="s">
        <v>167</v>
      </c>
      <c r="D147" t="s">
        <v>181</v>
      </c>
      <c r="E147" s="114" t="s">
        <v>431</v>
      </c>
      <c r="F147" s="116" t="e">
        <f>((((1/ F133 - 1/ F134) * F135 * (1 - F136)) * F137 * F138 * F139) / (F140 * F142)) * F143 * F144 * F145</f>
        <v>#DIV/0!</v>
      </c>
      <c r="H147" s="12" t="s">
        <v>454</v>
      </c>
      <c r="I147" t="s">
        <v>455</v>
      </c>
      <c r="J147" s="12" t="b">
        <f t="shared" si="5"/>
        <v>1</v>
      </c>
    </row>
    <row r="148" spans="1:10" s="12" customFormat="1" x14ac:dyDescent="0.25">
      <c r="A148" s="12" t="str">
        <f t="shared" si="6"/>
        <v>Residential_Building Shell_Ceiling/Attic Insulation #2 (Fossil Fuel Heat)_R_old</v>
      </c>
      <c r="B148" t="s">
        <v>162</v>
      </c>
      <c r="C148" t="s">
        <v>167</v>
      </c>
      <c r="D148" t="s">
        <v>181</v>
      </c>
      <c r="E148" s="102" t="s">
        <v>453</v>
      </c>
      <c r="F148" s="105">
        <f>Dashboard_EE!$O$16</f>
        <v>0</v>
      </c>
      <c r="G148" s="12" t="s">
        <v>240</v>
      </c>
      <c r="H148" s="12" t="s">
        <v>454</v>
      </c>
      <c r="I148" t="s">
        <v>455</v>
      </c>
      <c r="J148" s="12" t="b">
        <f t="shared" ref="J148:J211" si="7">_xlfn.ISFORMULA(F148)</f>
        <v>1</v>
      </c>
    </row>
    <row r="149" spans="1:10" s="12" customFormat="1" x14ac:dyDescent="0.25">
      <c r="A149" s="12" t="str">
        <f t="shared" si="6"/>
        <v>Residential_Building Shell_Ceiling/Attic Insulation #2 (Fossil Fuel Heat)_R_attic</v>
      </c>
      <c r="B149" t="s">
        <v>162</v>
      </c>
      <c r="C149" t="s">
        <v>167</v>
      </c>
      <c r="D149" t="s">
        <v>181</v>
      </c>
      <c r="E149" s="102" t="s">
        <v>456</v>
      </c>
      <c r="F149" s="105">
        <f>Dashboard_EE!$P$16</f>
        <v>0</v>
      </c>
      <c r="G149" s="12" t="s">
        <v>240</v>
      </c>
      <c r="H149" s="12" t="s">
        <v>454</v>
      </c>
      <c r="I149" t="s">
        <v>455</v>
      </c>
      <c r="J149" s="12" t="b">
        <f t="shared" si="7"/>
        <v>1</v>
      </c>
    </row>
    <row r="150" spans="1:10" s="12" customFormat="1" x14ac:dyDescent="0.25">
      <c r="A150" s="12" t="str">
        <f t="shared" si="6"/>
        <v>Residential_Building Shell_Ceiling/Attic Insulation #2 (Fossil Fuel Heat)_A_attic</v>
      </c>
      <c r="B150" t="s">
        <v>162</v>
      </c>
      <c r="C150" t="s">
        <v>167</v>
      </c>
      <c r="D150" t="s">
        <v>181</v>
      </c>
      <c r="E150" s="114" t="s">
        <v>457</v>
      </c>
      <c r="F150" s="116">
        <f>Dashboard_EE!$O$5</f>
        <v>0</v>
      </c>
      <c r="G150" s="12" t="s">
        <v>240</v>
      </c>
      <c r="H150" s="12" t="s">
        <v>454</v>
      </c>
      <c r="I150" t="s">
        <v>455</v>
      </c>
      <c r="J150" s="12" t="b">
        <f t="shared" si="7"/>
        <v>1</v>
      </c>
    </row>
    <row r="151" spans="1:10" s="12" customFormat="1" x14ac:dyDescent="0.25">
      <c r="A151" s="12" t="str">
        <f t="shared" si="6"/>
        <v>Residential_Building Shell_Ceiling/Attic Insulation #2 (Fossil Fuel Heat)_Framing_factor_attic</v>
      </c>
      <c r="B151" t="s">
        <v>162</v>
      </c>
      <c r="C151" t="s">
        <v>167</v>
      </c>
      <c r="D151" t="s">
        <v>181</v>
      </c>
      <c r="E151" s="102" t="s">
        <v>458</v>
      </c>
      <c r="F151" s="105">
        <v>7.0000000000000007E-2</v>
      </c>
      <c r="H151" s="12" t="s">
        <v>454</v>
      </c>
      <c r="I151" t="s">
        <v>455</v>
      </c>
      <c r="J151" s="12" t="b">
        <f t="shared" si="7"/>
        <v>0</v>
      </c>
    </row>
    <row r="152" spans="1:10" s="12" customFormat="1" x14ac:dyDescent="0.25">
      <c r="A152" s="12" t="str">
        <f t="shared" si="6"/>
        <v>Residential_Building Shell_Ceiling/Attic Insulation #2 (Fossil Fuel Heat)_24</v>
      </c>
      <c r="B152" t="s">
        <v>162</v>
      </c>
      <c r="C152" t="s">
        <v>167</v>
      </c>
      <c r="D152" t="s">
        <v>181</v>
      </c>
      <c r="E152" s="102">
        <v>24</v>
      </c>
      <c r="F152" s="105">
        <v>24</v>
      </c>
      <c r="H152" s="12" t="s">
        <v>454</v>
      </c>
      <c r="I152" t="s">
        <v>455</v>
      </c>
      <c r="J152" s="12" t="b">
        <f t="shared" si="7"/>
        <v>0</v>
      </c>
    </row>
    <row r="153" spans="1:10" s="12" customFormat="1" x14ac:dyDescent="0.25">
      <c r="A153" s="12" t="str">
        <f t="shared" si="6"/>
        <v>Residential_Building Shell_Ceiling/Attic Insulation #2 (Fossil Fuel Heat)_HDD</v>
      </c>
      <c r="B153" t="s">
        <v>162</v>
      </c>
      <c r="C153" t="s">
        <v>167</v>
      </c>
      <c r="D153" t="s">
        <v>181</v>
      </c>
      <c r="E153" s="102" t="s">
        <v>433</v>
      </c>
      <c r="F153" s="105" t="e">
        <f>INDEX('CZ Inputs'!G:G,MATCH(A153&amp;"_"&amp;Dashboard_EE!$K$3,'CZ Inputs'!A:A,0))</f>
        <v>#N/A</v>
      </c>
      <c r="G153" s="12" t="s">
        <v>422</v>
      </c>
      <c r="H153" s="12" t="s">
        <v>454</v>
      </c>
      <c r="I153" t="s">
        <v>455</v>
      </c>
      <c r="J153" s="12" t="b">
        <f t="shared" si="7"/>
        <v>1</v>
      </c>
    </row>
    <row r="154" spans="1:10" s="12" customFormat="1" x14ac:dyDescent="0.25">
      <c r="A154" s="12" t="str">
        <f t="shared" si="6"/>
        <v>Residential_Building Shell_Ceiling/Attic Insulation #2 (Fossil Fuel Heat)_ηHeat</v>
      </c>
      <c r="B154" t="s">
        <v>162</v>
      </c>
      <c r="C154" t="s">
        <v>167</v>
      </c>
      <c r="D154" t="s">
        <v>181</v>
      </c>
      <c r="E154" s="114" t="s">
        <v>434</v>
      </c>
      <c r="F154" s="116">
        <f>Dashboard_EE!$K$6</f>
        <v>0</v>
      </c>
      <c r="G154" s="12" t="s">
        <v>240</v>
      </c>
      <c r="H154" s="12" t="s">
        <v>454</v>
      </c>
      <c r="I154" t="s">
        <v>455</v>
      </c>
      <c r="J154" s="12" t="b">
        <f t="shared" si="7"/>
        <v>1</v>
      </c>
    </row>
    <row r="155" spans="1:10" s="12" customFormat="1" x14ac:dyDescent="0.25">
      <c r="A155" s="12" t="str">
        <f t="shared" si="6"/>
        <v>Residential_Building Shell_Ceiling/Attic Insulation #2 (Fossil Fuel Heat)_ηHeat_Mid-Life_Adj</v>
      </c>
      <c r="B155" t="s">
        <v>162</v>
      </c>
      <c r="C155" t="s">
        <v>167</v>
      </c>
      <c r="D155" t="s">
        <v>181</v>
      </c>
      <c r="E155" s="114" t="s">
        <v>435</v>
      </c>
      <c r="F155" s="116">
        <f>Dashboard_EE!$K$6</f>
        <v>0</v>
      </c>
      <c r="G155" s="12" t="s">
        <v>240</v>
      </c>
      <c r="H155" s="12" t="s">
        <v>454</v>
      </c>
      <c r="I155" t="s">
        <v>455</v>
      </c>
      <c r="J155" s="12" t="b">
        <f t="shared" si="7"/>
        <v>1</v>
      </c>
    </row>
    <row r="156" spans="1:10" s="12" customFormat="1" x14ac:dyDescent="0.25">
      <c r="A156" s="12" t="str">
        <f t="shared" si="6"/>
        <v>Residential_Building Shell_Ceiling/Attic Insulation #2 (Fossil Fuel Heat)_3412</v>
      </c>
      <c r="B156" t="s">
        <v>162</v>
      </c>
      <c r="C156" t="s">
        <v>167</v>
      </c>
      <c r="D156" t="s">
        <v>181</v>
      </c>
      <c r="E156" s="102">
        <v>3412</v>
      </c>
      <c r="F156" s="105">
        <v>3412</v>
      </c>
      <c r="H156" s="12" t="s">
        <v>454</v>
      </c>
      <c r="I156" t="s">
        <v>455</v>
      </c>
      <c r="J156" s="12" t="b">
        <f t="shared" si="7"/>
        <v>0</v>
      </c>
    </row>
    <row r="157" spans="1:10" s="12" customFormat="1" x14ac:dyDescent="0.25">
      <c r="A157" s="12" t="str">
        <f t="shared" si="6"/>
        <v>Residential_Building Shell_Ceiling/Attic Insulation #2 (Fossil Fuel Heat)_ADJAtticElectricHeat</v>
      </c>
      <c r="B157" t="s">
        <v>162</v>
      </c>
      <c r="C157" t="s">
        <v>167</v>
      </c>
      <c r="D157" t="s">
        <v>181</v>
      </c>
      <c r="E157" s="102" t="s">
        <v>460</v>
      </c>
      <c r="F157" s="105">
        <v>0.63</v>
      </c>
      <c r="H157" s="12" t="s">
        <v>454</v>
      </c>
      <c r="I157" t="s">
        <v>455</v>
      </c>
      <c r="J157" s="12" t="b">
        <f t="shared" si="7"/>
        <v>0</v>
      </c>
    </row>
    <row r="158" spans="1:10" s="12" customFormat="1" x14ac:dyDescent="0.25">
      <c r="A158" s="12" t="str">
        <f t="shared" si="6"/>
        <v>Residential_Building Shell_Ceiling/Attic Insulation #2 (Fossil Fuel Heat)_%ElectricHeat</v>
      </c>
      <c r="B158" t="s">
        <v>162</v>
      </c>
      <c r="C158" t="s">
        <v>167</v>
      </c>
      <c r="D158" t="s">
        <v>181</v>
      </c>
      <c r="E158" s="102" t="s">
        <v>402</v>
      </c>
      <c r="F158" s="105">
        <v>0</v>
      </c>
      <c r="G158" s="12" t="s">
        <v>533</v>
      </c>
      <c r="H158" s="12" t="s">
        <v>454</v>
      </c>
      <c r="I158" t="s">
        <v>455</v>
      </c>
      <c r="J158" s="12" t="b">
        <f t="shared" si="7"/>
        <v>0</v>
      </c>
    </row>
    <row r="159" spans="1:10" s="12" customFormat="1" x14ac:dyDescent="0.25">
      <c r="A159" s="12" t="str">
        <f t="shared" si="6"/>
        <v>Residential_Building Shell_Ceiling/Attic Insulation #2 (Fossil Fuel Heat)_Delta_kWh_heatingElectric</v>
      </c>
      <c r="B159" t="s">
        <v>162</v>
      </c>
      <c r="C159" t="s">
        <v>167</v>
      </c>
      <c r="D159" t="s">
        <v>181</v>
      </c>
      <c r="E159" s="114" t="s">
        <v>437</v>
      </c>
      <c r="F159" s="116" t="e">
        <f>((((1/ F148 - 1/ F149) * F150 * (1 - F151)) * F152 * F153) / (F154 * F156)) * F157 * F158</f>
        <v>#DIV/0!</v>
      </c>
      <c r="H159" s="12" t="s">
        <v>454</v>
      </c>
      <c r="I159" t="s">
        <v>455</v>
      </c>
      <c r="J159" s="12" t="b">
        <f t="shared" si="7"/>
        <v>1</v>
      </c>
    </row>
    <row r="160" spans="1:10" s="12" customFormat="1" x14ac:dyDescent="0.25">
      <c r="A160" s="12" t="str">
        <f t="shared" si="6"/>
        <v>Residential_Building Shell_Ceiling/Attic Insulation #2 (Fossil Fuel Heat)_Delta_kWh_heatingElectric_Mid-Life_Adj</v>
      </c>
      <c r="B160" t="s">
        <v>162</v>
      </c>
      <c r="C160" t="s">
        <v>167</v>
      </c>
      <c r="D160" t="s">
        <v>181</v>
      </c>
      <c r="E160" s="114" t="s">
        <v>438</v>
      </c>
      <c r="F160" s="116" t="e">
        <f>((((1/ F148 - 1/ F149) * F150 * (1 - F151)) * F152 * F153) / (F155 * F156)) * F157 * F158</f>
        <v>#DIV/0!</v>
      </c>
      <c r="H160" s="12" t="s">
        <v>454</v>
      </c>
      <c r="I160" t="s">
        <v>455</v>
      </c>
      <c r="J160" s="12" t="b">
        <f t="shared" si="7"/>
        <v>1</v>
      </c>
    </row>
    <row r="161" spans="1:10" s="12" customFormat="1" x14ac:dyDescent="0.25">
      <c r="A161" s="12" t="str">
        <f t="shared" si="6"/>
        <v>Residential_Building Shell_Ceiling/Attic Insulation #2 (Fossil Fuel Heat)_Fe</v>
      </c>
      <c r="B161" t="s">
        <v>162</v>
      </c>
      <c r="C161" t="s">
        <v>167</v>
      </c>
      <c r="D161" t="s">
        <v>181</v>
      </c>
      <c r="E161" s="102" t="s">
        <v>251</v>
      </c>
      <c r="F161" s="105">
        <v>3.1399999999999997E-2</v>
      </c>
      <c r="H161" s="12" t="s">
        <v>454</v>
      </c>
      <c r="I161" t="s">
        <v>455</v>
      </c>
      <c r="J161" s="12" t="b">
        <f t="shared" si="7"/>
        <v>0</v>
      </c>
    </row>
    <row r="162" spans="1:10" s="12" customFormat="1" x14ac:dyDescent="0.25">
      <c r="A162" s="12" t="str">
        <f t="shared" si="6"/>
        <v>Residential_Building Shell_Ceiling/Attic Insulation #2 (Fossil Fuel Heat)_29.3</v>
      </c>
      <c r="B162" t="s">
        <v>162</v>
      </c>
      <c r="C162" t="s">
        <v>167</v>
      </c>
      <c r="D162" t="s">
        <v>181</v>
      </c>
      <c r="E162" s="102">
        <v>29.3</v>
      </c>
      <c r="F162" s="105">
        <v>29.3</v>
      </c>
      <c r="H162" s="12" t="s">
        <v>454</v>
      </c>
      <c r="I162" t="s">
        <v>455</v>
      </c>
      <c r="J162" s="12" t="b">
        <f t="shared" si="7"/>
        <v>0</v>
      </c>
    </row>
    <row r="163" spans="1:10" s="12" customFormat="1" x14ac:dyDescent="0.25">
      <c r="A163" s="12" t="str">
        <f t="shared" si="6"/>
        <v>Residential_Building Shell_Ceiling/Attic Insulation #2 (Fossil Fuel Heat)_ADJAtticHeatFan</v>
      </c>
      <c r="B163" t="s">
        <v>162</v>
      </c>
      <c r="C163" t="s">
        <v>167</v>
      </c>
      <c r="D163" t="s">
        <v>181</v>
      </c>
      <c r="E163" s="102" t="s">
        <v>461</v>
      </c>
      <c r="F163" s="105">
        <v>1.1299999999999999</v>
      </c>
      <c r="H163" s="12" t="s">
        <v>454</v>
      </c>
      <c r="I163" t="s">
        <v>455</v>
      </c>
      <c r="J163" s="12" t="b">
        <f t="shared" si="7"/>
        <v>0</v>
      </c>
    </row>
    <row r="164" spans="1:10" s="12" customFormat="1" x14ac:dyDescent="0.25">
      <c r="A164" s="12" t="str">
        <f t="shared" si="6"/>
        <v>Residential_Building Shell_Ceiling/Attic Insulation #2 (Fossil Fuel Heat)_IENetCorrection</v>
      </c>
      <c r="B164" t="s">
        <v>162</v>
      </c>
      <c r="C164" t="s">
        <v>167</v>
      </c>
      <c r="D164" t="s">
        <v>181</v>
      </c>
      <c r="E164" s="102" t="s">
        <v>429</v>
      </c>
      <c r="F164" s="105">
        <f>IF(Dashboard_EE!$K$17="Yes",110%,100%)</f>
        <v>1.1000000000000001</v>
      </c>
      <c r="H164" s="12" t="s">
        <v>454</v>
      </c>
      <c r="I164" t="s">
        <v>455</v>
      </c>
      <c r="J164" s="12" t="b">
        <f t="shared" si="7"/>
        <v>1</v>
      </c>
    </row>
    <row r="165" spans="1:10" s="12" customFormat="1" x14ac:dyDescent="0.25">
      <c r="A165" s="12" t="str">
        <f t="shared" si="6"/>
        <v>Residential_Building Shell_Ceiling/Attic Insulation #2 (Fossil Fuel Heat)_Delta_kWh_heatingGas</v>
      </c>
      <c r="B165" t="s">
        <v>162</v>
      </c>
      <c r="C165" t="s">
        <v>167</v>
      </c>
      <c r="D165" t="s">
        <v>181</v>
      </c>
      <c r="E165" s="114" t="s">
        <v>440</v>
      </c>
      <c r="F165" s="116" t="e">
        <f xml:space="preserve"> F183 * F161 * F162 * F163 * F164</f>
        <v>#DIV/0!</v>
      </c>
      <c r="H165" s="12" t="s">
        <v>454</v>
      </c>
      <c r="I165" t="s">
        <v>455</v>
      </c>
      <c r="J165" s="12" t="b">
        <f t="shared" si="7"/>
        <v>1</v>
      </c>
    </row>
    <row r="166" spans="1:10" s="12" customFormat="1" x14ac:dyDescent="0.25">
      <c r="A166" s="12" t="str">
        <f t="shared" si="6"/>
        <v>Residential_Building Shell_Ceiling/Attic Insulation #2 (Fossil Fuel Heat)_Delta_kWh_heatingGas_Mid-Life_Adj</v>
      </c>
      <c r="B166" t="s">
        <v>162</v>
      </c>
      <c r="C166" t="s">
        <v>167</v>
      </c>
      <c r="D166" t="s">
        <v>181</v>
      </c>
      <c r="E166" s="114" t="s">
        <v>441</v>
      </c>
      <c r="F166" s="116" t="e">
        <f xml:space="preserve"> F184 * F161 * F162 * F163 * F164</f>
        <v>#DIV/0!</v>
      </c>
      <c r="H166" s="12" t="s">
        <v>454</v>
      </c>
      <c r="I166" t="s">
        <v>455</v>
      </c>
      <c r="J166" s="12" t="b">
        <f t="shared" si="7"/>
        <v>1</v>
      </c>
    </row>
    <row r="167" spans="1:10" s="12" customFormat="1" x14ac:dyDescent="0.25">
      <c r="A167" s="12" t="str">
        <f t="shared" si="6"/>
        <v>Residential_Building Shell_Ceiling/Attic Insulation #2 (Fossil Fuel Heat)_FLH_cooling</v>
      </c>
      <c r="B167" t="s">
        <v>162</v>
      </c>
      <c r="C167" t="s">
        <v>167</v>
      </c>
      <c r="D167" t="s">
        <v>181</v>
      </c>
      <c r="E167" s="102" t="s">
        <v>442</v>
      </c>
      <c r="F167" s="105" t="e">
        <f>INDEX('CZ Inputs'!G:G,MATCH(A167&amp;"_"&amp;Dashboard_EE!$K$3,'CZ Inputs'!A:A,0))</f>
        <v>#N/A</v>
      </c>
      <c r="G167" s="12" t="s">
        <v>422</v>
      </c>
      <c r="H167" s="12" t="s">
        <v>454</v>
      </c>
      <c r="I167" t="s">
        <v>455</v>
      </c>
      <c r="J167" s="12" t="b">
        <f t="shared" si="7"/>
        <v>1</v>
      </c>
    </row>
    <row r="168" spans="1:10" s="12" customFormat="1" x14ac:dyDescent="0.25">
      <c r="A168" s="12" t="str">
        <f t="shared" si="6"/>
        <v>Residential_Building Shell_Ceiling/Attic Insulation #2 (Fossil Fuel Heat)_CF</v>
      </c>
      <c r="B168" t="s">
        <v>162</v>
      </c>
      <c r="C168" t="s">
        <v>167</v>
      </c>
      <c r="D168" t="s">
        <v>181</v>
      </c>
      <c r="E168" s="102" t="s">
        <v>277</v>
      </c>
      <c r="F168" s="105">
        <v>0.68</v>
      </c>
      <c r="G168" s="12" t="s">
        <v>319</v>
      </c>
      <c r="H168" s="12" t="s">
        <v>454</v>
      </c>
      <c r="I168" t="s">
        <v>455</v>
      </c>
      <c r="J168" s="12" t="b">
        <f t="shared" si="7"/>
        <v>0</v>
      </c>
    </row>
    <row r="169" spans="1:10" s="12" customFormat="1" x14ac:dyDescent="0.25">
      <c r="A169" s="12" t="str">
        <f t="shared" si="6"/>
        <v>Residential_Building Shell_Ceiling/Attic Insulation #2 (Fossil Fuel Heat)_Delta_kW</v>
      </c>
      <c r="B169" t="s">
        <v>162</v>
      </c>
      <c r="C169" t="s">
        <v>167</v>
      </c>
      <c r="D169" t="s">
        <v>181</v>
      </c>
      <c r="E169" s="114" t="s">
        <v>279</v>
      </c>
      <c r="F169" s="116" t="e">
        <f>(F146/F167)*F168</f>
        <v>#DIV/0!</v>
      </c>
      <c r="H169" s="12" t="s">
        <v>454</v>
      </c>
      <c r="I169" t="s">
        <v>455</v>
      </c>
      <c r="J169" s="12" t="b">
        <f t="shared" si="7"/>
        <v>1</v>
      </c>
    </row>
    <row r="170" spans="1:10" s="12" customFormat="1" x14ac:dyDescent="0.25">
      <c r="A170" s="12" t="str">
        <f t="shared" si="6"/>
        <v>Residential_Building Shell_Ceiling/Attic Insulation #2 (Fossil Fuel Heat)_Delta_kW_Mid-Life_Adj</v>
      </c>
      <c r="B170" t="s">
        <v>162</v>
      </c>
      <c r="C170" t="s">
        <v>167</v>
      </c>
      <c r="D170" t="s">
        <v>181</v>
      </c>
      <c r="E170" s="114" t="s">
        <v>443</v>
      </c>
      <c r="F170" s="116" t="e">
        <f>(F147/F167)*F168</f>
        <v>#DIV/0!</v>
      </c>
      <c r="H170" s="12" t="s">
        <v>454</v>
      </c>
      <c r="I170" t="s">
        <v>455</v>
      </c>
      <c r="J170" s="12" t="b">
        <f t="shared" si="7"/>
        <v>1</v>
      </c>
    </row>
    <row r="171" spans="1:10" s="12" customFormat="1" x14ac:dyDescent="0.25">
      <c r="A171" s="12" t="str">
        <f t="shared" si="6"/>
        <v>Residential_Building Shell_Ceiling/Attic Insulation #2 (Fossil Fuel Heat)_R_old</v>
      </c>
      <c r="B171" t="s">
        <v>162</v>
      </c>
      <c r="C171" t="s">
        <v>167</v>
      </c>
      <c r="D171" t="s">
        <v>181</v>
      </c>
      <c r="E171" s="102" t="s">
        <v>453</v>
      </c>
      <c r="F171" s="105">
        <f>Dashboard_EE!$O$16</f>
        <v>0</v>
      </c>
      <c r="G171" s="12" t="s">
        <v>240</v>
      </c>
      <c r="H171" s="12" t="s">
        <v>454</v>
      </c>
      <c r="I171" t="s">
        <v>455</v>
      </c>
      <c r="J171" s="12" t="b">
        <f t="shared" si="7"/>
        <v>1</v>
      </c>
    </row>
    <row r="172" spans="1:10" s="12" customFormat="1" x14ac:dyDescent="0.25">
      <c r="A172" s="12" t="str">
        <f t="shared" si="6"/>
        <v>Residential_Building Shell_Ceiling/Attic Insulation #2 (Fossil Fuel Heat)_R_attic</v>
      </c>
      <c r="B172" t="s">
        <v>162</v>
      </c>
      <c r="C172" t="s">
        <v>167</v>
      </c>
      <c r="D172" t="s">
        <v>181</v>
      </c>
      <c r="E172" s="102" t="s">
        <v>456</v>
      </c>
      <c r="F172" s="105">
        <f>Dashboard_EE!$P$16</f>
        <v>0</v>
      </c>
      <c r="G172" s="12" t="s">
        <v>240</v>
      </c>
      <c r="H172" s="12" t="s">
        <v>454</v>
      </c>
      <c r="I172" t="s">
        <v>455</v>
      </c>
      <c r="J172" s="12" t="b">
        <f t="shared" si="7"/>
        <v>1</v>
      </c>
    </row>
    <row r="173" spans="1:10" s="12" customFormat="1" x14ac:dyDescent="0.25">
      <c r="A173" s="12" t="str">
        <f t="shared" si="6"/>
        <v>Residential_Building Shell_Ceiling/Attic Insulation #2 (Fossil Fuel Heat)_A_attic</v>
      </c>
      <c r="B173" t="s">
        <v>162</v>
      </c>
      <c r="C173" t="s">
        <v>167</v>
      </c>
      <c r="D173" t="s">
        <v>181</v>
      </c>
      <c r="E173" s="114" t="s">
        <v>457</v>
      </c>
      <c r="F173" s="116">
        <f>Dashboard_EE!$O$5</f>
        <v>0</v>
      </c>
      <c r="G173" s="12" t="s">
        <v>240</v>
      </c>
      <c r="H173" s="12" t="s">
        <v>454</v>
      </c>
      <c r="I173" t="s">
        <v>455</v>
      </c>
      <c r="J173" s="12" t="b">
        <f t="shared" si="7"/>
        <v>1</v>
      </c>
    </row>
    <row r="174" spans="1:10" s="12" customFormat="1" x14ac:dyDescent="0.25">
      <c r="A174" s="12" t="str">
        <f t="shared" si="6"/>
        <v>Residential_Building Shell_Ceiling/Attic Insulation #2 (Fossil Fuel Heat)_Framing_factor_attic</v>
      </c>
      <c r="B174" t="s">
        <v>162</v>
      </c>
      <c r="C174" t="s">
        <v>167</v>
      </c>
      <c r="D174" t="s">
        <v>181</v>
      </c>
      <c r="E174" s="102" t="s">
        <v>458</v>
      </c>
      <c r="F174" s="105">
        <v>7.0000000000000007E-2</v>
      </c>
      <c r="H174" s="12" t="s">
        <v>454</v>
      </c>
      <c r="I174" t="s">
        <v>455</v>
      </c>
      <c r="J174" s="12" t="b">
        <f t="shared" si="7"/>
        <v>0</v>
      </c>
    </row>
    <row r="175" spans="1:10" s="12" customFormat="1" x14ac:dyDescent="0.25">
      <c r="A175" s="12" t="str">
        <f t="shared" si="6"/>
        <v>Residential_Building Shell_Ceiling/Attic Insulation #2 (Fossil Fuel Heat)_24</v>
      </c>
      <c r="B175" t="s">
        <v>162</v>
      </c>
      <c r="C175" t="s">
        <v>167</v>
      </c>
      <c r="D175" t="s">
        <v>181</v>
      </c>
      <c r="E175" s="102">
        <v>24</v>
      </c>
      <c r="F175" s="105">
        <v>24</v>
      </c>
      <c r="H175" s="12" t="s">
        <v>454</v>
      </c>
      <c r="I175" t="s">
        <v>455</v>
      </c>
      <c r="J175" s="12" t="b">
        <f t="shared" si="7"/>
        <v>0</v>
      </c>
    </row>
    <row r="176" spans="1:10" s="12" customFormat="1" x14ac:dyDescent="0.25">
      <c r="A176" s="12" t="str">
        <f t="shared" si="6"/>
        <v>Residential_Building Shell_Ceiling/Attic Insulation #2 (Fossil Fuel Heat)_HDD</v>
      </c>
      <c r="B176" t="s">
        <v>162</v>
      </c>
      <c r="C176" t="s">
        <v>167</v>
      </c>
      <c r="D176" t="s">
        <v>181</v>
      </c>
      <c r="E176" s="102" t="s">
        <v>433</v>
      </c>
      <c r="F176" s="105" t="e">
        <f>INDEX('CZ Inputs'!G:G,MATCH(A176&amp;"_"&amp;Dashboard_EE!$K$3,'CZ Inputs'!A:A,0))</f>
        <v>#N/A</v>
      </c>
      <c r="G176" s="12" t="s">
        <v>422</v>
      </c>
      <c r="H176" s="12" t="s">
        <v>454</v>
      </c>
      <c r="I176" t="s">
        <v>455</v>
      </c>
      <c r="J176" s="12" t="b">
        <f t="shared" si="7"/>
        <v>1</v>
      </c>
    </row>
    <row r="177" spans="1:10" s="12" customFormat="1" x14ac:dyDescent="0.25">
      <c r="A177" s="12" t="str">
        <f t="shared" si="6"/>
        <v>Residential_Building Shell_Ceiling/Attic Insulation #2 (Fossil Fuel Heat)_ηHeat</v>
      </c>
      <c r="B177" t="s">
        <v>162</v>
      </c>
      <c r="C177" t="s">
        <v>167</v>
      </c>
      <c r="D177" t="s">
        <v>181</v>
      </c>
      <c r="E177" s="114" t="s">
        <v>434</v>
      </c>
      <c r="F177" s="116">
        <f>Dashboard_EE!$K$8</f>
        <v>0</v>
      </c>
      <c r="G177" s="12" t="s">
        <v>240</v>
      </c>
      <c r="H177" s="12" t="s">
        <v>454</v>
      </c>
      <c r="I177" t="s">
        <v>455</v>
      </c>
      <c r="J177" s="12" t="b">
        <f t="shared" si="7"/>
        <v>1</v>
      </c>
    </row>
    <row r="178" spans="1:10" s="12" customFormat="1" x14ac:dyDescent="0.25">
      <c r="A178" s="12" t="str">
        <f t="shared" si="6"/>
        <v>Residential_Building Shell_Ceiling/Attic Insulation #2 (Fossil Fuel Heat)_ηHeat_Mid-Life_Adj</v>
      </c>
      <c r="B178" t="s">
        <v>162</v>
      </c>
      <c r="C178" t="s">
        <v>167</v>
      </c>
      <c r="D178" t="s">
        <v>181</v>
      </c>
      <c r="E178" s="114" t="s">
        <v>435</v>
      </c>
      <c r="F178" s="116">
        <f>Dashboard_EE!$K$8</f>
        <v>0</v>
      </c>
      <c r="G178" s="12" t="s">
        <v>240</v>
      </c>
      <c r="H178" s="12" t="s">
        <v>454</v>
      </c>
      <c r="I178" t="s">
        <v>455</v>
      </c>
      <c r="J178" s="12" t="b">
        <f t="shared" si="7"/>
        <v>1</v>
      </c>
    </row>
    <row r="179" spans="1:10" s="12" customFormat="1" x14ac:dyDescent="0.25">
      <c r="A179" s="12" t="str">
        <f t="shared" si="6"/>
        <v>Residential_Building Shell_Ceiling/Attic Insulation #2 (Fossil Fuel Heat)_100000</v>
      </c>
      <c r="B179" t="s">
        <v>162</v>
      </c>
      <c r="C179" t="s">
        <v>167</v>
      </c>
      <c r="D179" t="s">
        <v>181</v>
      </c>
      <c r="E179" s="102">
        <v>100000</v>
      </c>
      <c r="F179" s="105">
        <v>100000</v>
      </c>
      <c r="H179" s="12" t="s">
        <v>454</v>
      </c>
      <c r="I179" t="s">
        <v>455</v>
      </c>
      <c r="J179" s="12" t="b">
        <f t="shared" si="7"/>
        <v>0</v>
      </c>
    </row>
    <row r="180" spans="1:10" s="12" customFormat="1" x14ac:dyDescent="0.25">
      <c r="A180" s="12" t="str">
        <f t="shared" si="6"/>
        <v>Residential_Building Shell_Ceiling/Attic Insulation #2 (Fossil Fuel Heat)_ADJAtticGasHeat</v>
      </c>
      <c r="B180" t="s">
        <v>162</v>
      </c>
      <c r="C180" t="s">
        <v>167</v>
      </c>
      <c r="D180" t="s">
        <v>181</v>
      </c>
      <c r="E180" s="102" t="s">
        <v>462</v>
      </c>
      <c r="F180" s="105">
        <v>0.76</v>
      </c>
      <c r="H180" s="12" t="s">
        <v>454</v>
      </c>
      <c r="I180" t="s">
        <v>455</v>
      </c>
      <c r="J180" s="12" t="b">
        <f t="shared" si="7"/>
        <v>0</v>
      </c>
    </row>
    <row r="181" spans="1:10" s="12" customFormat="1" x14ac:dyDescent="0.25">
      <c r="A181" s="12" t="str">
        <f t="shared" si="6"/>
        <v>Residential_Building Shell_Ceiling/Attic Insulation #2 (Fossil Fuel Heat)_IENetCorrection</v>
      </c>
      <c r="B181" t="s">
        <v>162</v>
      </c>
      <c r="C181" t="s">
        <v>167</v>
      </c>
      <c r="D181" t="s">
        <v>181</v>
      </c>
      <c r="E181" s="102" t="s">
        <v>429</v>
      </c>
      <c r="F181" s="105">
        <f>IF(Dashboard_EE!$K$17="Yes",110%,100%)</f>
        <v>1.1000000000000001</v>
      </c>
      <c r="H181" s="12" t="s">
        <v>454</v>
      </c>
      <c r="I181" t="s">
        <v>455</v>
      </c>
      <c r="J181" s="12" t="b">
        <f t="shared" si="7"/>
        <v>1</v>
      </c>
    </row>
    <row r="182" spans="1:10" s="12" customFormat="1" x14ac:dyDescent="0.25">
      <c r="A182" s="12" t="str">
        <f t="shared" si="6"/>
        <v>Residential_Building Shell_Ceiling/Attic Insulation #2 (Fossil Fuel Heat)_%GasHeat</v>
      </c>
      <c r="B182" t="s">
        <v>162</v>
      </c>
      <c r="C182" t="s">
        <v>167</v>
      </c>
      <c r="D182" t="s">
        <v>181</v>
      </c>
      <c r="E182" s="102" t="s">
        <v>463</v>
      </c>
      <c r="F182" s="105">
        <v>1</v>
      </c>
      <c r="G182" s="12" t="s">
        <v>533</v>
      </c>
      <c r="H182" s="12" t="s">
        <v>454</v>
      </c>
      <c r="I182" t="s">
        <v>455</v>
      </c>
      <c r="J182" s="12" t="b">
        <f t="shared" si="7"/>
        <v>0</v>
      </c>
    </row>
    <row r="183" spans="1:10" s="12" customFormat="1" x14ac:dyDescent="0.25">
      <c r="A183" s="12" t="str">
        <f t="shared" si="6"/>
        <v>Residential_Building Shell_Ceiling/Attic Insulation #2 (Fossil Fuel Heat)_Delta_therms</v>
      </c>
      <c r="B183" t="s">
        <v>162</v>
      </c>
      <c r="C183" t="s">
        <v>167</v>
      </c>
      <c r="D183" t="s">
        <v>181</v>
      </c>
      <c r="E183" s="114" t="s">
        <v>445</v>
      </c>
      <c r="F183" s="116" t="e">
        <f xml:space="preserve"> ((((1/ F171 - 1/ F172) * F173 * (1 - F174)) * F175 * F176) / (F177 * F179)) * F180 * F181 * F182</f>
        <v>#DIV/0!</v>
      </c>
      <c r="H183" s="12" t="s">
        <v>454</v>
      </c>
      <c r="I183" t="s">
        <v>455</v>
      </c>
      <c r="J183" s="12" t="b">
        <f t="shared" si="7"/>
        <v>1</v>
      </c>
    </row>
    <row r="184" spans="1:10" s="12" customFormat="1" x14ac:dyDescent="0.25">
      <c r="A184" s="12" t="str">
        <f t="shared" si="6"/>
        <v>Residential_Building Shell_Ceiling/Attic Insulation #2 (Fossil Fuel Heat)_Delta_therms_Mid-Life_Adj</v>
      </c>
      <c r="B184" t="s">
        <v>162</v>
      </c>
      <c r="C184" t="s">
        <v>167</v>
      </c>
      <c r="D184" t="s">
        <v>181</v>
      </c>
      <c r="E184" s="114" t="s">
        <v>446</v>
      </c>
      <c r="F184" s="116" t="e">
        <f xml:space="preserve"> ((((1/ F171 - 1/ F172) * F173 * (1 - F174)) * F175 * F176) / (F178 * F179)) * F180 * F181 * F182</f>
        <v>#DIV/0!</v>
      </c>
      <c r="H184" s="12" t="s">
        <v>454</v>
      </c>
      <c r="I184" t="s">
        <v>455</v>
      </c>
      <c r="J184" s="12" t="b">
        <f t="shared" si="7"/>
        <v>1</v>
      </c>
    </row>
    <row r="185" spans="1:10" s="12" customFormat="1" x14ac:dyDescent="0.25">
      <c r="A185" s="12" t="str">
        <f t="shared" si="6"/>
        <v>Residential_Building Shell_Ceiling/Attic Insulation #2 (Fossil Fuel Heat)_Remaining Year kWh</v>
      </c>
      <c r="B185" t="s">
        <v>162</v>
      </c>
      <c r="C185" t="s">
        <v>167</v>
      </c>
      <c r="D185" t="s">
        <v>181</v>
      </c>
      <c r="E185" s="111" t="s">
        <v>447</v>
      </c>
      <c r="F185" s="101" t="e">
        <f>F146+F159+F165</f>
        <v>#DIV/0!</v>
      </c>
      <c r="H185" s="12" t="s">
        <v>454</v>
      </c>
      <c r="I185" t="s">
        <v>455</v>
      </c>
      <c r="J185" s="12" t="b">
        <f t="shared" si="7"/>
        <v>1</v>
      </c>
    </row>
    <row r="186" spans="1:10" s="12" customFormat="1" x14ac:dyDescent="0.25">
      <c r="A186" s="12" t="str">
        <f t="shared" si="6"/>
        <v>Residential_Building Shell_Ceiling/Attic Insulation #2 (Fossil Fuel Heat)_kWh Saved per Unit</v>
      </c>
      <c r="B186" t="s">
        <v>162</v>
      </c>
      <c r="C186" t="s">
        <v>167</v>
      </c>
      <c r="D186" t="s">
        <v>181</v>
      </c>
      <c r="E186" s="111" t="s">
        <v>280</v>
      </c>
      <c r="F186" s="101" t="e">
        <f>F147+F160+F166</f>
        <v>#DIV/0!</v>
      </c>
      <c r="H186" s="12" t="s">
        <v>454</v>
      </c>
      <c r="I186" t="s">
        <v>455</v>
      </c>
      <c r="J186" s="12" t="b">
        <f t="shared" si="7"/>
        <v>1</v>
      </c>
    </row>
    <row r="187" spans="1:10" s="12" customFormat="1" x14ac:dyDescent="0.25">
      <c r="A187" s="12" t="str">
        <f t="shared" si="6"/>
        <v>Residential_Building Shell_Ceiling/Attic Insulation #2 (Fossil Fuel Heat)_Remaining Year kW</v>
      </c>
      <c r="B187" t="s">
        <v>162</v>
      </c>
      <c r="C187" t="s">
        <v>167</v>
      </c>
      <c r="D187" t="s">
        <v>181</v>
      </c>
      <c r="E187" s="111" t="s">
        <v>448</v>
      </c>
      <c r="F187" s="101" t="e">
        <f>F169</f>
        <v>#DIV/0!</v>
      </c>
      <c r="H187" s="12" t="s">
        <v>454</v>
      </c>
      <c r="I187" t="s">
        <v>455</v>
      </c>
      <c r="J187" s="12" t="b">
        <f t="shared" si="7"/>
        <v>1</v>
      </c>
    </row>
    <row r="188" spans="1:10" s="12" customFormat="1" x14ac:dyDescent="0.25">
      <c r="A188" s="12" t="str">
        <f t="shared" si="6"/>
        <v>Residential_Building Shell_Ceiling/Attic Insulation #2 (Fossil Fuel Heat)_Coincident Peak kW Saved per Unit</v>
      </c>
      <c r="B188" t="s">
        <v>162</v>
      </c>
      <c r="C188" t="s">
        <v>167</v>
      </c>
      <c r="D188" t="s">
        <v>181</v>
      </c>
      <c r="E188" s="111" t="s">
        <v>281</v>
      </c>
      <c r="F188" s="101" t="e">
        <f>F170</f>
        <v>#DIV/0!</v>
      </c>
      <c r="H188" s="12" t="s">
        <v>454</v>
      </c>
      <c r="I188" t="s">
        <v>455</v>
      </c>
      <c r="J188" s="12" t="b">
        <f t="shared" si="7"/>
        <v>1</v>
      </c>
    </row>
    <row r="189" spans="1:10" s="12" customFormat="1" x14ac:dyDescent="0.25">
      <c r="A189" s="12" t="str">
        <f t="shared" si="6"/>
        <v>Residential_Building Shell_Ceiling/Attic Insulation #2 (Fossil Fuel Heat)_Remaining Year Therms</v>
      </c>
      <c r="B189" t="s">
        <v>162</v>
      </c>
      <c r="C189" t="s">
        <v>167</v>
      </c>
      <c r="D189" t="s">
        <v>181</v>
      </c>
      <c r="E189" s="111" t="s">
        <v>449</v>
      </c>
      <c r="F189" s="101" t="e">
        <f>F183</f>
        <v>#DIV/0!</v>
      </c>
      <c r="G189" s="12" t="s">
        <v>533</v>
      </c>
      <c r="H189" s="12" t="s">
        <v>454</v>
      </c>
      <c r="I189" t="s">
        <v>455</v>
      </c>
      <c r="J189" s="12" t="b">
        <f t="shared" si="7"/>
        <v>1</v>
      </c>
    </row>
    <row r="190" spans="1:10" s="12" customFormat="1" x14ac:dyDescent="0.25">
      <c r="A190" s="12" t="str">
        <f t="shared" si="6"/>
        <v>Residential_Building Shell_Ceiling/Attic Insulation #2 (Fossil Fuel Heat)_Therms Saved per Unit</v>
      </c>
      <c r="B190" t="s">
        <v>162</v>
      </c>
      <c r="C190" t="s">
        <v>167</v>
      </c>
      <c r="D190" t="s">
        <v>181</v>
      </c>
      <c r="E190" s="111" t="s">
        <v>376</v>
      </c>
      <c r="F190" s="101" t="e">
        <f>F184</f>
        <v>#DIV/0!</v>
      </c>
      <c r="G190" s="12" t="s">
        <v>533</v>
      </c>
      <c r="H190" s="12" t="s">
        <v>454</v>
      </c>
      <c r="I190" t="s">
        <v>455</v>
      </c>
      <c r="J190" s="12" t="b">
        <f t="shared" si="7"/>
        <v>1</v>
      </c>
    </row>
    <row r="191" spans="1:10" s="12" customFormat="1" x14ac:dyDescent="0.25">
      <c r="A191" s="12" t="str">
        <f t="shared" si="6"/>
        <v>Residential_Building Shell_Ceiling/Attic Insulation #2 (Fossil Fuel Heat)_Remaining Life</v>
      </c>
      <c r="B191" t="s">
        <v>162</v>
      </c>
      <c r="C191" t="s">
        <v>167</v>
      </c>
      <c r="D191" t="s">
        <v>181</v>
      </c>
      <c r="E191" s="111" t="s">
        <v>450</v>
      </c>
      <c r="F191" s="101">
        <v>10</v>
      </c>
      <c r="H191" s="12" t="s">
        <v>454</v>
      </c>
      <c r="I191" t="s">
        <v>455</v>
      </c>
      <c r="J191" s="12" t="b">
        <f t="shared" si="7"/>
        <v>0</v>
      </c>
    </row>
    <row r="192" spans="1:10" s="12" customFormat="1" x14ac:dyDescent="0.25">
      <c r="A192" s="12" t="str">
        <f t="shared" si="6"/>
        <v>Residential_Building Shell_Ceiling/Attic Insulation #2 (Fossil Fuel Heat)_Lifetime (years)</v>
      </c>
      <c r="B192" t="s">
        <v>162</v>
      </c>
      <c r="C192" t="s">
        <v>167</v>
      </c>
      <c r="D192" t="s">
        <v>181</v>
      </c>
      <c r="E192" s="111" t="s">
        <v>284</v>
      </c>
      <c r="F192" s="101">
        <v>30</v>
      </c>
      <c r="H192" s="12" t="s">
        <v>454</v>
      </c>
      <c r="I192" t="s">
        <v>455</v>
      </c>
      <c r="J192" s="12" t="b">
        <f t="shared" si="7"/>
        <v>0</v>
      </c>
    </row>
    <row r="193" spans="1:10" s="12" customFormat="1" x14ac:dyDescent="0.25">
      <c r="A193" s="12" t="str">
        <f t="shared" si="6"/>
        <v>Residential_Building Shell_Ceiling/Attic Insulation #2 (Fossil Fuel Heat)_Incremental Cost</v>
      </c>
      <c r="B193" t="s">
        <v>162</v>
      </c>
      <c r="C193" t="s">
        <v>167</v>
      </c>
      <c r="D193" t="s">
        <v>181</v>
      </c>
      <c r="E193" s="111" t="s">
        <v>285</v>
      </c>
      <c r="F193" s="100">
        <f>0.75*F135</f>
        <v>0</v>
      </c>
      <c r="G193" s="12" t="s">
        <v>451</v>
      </c>
      <c r="H193" s="12" t="s">
        <v>454</v>
      </c>
      <c r="I193" t="s">
        <v>455</v>
      </c>
      <c r="J193" s="12" t="b">
        <f t="shared" si="7"/>
        <v>1</v>
      </c>
    </row>
    <row r="194" spans="1:10" s="12" customFormat="1" x14ac:dyDescent="0.25">
      <c r="A194" s="12" t="str">
        <f t="shared" si="6"/>
        <v>Residential_Building Shell_Ceiling/Attic Insulation #2 (Fossil Fuel Heat)_BTU Impact_New_Fossil Fuel</v>
      </c>
      <c r="B194" t="s">
        <v>162</v>
      </c>
      <c r="C194" t="s">
        <v>167</v>
      </c>
      <c r="D194" t="s">
        <v>181</v>
      </c>
      <c r="E194" s="111" t="s">
        <v>290</v>
      </c>
      <c r="F194" s="99" t="e">
        <f>-F183*100000</f>
        <v>#DIV/0!</v>
      </c>
      <c r="H194" s="12" t="s">
        <v>454</v>
      </c>
      <c r="I194" t="s">
        <v>455</v>
      </c>
      <c r="J194" s="12" t="b">
        <f t="shared" si="7"/>
        <v>1</v>
      </c>
    </row>
    <row r="195" spans="1:10" s="12" customFormat="1" x14ac:dyDescent="0.25">
      <c r="A195" s="12" t="str">
        <f t="shared" ref="A195:A258" si="8">B195&amp;"_"&amp;C195&amp;"_"&amp;D195&amp;"_"&amp;E195</f>
        <v>Residential_Building Shell_Ceiling/Attic Insulation #2 (Fossil Fuel Heat)_BTU Impact_New_Winter Electricity</v>
      </c>
      <c r="B195" t="s">
        <v>162</v>
      </c>
      <c r="C195" t="s">
        <v>167</v>
      </c>
      <c r="D195" t="s">
        <v>181</v>
      </c>
      <c r="E195" s="111" t="s">
        <v>291</v>
      </c>
      <c r="F195" s="99" t="e">
        <f>-F165*3412</f>
        <v>#DIV/0!</v>
      </c>
      <c r="H195" s="12" t="s">
        <v>454</v>
      </c>
      <c r="I195" t="s">
        <v>455</v>
      </c>
      <c r="J195" s="12" t="b">
        <f t="shared" si="7"/>
        <v>1</v>
      </c>
    </row>
    <row r="196" spans="1:10" s="12" customFormat="1" x14ac:dyDescent="0.25">
      <c r="A196" s="12" t="str">
        <f t="shared" si="8"/>
        <v>Residential_Building Shell_Ceiling/Attic Insulation #2 (Fossil Fuel Heat)_BTU Impact_New_Summer Electricity</v>
      </c>
      <c r="B196" t="s">
        <v>162</v>
      </c>
      <c r="C196" t="s">
        <v>167</v>
      </c>
      <c r="D196" t="s">
        <v>181</v>
      </c>
      <c r="E196" s="111" t="s">
        <v>292</v>
      </c>
      <c r="F196" s="99" t="e">
        <f>-F146*3412</f>
        <v>#DIV/0!</v>
      </c>
      <c r="H196" s="12" t="s">
        <v>454</v>
      </c>
      <c r="I196" t="s">
        <v>455</v>
      </c>
      <c r="J196" s="12" t="b">
        <f t="shared" si="7"/>
        <v>1</v>
      </c>
    </row>
    <row r="197" spans="1:10" s="12" customFormat="1" x14ac:dyDescent="0.25">
      <c r="A197" s="12" t="str">
        <f t="shared" si="8"/>
        <v>Residential_Building Shell_Ceiling/Attic Insulation #2 (Fossil Fuel Heat)_</v>
      </c>
      <c r="B197" t="s">
        <v>162</v>
      </c>
      <c r="C197" t="s">
        <v>167</v>
      </c>
      <c r="D197" t="s">
        <v>181</v>
      </c>
      <c r="E197" s="112"/>
      <c r="F197"/>
      <c r="H197" s="12" t="s">
        <v>454</v>
      </c>
      <c r="I197" t="s">
        <v>455</v>
      </c>
      <c r="J197" s="12" t="b">
        <f t="shared" si="7"/>
        <v>0</v>
      </c>
    </row>
    <row r="198" spans="1:10" s="12" customFormat="1" x14ac:dyDescent="0.25">
      <c r="A198" s="12" t="str">
        <f t="shared" si="8"/>
        <v>Residential_Building Shell_Attic Kneewall Insulation #1 (Fossil Fuel Heat)_R_old</v>
      </c>
      <c r="B198" t="s">
        <v>162</v>
      </c>
      <c r="C198" t="s">
        <v>167</v>
      </c>
      <c r="D198" t="s">
        <v>182</v>
      </c>
      <c r="E198" s="114" t="s">
        <v>453</v>
      </c>
      <c r="F198" s="116">
        <f>Dashboard_EE!$O$17</f>
        <v>1</v>
      </c>
      <c r="G198" s="12" t="s">
        <v>240</v>
      </c>
      <c r="H198" s="12" t="s">
        <v>466</v>
      </c>
      <c r="I198" s="12" t="s">
        <v>467</v>
      </c>
      <c r="J198" s="12" t="b">
        <f t="shared" si="7"/>
        <v>1</v>
      </c>
    </row>
    <row r="199" spans="1:10" s="12" customFormat="1" x14ac:dyDescent="0.25">
      <c r="A199" s="12" t="str">
        <f t="shared" si="8"/>
        <v>Residential_Building Shell_Attic Kneewall Insulation #1 (Fossil Fuel Heat)_R_wall</v>
      </c>
      <c r="B199" t="s">
        <v>162</v>
      </c>
      <c r="C199" t="s">
        <v>167</v>
      </c>
      <c r="D199" t="s">
        <v>182</v>
      </c>
      <c r="E199" s="114" t="s">
        <v>468</v>
      </c>
      <c r="F199" s="116">
        <f>Dashboard_EE!$P$17</f>
        <v>0</v>
      </c>
      <c r="G199" s="12" t="s">
        <v>240</v>
      </c>
      <c r="H199" s="12" t="s">
        <v>466</v>
      </c>
      <c r="I199" s="12" t="s">
        <v>467</v>
      </c>
      <c r="J199" s="12" t="b">
        <f t="shared" si="7"/>
        <v>1</v>
      </c>
    </row>
    <row r="200" spans="1:10" s="12" customFormat="1" x14ac:dyDescent="0.25">
      <c r="A200" s="12" t="str">
        <f t="shared" si="8"/>
        <v>Residential_Building Shell_Attic Kneewall Insulation #1 (Fossil Fuel Heat)_A_wall</v>
      </c>
      <c r="B200" t="s">
        <v>162</v>
      </c>
      <c r="C200" t="s">
        <v>167</v>
      </c>
      <c r="D200" t="s">
        <v>182</v>
      </c>
      <c r="E200" s="114" t="s">
        <v>469</v>
      </c>
      <c r="F200" s="116">
        <f>Dashboard_EE!$O$6</f>
        <v>0</v>
      </c>
      <c r="G200" s="12" t="s">
        <v>240</v>
      </c>
      <c r="H200" s="12" t="s">
        <v>466</v>
      </c>
      <c r="I200" s="12" t="s">
        <v>467</v>
      </c>
      <c r="J200" s="12" t="b">
        <f t="shared" si="7"/>
        <v>1</v>
      </c>
    </row>
    <row r="201" spans="1:10" s="12" customFormat="1" x14ac:dyDescent="0.25">
      <c r="A201" s="12" t="str">
        <f t="shared" si="8"/>
        <v>Residential_Building Shell_Attic Kneewall Insulation #1 (Fossil Fuel Heat)_Framing_factor_wall</v>
      </c>
      <c r="B201" t="s">
        <v>162</v>
      </c>
      <c r="C201" t="s">
        <v>167</v>
      </c>
      <c r="D201" t="s">
        <v>182</v>
      </c>
      <c r="E201" s="102" t="s">
        <v>470</v>
      </c>
      <c r="F201" s="105">
        <v>0.25</v>
      </c>
      <c r="H201" s="12" t="s">
        <v>466</v>
      </c>
      <c r="I201" s="12" t="s">
        <v>467</v>
      </c>
      <c r="J201" s="12" t="b">
        <f t="shared" si="7"/>
        <v>0</v>
      </c>
    </row>
    <row r="202" spans="1:10" s="12" customFormat="1" x14ac:dyDescent="0.25">
      <c r="A202" s="12" t="str">
        <f t="shared" si="8"/>
        <v>Residential_Building Shell_Attic Kneewall Insulation #1 (Fossil Fuel Heat)_24</v>
      </c>
      <c r="B202" t="s">
        <v>162</v>
      </c>
      <c r="C202" t="s">
        <v>167</v>
      </c>
      <c r="D202" t="s">
        <v>182</v>
      </c>
      <c r="E202" s="102">
        <v>24</v>
      </c>
      <c r="F202" s="105">
        <v>24</v>
      </c>
      <c r="H202" s="12" t="s">
        <v>466</v>
      </c>
      <c r="I202" s="12" t="s">
        <v>467</v>
      </c>
      <c r="J202" s="12" t="b">
        <f t="shared" si="7"/>
        <v>0</v>
      </c>
    </row>
    <row r="203" spans="1:10" s="12" customFormat="1" x14ac:dyDescent="0.25">
      <c r="A203" s="12" t="str">
        <f t="shared" si="8"/>
        <v>Residential_Building Shell_Attic Kneewall Insulation #1 (Fossil Fuel Heat)_CDD</v>
      </c>
      <c r="B203" t="s">
        <v>162</v>
      </c>
      <c r="C203" t="s">
        <v>167</v>
      </c>
      <c r="D203" t="s">
        <v>182</v>
      </c>
      <c r="E203" s="102" t="s">
        <v>421</v>
      </c>
      <c r="F203" s="105" t="e">
        <f>INDEX('CZ Inputs'!G:G,MATCH(A203&amp;"_"&amp;Dashboard_EE!$K$3,'CZ Inputs'!A:A,0))</f>
        <v>#N/A</v>
      </c>
      <c r="G203" s="12" t="s">
        <v>422</v>
      </c>
      <c r="H203" s="12" t="s">
        <v>466</v>
      </c>
      <c r="I203" s="12" t="s">
        <v>467</v>
      </c>
      <c r="J203" s="12" t="b">
        <f t="shared" si="7"/>
        <v>1</v>
      </c>
    </row>
    <row r="204" spans="1:10" s="12" customFormat="1" x14ac:dyDescent="0.25">
      <c r="A204" s="12" t="str">
        <f t="shared" si="8"/>
        <v>Residential_Building Shell_Attic Kneewall Insulation #1 (Fossil Fuel Heat)_DUA</v>
      </c>
      <c r="B204" t="s">
        <v>162</v>
      </c>
      <c r="C204" t="s">
        <v>167</v>
      </c>
      <c r="D204" t="s">
        <v>182</v>
      </c>
      <c r="E204" s="102" t="s">
        <v>423</v>
      </c>
      <c r="F204" s="105">
        <v>0.75</v>
      </c>
      <c r="H204" s="12" t="s">
        <v>466</v>
      </c>
      <c r="I204" s="12" t="s">
        <v>467</v>
      </c>
      <c r="J204" s="12" t="b">
        <f t="shared" si="7"/>
        <v>0</v>
      </c>
    </row>
    <row r="205" spans="1:10" s="12" customFormat="1" x14ac:dyDescent="0.25">
      <c r="A205" s="12" t="str">
        <f t="shared" si="8"/>
        <v>Residential_Building Shell_Attic Kneewall Insulation #1 (Fossil Fuel Heat)_1000</v>
      </c>
      <c r="B205" t="s">
        <v>162</v>
      </c>
      <c r="C205" t="s">
        <v>167</v>
      </c>
      <c r="D205" t="s">
        <v>182</v>
      </c>
      <c r="E205" s="102">
        <v>1000</v>
      </c>
      <c r="F205" s="105">
        <v>1000</v>
      </c>
      <c r="H205" s="12" t="s">
        <v>466</v>
      </c>
      <c r="I205" s="12" t="s">
        <v>467</v>
      </c>
      <c r="J205" s="12" t="b">
        <f t="shared" si="7"/>
        <v>0</v>
      </c>
    </row>
    <row r="206" spans="1:10" s="12" customFormat="1" x14ac:dyDescent="0.25">
      <c r="A206" s="12" t="str">
        <f t="shared" si="8"/>
        <v>Residential_Building Shell_Attic Kneewall Insulation #1 (Fossil Fuel Heat)_ηCool</v>
      </c>
      <c r="B206" t="s">
        <v>162</v>
      </c>
      <c r="C206" t="s">
        <v>167</v>
      </c>
      <c r="D206" t="s">
        <v>182</v>
      </c>
      <c r="E206" s="114" t="s">
        <v>424</v>
      </c>
      <c r="F206" s="116">
        <f>Dashboard_EE!$K$13</f>
        <v>0</v>
      </c>
      <c r="G206" s="12" t="s">
        <v>240</v>
      </c>
      <c r="H206" s="12" t="s">
        <v>466</v>
      </c>
      <c r="I206" s="12" t="s">
        <v>467</v>
      </c>
      <c r="J206" s="12" t="b">
        <f t="shared" si="7"/>
        <v>1</v>
      </c>
    </row>
    <row r="207" spans="1:10" s="12" customFormat="1" x14ac:dyDescent="0.25">
      <c r="A207" s="12" t="str">
        <f t="shared" si="8"/>
        <v>Residential_Building Shell_Attic Kneewall Insulation #1 (Fossil Fuel Heat)_ηCool_Mid-Life_Adj</v>
      </c>
      <c r="B207" t="s">
        <v>162</v>
      </c>
      <c r="C207" t="s">
        <v>167</v>
      </c>
      <c r="D207" t="s">
        <v>182</v>
      </c>
      <c r="E207" s="114" t="s">
        <v>425</v>
      </c>
      <c r="F207" s="116">
        <f>Dashboard_EE!$K$13</f>
        <v>0</v>
      </c>
      <c r="G207" s="12" t="s">
        <v>240</v>
      </c>
      <c r="H207" s="12" t="s">
        <v>466</v>
      </c>
      <c r="I207" s="12" t="s">
        <v>467</v>
      </c>
      <c r="J207" s="12" t="b">
        <f t="shared" si="7"/>
        <v>1</v>
      </c>
    </row>
    <row r="208" spans="1:10" s="12" customFormat="1" x14ac:dyDescent="0.25">
      <c r="A208" s="12" t="str">
        <f t="shared" si="8"/>
        <v>Residential_Building Shell_Attic Kneewall Insulation #1 (Fossil Fuel Heat)_ADJWallCool</v>
      </c>
      <c r="B208" t="s">
        <v>162</v>
      </c>
      <c r="C208" t="s">
        <v>167</v>
      </c>
      <c r="D208" t="s">
        <v>182</v>
      </c>
      <c r="E208" s="102" t="s">
        <v>471</v>
      </c>
      <c r="F208" s="105">
        <v>0.75</v>
      </c>
      <c r="H208" s="12" t="s">
        <v>466</v>
      </c>
      <c r="I208" s="12" t="s">
        <v>467</v>
      </c>
      <c r="J208" s="12" t="b">
        <f t="shared" si="7"/>
        <v>0</v>
      </c>
    </row>
    <row r="209" spans="1:10" s="12" customFormat="1" x14ac:dyDescent="0.25">
      <c r="A209" s="12" t="str">
        <f t="shared" si="8"/>
        <v>Residential_Building Shell_Attic Kneewall Insulation #1 (Fossil Fuel Heat)_%Cool</v>
      </c>
      <c r="B209" t="s">
        <v>162</v>
      </c>
      <c r="C209" t="s">
        <v>167</v>
      </c>
      <c r="D209" t="s">
        <v>182</v>
      </c>
      <c r="E209" s="114" t="s">
        <v>397</v>
      </c>
      <c r="F209" s="116">
        <f>IF(Dashboard_EE!$K$14="Yes",1,0)</f>
        <v>0</v>
      </c>
      <c r="G209" s="12" t="s">
        <v>344</v>
      </c>
      <c r="H209" s="12" t="s">
        <v>466</v>
      </c>
      <c r="I209" s="12" t="s">
        <v>467</v>
      </c>
      <c r="J209" s="12" t="b">
        <f t="shared" si="7"/>
        <v>1</v>
      </c>
    </row>
    <row r="210" spans="1:10" s="12" customFormat="1" x14ac:dyDescent="0.25">
      <c r="A210" s="12" t="str">
        <f t="shared" si="8"/>
        <v>Residential_Building Shell_Attic Kneewall Insulation #1 (Fossil Fuel Heat)_Delta_kWh_cooling</v>
      </c>
      <c r="B210" t="s">
        <v>162</v>
      </c>
      <c r="C210" t="s">
        <v>167</v>
      </c>
      <c r="D210" t="s">
        <v>182</v>
      </c>
      <c r="E210" s="114" t="s">
        <v>430</v>
      </c>
      <c r="F210" s="116" t="e">
        <f xml:space="preserve"> ((((1/ F198 - 1/ F199) * F200 * (1 - F201)) * F202 * F203 * F204) / (F205 * F206)) * F208 * F209</f>
        <v>#DIV/0!</v>
      </c>
      <c r="H210" s="12" t="s">
        <v>466</v>
      </c>
      <c r="I210" s="12" t="s">
        <v>467</v>
      </c>
      <c r="J210" s="12" t="b">
        <f t="shared" si="7"/>
        <v>1</v>
      </c>
    </row>
    <row r="211" spans="1:10" s="12" customFormat="1" x14ac:dyDescent="0.25">
      <c r="A211" s="12" t="str">
        <f t="shared" si="8"/>
        <v>Residential_Building Shell_Attic Kneewall Insulation #1 (Fossil Fuel Heat)_Delta_kWh_cooling_Mid-Life_Adj</v>
      </c>
      <c r="B211" t="s">
        <v>162</v>
      </c>
      <c r="C211" t="s">
        <v>167</v>
      </c>
      <c r="D211" t="s">
        <v>182</v>
      </c>
      <c r="E211" s="114" t="s">
        <v>431</v>
      </c>
      <c r="F211" s="116" t="e">
        <f xml:space="preserve"> ((((1/ F198 - 1/ F199) * F200 * (1 - F201)) * F202 * F203 * F204) / (F205 * F207)) * F208 * F209</f>
        <v>#DIV/0!</v>
      </c>
      <c r="H211" s="12" t="s">
        <v>466</v>
      </c>
      <c r="I211" s="12" t="s">
        <v>467</v>
      </c>
      <c r="J211" s="12" t="b">
        <f t="shared" si="7"/>
        <v>1</v>
      </c>
    </row>
    <row r="212" spans="1:10" s="12" customFormat="1" x14ac:dyDescent="0.25">
      <c r="A212" s="12" t="str">
        <f t="shared" si="8"/>
        <v>Residential_Building Shell_Attic Kneewall Insulation #1 (Fossil Fuel Heat)_R_old</v>
      </c>
      <c r="B212" t="s">
        <v>162</v>
      </c>
      <c r="C212" t="s">
        <v>167</v>
      </c>
      <c r="D212" t="s">
        <v>182</v>
      </c>
      <c r="E212" s="114" t="s">
        <v>453</v>
      </c>
      <c r="F212" s="116">
        <f>Dashboard_EE!$O$17</f>
        <v>1</v>
      </c>
      <c r="G212" s="12" t="s">
        <v>240</v>
      </c>
      <c r="H212" s="12" t="s">
        <v>466</v>
      </c>
      <c r="I212" s="12" t="s">
        <v>467</v>
      </c>
      <c r="J212" s="12" t="b">
        <f t="shared" ref="J212:J260" si="9">_xlfn.ISFORMULA(F212)</f>
        <v>1</v>
      </c>
    </row>
    <row r="213" spans="1:10" s="12" customFormat="1" x14ac:dyDescent="0.25">
      <c r="A213" s="12" t="str">
        <f t="shared" si="8"/>
        <v>Residential_Building Shell_Attic Kneewall Insulation #1 (Fossil Fuel Heat)_R_wall</v>
      </c>
      <c r="B213" t="s">
        <v>162</v>
      </c>
      <c r="C213" t="s">
        <v>167</v>
      </c>
      <c r="D213" t="s">
        <v>182</v>
      </c>
      <c r="E213" s="114" t="s">
        <v>468</v>
      </c>
      <c r="F213" s="116">
        <f>Dashboard_EE!$P$17</f>
        <v>0</v>
      </c>
      <c r="G213" s="12" t="s">
        <v>240</v>
      </c>
      <c r="H213" s="12" t="s">
        <v>466</v>
      </c>
      <c r="I213" s="12" t="s">
        <v>467</v>
      </c>
      <c r="J213" s="12" t="b">
        <f t="shared" si="9"/>
        <v>1</v>
      </c>
    </row>
    <row r="214" spans="1:10" s="12" customFormat="1" x14ac:dyDescent="0.25">
      <c r="A214" s="12" t="str">
        <f t="shared" si="8"/>
        <v>Residential_Building Shell_Attic Kneewall Insulation #1 (Fossil Fuel Heat)_A_wall</v>
      </c>
      <c r="B214" t="s">
        <v>162</v>
      </c>
      <c r="C214" t="s">
        <v>167</v>
      </c>
      <c r="D214" t="s">
        <v>182</v>
      </c>
      <c r="E214" s="114" t="s">
        <v>469</v>
      </c>
      <c r="F214" s="116">
        <f>Dashboard_EE!$O$6</f>
        <v>0</v>
      </c>
      <c r="G214" s="12" t="s">
        <v>240</v>
      </c>
      <c r="H214" s="12" t="s">
        <v>466</v>
      </c>
      <c r="I214" s="12" t="s">
        <v>467</v>
      </c>
      <c r="J214" s="12" t="b">
        <f t="shared" si="9"/>
        <v>1</v>
      </c>
    </row>
    <row r="215" spans="1:10" s="12" customFormat="1" x14ac:dyDescent="0.25">
      <c r="A215" s="12" t="str">
        <f t="shared" si="8"/>
        <v>Residential_Building Shell_Attic Kneewall Insulation #1 (Fossil Fuel Heat)_Framing_factor_wall</v>
      </c>
      <c r="B215" t="s">
        <v>162</v>
      </c>
      <c r="C215" t="s">
        <v>167</v>
      </c>
      <c r="D215" t="s">
        <v>182</v>
      </c>
      <c r="E215" s="102" t="s">
        <v>470</v>
      </c>
      <c r="F215" s="105">
        <v>0.25</v>
      </c>
      <c r="H215" s="12" t="s">
        <v>466</v>
      </c>
      <c r="I215" s="12" t="s">
        <v>467</v>
      </c>
      <c r="J215" s="12" t="b">
        <f t="shared" si="9"/>
        <v>0</v>
      </c>
    </row>
    <row r="216" spans="1:10" s="12" customFormat="1" x14ac:dyDescent="0.25">
      <c r="A216" s="12" t="str">
        <f t="shared" si="8"/>
        <v>Residential_Building Shell_Attic Kneewall Insulation #1 (Fossil Fuel Heat)_24</v>
      </c>
      <c r="B216" t="s">
        <v>162</v>
      </c>
      <c r="C216" t="s">
        <v>167</v>
      </c>
      <c r="D216" t="s">
        <v>182</v>
      </c>
      <c r="E216" s="102">
        <v>24</v>
      </c>
      <c r="F216" s="105">
        <v>24</v>
      </c>
      <c r="H216" s="12" t="s">
        <v>466</v>
      </c>
      <c r="I216" s="12" t="s">
        <v>467</v>
      </c>
      <c r="J216" s="12" t="b">
        <f t="shared" si="9"/>
        <v>0</v>
      </c>
    </row>
    <row r="217" spans="1:10" s="12" customFormat="1" x14ac:dyDescent="0.25">
      <c r="A217" s="12" t="str">
        <f t="shared" si="8"/>
        <v>Residential_Building Shell_Attic Kneewall Insulation #1 (Fossil Fuel Heat)_HDD</v>
      </c>
      <c r="B217" t="s">
        <v>162</v>
      </c>
      <c r="C217" t="s">
        <v>167</v>
      </c>
      <c r="D217" t="s">
        <v>182</v>
      </c>
      <c r="E217" s="102" t="s">
        <v>433</v>
      </c>
      <c r="F217" s="105" t="e">
        <f>INDEX('CZ Inputs'!G:G,MATCH(A217&amp;"_"&amp;Dashboard_EE!$K$3,'CZ Inputs'!A:A,0))</f>
        <v>#N/A</v>
      </c>
      <c r="G217" s="12" t="s">
        <v>422</v>
      </c>
      <c r="H217" s="12" t="s">
        <v>466</v>
      </c>
      <c r="I217" s="12" t="s">
        <v>467</v>
      </c>
      <c r="J217" s="12" t="b">
        <f t="shared" si="9"/>
        <v>1</v>
      </c>
    </row>
    <row r="218" spans="1:10" s="12" customFormat="1" x14ac:dyDescent="0.25">
      <c r="A218" s="12" t="str">
        <f t="shared" si="8"/>
        <v>Residential_Building Shell_Attic Kneewall Insulation #1 (Fossil Fuel Heat)_ηHeat</v>
      </c>
      <c r="B218" t="s">
        <v>162</v>
      </c>
      <c r="C218" t="s">
        <v>167</v>
      </c>
      <c r="D218" t="s">
        <v>182</v>
      </c>
      <c r="E218" s="114" t="s">
        <v>434</v>
      </c>
      <c r="F218" s="116">
        <f>Dashboard_EE!$K$6</f>
        <v>0</v>
      </c>
      <c r="G218" s="12" t="s">
        <v>240</v>
      </c>
      <c r="H218" s="12" t="s">
        <v>466</v>
      </c>
      <c r="I218" s="12" t="s">
        <v>467</v>
      </c>
      <c r="J218" s="12" t="b">
        <f t="shared" si="9"/>
        <v>1</v>
      </c>
    </row>
    <row r="219" spans="1:10" s="12" customFormat="1" x14ac:dyDescent="0.25">
      <c r="A219" s="12" t="str">
        <f t="shared" si="8"/>
        <v>Residential_Building Shell_Attic Kneewall Insulation #1 (Fossil Fuel Heat)_ηHeat_Mid-Life_Adj</v>
      </c>
      <c r="B219" t="s">
        <v>162</v>
      </c>
      <c r="C219" t="s">
        <v>167</v>
      </c>
      <c r="D219" t="s">
        <v>182</v>
      </c>
      <c r="E219" s="114" t="s">
        <v>435</v>
      </c>
      <c r="F219" s="116">
        <f>Dashboard_EE!$K$6</f>
        <v>0</v>
      </c>
      <c r="G219" s="12" t="s">
        <v>240</v>
      </c>
      <c r="H219" s="12" t="s">
        <v>466</v>
      </c>
      <c r="I219" s="12" t="s">
        <v>467</v>
      </c>
      <c r="J219" s="12" t="b">
        <f t="shared" si="9"/>
        <v>1</v>
      </c>
    </row>
    <row r="220" spans="1:10" s="12" customFormat="1" x14ac:dyDescent="0.25">
      <c r="A220" s="12" t="str">
        <f t="shared" si="8"/>
        <v>Residential_Building Shell_Attic Kneewall Insulation #1 (Fossil Fuel Heat)_3412</v>
      </c>
      <c r="B220" t="s">
        <v>162</v>
      </c>
      <c r="C220" t="s">
        <v>167</v>
      </c>
      <c r="D220" t="s">
        <v>182</v>
      </c>
      <c r="E220" s="102">
        <v>3412</v>
      </c>
      <c r="F220" s="105">
        <v>3412</v>
      </c>
      <c r="H220" s="12" t="s">
        <v>466</v>
      </c>
      <c r="I220" s="12" t="s">
        <v>467</v>
      </c>
      <c r="J220" s="12" t="b">
        <f t="shared" si="9"/>
        <v>0</v>
      </c>
    </row>
    <row r="221" spans="1:10" s="12" customFormat="1" x14ac:dyDescent="0.25">
      <c r="A221" s="12" t="str">
        <f t="shared" si="8"/>
        <v>Residential_Building Shell_Attic Kneewall Insulation #1 (Fossil Fuel Heat)_ADJWallHeat</v>
      </c>
      <c r="B221" t="s">
        <v>162</v>
      </c>
      <c r="C221" t="s">
        <v>167</v>
      </c>
      <c r="D221" t="s">
        <v>182</v>
      </c>
      <c r="E221" s="102" t="s">
        <v>472</v>
      </c>
      <c r="F221" s="105">
        <v>0.63</v>
      </c>
      <c r="H221" s="12" t="s">
        <v>466</v>
      </c>
      <c r="I221" s="12" t="s">
        <v>467</v>
      </c>
      <c r="J221" s="12" t="b">
        <f t="shared" si="9"/>
        <v>0</v>
      </c>
    </row>
    <row r="222" spans="1:10" s="12" customFormat="1" x14ac:dyDescent="0.25">
      <c r="A222" s="12" t="str">
        <f t="shared" si="8"/>
        <v>Residential_Building Shell_Attic Kneewall Insulation #1 (Fossil Fuel Heat)_%ElectricHeat</v>
      </c>
      <c r="B222" t="s">
        <v>162</v>
      </c>
      <c r="C222" t="s">
        <v>167</v>
      </c>
      <c r="D222" t="s">
        <v>182</v>
      </c>
      <c r="E222" s="102" t="s">
        <v>402</v>
      </c>
      <c r="F222" s="105">
        <v>0</v>
      </c>
      <c r="G222" s="12" t="s">
        <v>533</v>
      </c>
      <c r="H222" s="12" t="s">
        <v>466</v>
      </c>
      <c r="I222" s="12" t="s">
        <v>467</v>
      </c>
      <c r="J222" s="12" t="b">
        <f t="shared" si="9"/>
        <v>0</v>
      </c>
    </row>
    <row r="223" spans="1:10" s="12" customFormat="1" x14ac:dyDescent="0.25">
      <c r="A223" s="12" t="str">
        <f t="shared" si="8"/>
        <v>Residential_Building Shell_Attic Kneewall Insulation #1 (Fossil Fuel Heat)_Delta_kWh_heatingElectric</v>
      </c>
      <c r="B223" t="s">
        <v>162</v>
      </c>
      <c r="C223" t="s">
        <v>167</v>
      </c>
      <c r="D223" t="s">
        <v>182</v>
      </c>
      <c r="E223" s="114" t="s">
        <v>437</v>
      </c>
      <c r="F223" s="116" t="e">
        <f xml:space="preserve"> (((1/ F212 - 1/ F213) * F214 * (1 - F215) * F216 * F217) / (F218 * F220)) * F221 * F222</f>
        <v>#DIV/0!</v>
      </c>
      <c r="H223" s="12" t="s">
        <v>466</v>
      </c>
      <c r="I223" s="12" t="s">
        <v>467</v>
      </c>
      <c r="J223" s="12" t="b">
        <f t="shared" si="9"/>
        <v>1</v>
      </c>
    </row>
    <row r="224" spans="1:10" s="12" customFormat="1" x14ac:dyDescent="0.25">
      <c r="A224" s="12" t="str">
        <f t="shared" si="8"/>
        <v>Residential_Building Shell_Attic Kneewall Insulation #1 (Fossil Fuel Heat)_Delta_kWh_heatingElectric_Mid-Life_Adj</v>
      </c>
      <c r="B224" t="s">
        <v>162</v>
      </c>
      <c r="C224" t="s">
        <v>167</v>
      </c>
      <c r="D224" t="s">
        <v>182</v>
      </c>
      <c r="E224" s="114" t="s">
        <v>438</v>
      </c>
      <c r="F224" s="116" t="e">
        <f xml:space="preserve"> (((1/ F212 - 1/ F213) * F214 * (1 - F215) * F216 * F217) / (F219 * F220)) * F221 * F222</f>
        <v>#DIV/0!</v>
      </c>
      <c r="H224" s="12" t="s">
        <v>466</v>
      </c>
      <c r="I224" s="12" t="s">
        <v>467</v>
      </c>
      <c r="J224" s="12" t="b">
        <f t="shared" si="9"/>
        <v>1</v>
      </c>
    </row>
    <row r="225" spans="1:10" s="12" customFormat="1" x14ac:dyDescent="0.25">
      <c r="A225" s="12" t="str">
        <f t="shared" si="8"/>
        <v>Residential_Building Shell_Attic Kneewall Insulation #1 (Fossil Fuel Heat)_Delta_Therms</v>
      </c>
      <c r="B225" t="s">
        <v>162</v>
      </c>
      <c r="C225" t="s">
        <v>167</v>
      </c>
      <c r="D225" t="s">
        <v>182</v>
      </c>
      <c r="E225" s="114" t="s">
        <v>354</v>
      </c>
      <c r="F225" s="116" t="e">
        <f>F246</f>
        <v>#DIV/0!</v>
      </c>
      <c r="H225" s="12" t="s">
        <v>466</v>
      </c>
      <c r="I225" s="12" t="s">
        <v>467</v>
      </c>
      <c r="J225" s="12" t="b">
        <f t="shared" si="9"/>
        <v>1</v>
      </c>
    </row>
    <row r="226" spans="1:10" s="12" customFormat="1" x14ac:dyDescent="0.25">
      <c r="A226" s="12" t="str">
        <f t="shared" si="8"/>
        <v>Residential_Building Shell_Attic Kneewall Insulation #1 (Fossil Fuel Heat)_Delta_Therms_Mid-Life_Adj</v>
      </c>
      <c r="B226" t="s">
        <v>162</v>
      </c>
      <c r="C226" t="s">
        <v>167</v>
      </c>
      <c r="D226" t="s">
        <v>182</v>
      </c>
      <c r="E226" s="114" t="s">
        <v>473</v>
      </c>
      <c r="F226" s="116" t="e">
        <f>F247</f>
        <v>#DIV/0!</v>
      </c>
      <c r="H226" s="12" t="s">
        <v>466</v>
      </c>
      <c r="I226" s="12" t="s">
        <v>467</v>
      </c>
      <c r="J226" s="12" t="b">
        <f t="shared" si="9"/>
        <v>1</v>
      </c>
    </row>
    <row r="227" spans="1:10" s="12" customFormat="1" x14ac:dyDescent="0.25">
      <c r="A227" s="12" t="str">
        <f t="shared" si="8"/>
        <v>Residential_Building Shell_Attic Kneewall Insulation #1 (Fossil Fuel Heat)_Fe</v>
      </c>
      <c r="B227" t="s">
        <v>162</v>
      </c>
      <c r="C227" t="s">
        <v>167</v>
      </c>
      <c r="D227" t="s">
        <v>182</v>
      </c>
      <c r="E227" s="102" t="s">
        <v>251</v>
      </c>
      <c r="F227" s="105">
        <v>3.1399999999999997E-2</v>
      </c>
      <c r="H227" s="12" t="s">
        <v>466</v>
      </c>
      <c r="I227" s="12" t="s">
        <v>467</v>
      </c>
      <c r="J227" s="12" t="b">
        <f t="shared" si="9"/>
        <v>0</v>
      </c>
    </row>
    <row r="228" spans="1:10" s="12" customFormat="1" x14ac:dyDescent="0.25">
      <c r="A228" s="12" t="str">
        <f t="shared" si="8"/>
        <v>Residential_Building Shell_Attic Kneewall Insulation #1 (Fossil Fuel Heat)_29.3</v>
      </c>
      <c r="B228" t="s">
        <v>162</v>
      </c>
      <c r="C228" t="s">
        <v>167</v>
      </c>
      <c r="D228" t="s">
        <v>182</v>
      </c>
      <c r="E228" s="102">
        <v>29.3</v>
      </c>
      <c r="F228" s="105">
        <v>29.3</v>
      </c>
      <c r="H228" s="12" t="s">
        <v>466</v>
      </c>
      <c r="I228" s="12" t="s">
        <v>467</v>
      </c>
      <c r="J228" s="12" t="b">
        <f t="shared" si="9"/>
        <v>0</v>
      </c>
    </row>
    <row r="229" spans="1:10" s="12" customFormat="1" x14ac:dyDescent="0.25">
      <c r="A229" s="12" t="str">
        <f t="shared" si="8"/>
        <v>Residential_Building Shell_Attic Kneewall Insulation #1 (Fossil Fuel Heat)_Delta_kWh_heatingGas</v>
      </c>
      <c r="B229" t="s">
        <v>162</v>
      </c>
      <c r="C229" t="s">
        <v>167</v>
      </c>
      <c r="D229" t="s">
        <v>182</v>
      </c>
      <c r="E229" s="114" t="s">
        <v>440</v>
      </c>
      <c r="F229" s="116" t="e">
        <f>F225*F227*F228</f>
        <v>#DIV/0!</v>
      </c>
      <c r="H229" s="12" t="s">
        <v>466</v>
      </c>
      <c r="I229" s="12" t="s">
        <v>467</v>
      </c>
      <c r="J229" s="12" t="b">
        <f t="shared" si="9"/>
        <v>1</v>
      </c>
    </row>
    <row r="230" spans="1:10" s="12" customFormat="1" x14ac:dyDescent="0.25">
      <c r="A230" s="12" t="str">
        <f t="shared" si="8"/>
        <v>Residential_Building Shell_Attic Kneewall Insulation #1 (Fossil Fuel Heat)_Delta_kWh_heatingGas_Mid-Life_Adj</v>
      </c>
      <c r="B230" t="s">
        <v>162</v>
      </c>
      <c r="C230" t="s">
        <v>167</v>
      </c>
      <c r="D230" t="s">
        <v>182</v>
      </c>
      <c r="E230" s="114" t="s">
        <v>441</v>
      </c>
      <c r="F230" s="116" t="e">
        <f>F226*F227*F228</f>
        <v>#DIV/0!</v>
      </c>
      <c r="H230" s="12" t="s">
        <v>466</v>
      </c>
      <c r="I230" s="12" t="s">
        <v>467</v>
      </c>
      <c r="J230" s="12" t="b">
        <f t="shared" si="9"/>
        <v>1</v>
      </c>
    </row>
    <row r="231" spans="1:10" s="12" customFormat="1" x14ac:dyDescent="0.25">
      <c r="A231" s="12" t="str">
        <f t="shared" si="8"/>
        <v>Residential_Building Shell_Attic Kneewall Insulation #1 (Fossil Fuel Heat)_FLH_cooling</v>
      </c>
      <c r="B231" t="s">
        <v>162</v>
      </c>
      <c r="C231" t="s">
        <v>167</v>
      </c>
      <c r="D231" t="s">
        <v>182</v>
      </c>
      <c r="E231" s="102" t="s">
        <v>442</v>
      </c>
      <c r="F231" s="105" t="e">
        <f>INDEX('CZ Inputs'!G:G,MATCH(A231&amp;"_"&amp;Dashboard_EE!$K$3,'CZ Inputs'!A:A,0))</f>
        <v>#N/A</v>
      </c>
      <c r="G231" s="12" t="s">
        <v>422</v>
      </c>
      <c r="H231" s="12" t="s">
        <v>466</v>
      </c>
      <c r="I231" s="12" t="s">
        <v>467</v>
      </c>
      <c r="J231" s="12" t="b">
        <f t="shared" si="9"/>
        <v>1</v>
      </c>
    </row>
    <row r="232" spans="1:10" s="12" customFormat="1" x14ac:dyDescent="0.25">
      <c r="A232" s="12" t="str">
        <f t="shared" si="8"/>
        <v>Residential_Building Shell_Attic Kneewall Insulation #1 (Fossil Fuel Heat)_CF</v>
      </c>
      <c r="B232" t="s">
        <v>162</v>
      </c>
      <c r="C232" t="s">
        <v>167</v>
      </c>
      <c r="D232" t="s">
        <v>182</v>
      </c>
      <c r="E232" s="102" t="s">
        <v>277</v>
      </c>
      <c r="F232" s="105">
        <v>0.68</v>
      </c>
      <c r="G232" s="12" t="s">
        <v>319</v>
      </c>
      <c r="H232" s="12" t="s">
        <v>466</v>
      </c>
      <c r="I232" s="12" t="s">
        <v>467</v>
      </c>
      <c r="J232" s="12" t="b">
        <f t="shared" si="9"/>
        <v>0</v>
      </c>
    </row>
    <row r="233" spans="1:10" s="12" customFormat="1" x14ac:dyDescent="0.25">
      <c r="A233" s="12" t="str">
        <f t="shared" si="8"/>
        <v>Residential_Building Shell_Attic Kneewall Insulation #1 (Fossil Fuel Heat)_Delta_kW</v>
      </c>
      <c r="B233" t="s">
        <v>162</v>
      </c>
      <c r="C233" t="s">
        <v>167</v>
      </c>
      <c r="D233" t="s">
        <v>182</v>
      </c>
      <c r="E233" s="114" t="s">
        <v>279</v>
      </c>
      <c r="F233" s="116" t="e">
        <f>(F210/F231)*F232</f>
        <v>#DIV/0!</v>
      </c>
      <c r="H233" s="12" t="s">
        <v>466</v>
      </c>
      <c r="I233" s="12" t="s">
        <v>467</v>
      </c>
      <c r="J233" s="12" t="b">
        <f t="shared" si="9"/>
        <v>1</v>
      </c>
    </row>
    <row r="234" spans="1:10" s="12" customFormat="1" x14ac:dyDescent="0.25">
      <c r="A234" s="12" t="str">
        <f t="shared" si="8"/>
        <v>Residential_Building Shell_Attic Kneewall Insulation #1 (Fossil Fuel Heat)_Delta_kW_Mid-Life_Adj</v>
      </c>
      <c r="B234" t="s">
        <v>162</v>
      </c>
      <c r="C234" t="s">
        <v>167</v>
      </c>
      <c r="D234" t="s">
        <v>182</v>
      </c>
      <c r="E234" s="114" t="s">
        <v>443</v>
      </c>
      <c r="F234" s="116" t="e">
        <f>(F211/F231)*F232</f>
        <v>#DIV/0!</v>
      </c>
      <c r="H234" s="12" t="s">
        <v>466</v>
      </c>
      <c r="I234" s="12" t="s">
        <v>467</v>
      </c>
      <c r="J234" s="12" t="b">
        <f t="shared" si="9"/>
        <v>1</v>
      </c>
    </row>
    <row r="235" spans="1:10" s="12" customFormat="1" x14ac:dyDescent="0.25">
      <c r="A235" s="12" t="str">
        <f t="shared" si="8"/>
        <v>Residential_Building Shell_Attic Kneewall Insulation #1 (Fossil Fuel Heat)_R_old</v>
      </c>
      <c r="B235" t="s">
        <v>162</v>
      </c>
      <c r="C235" t="s">
        <v>167</v>
      </c>
      <c r="D235" t="s">
        <v>182</v>
      </c>
      <c r="E235" s="114" t="s">
        <v>453</v>
      </c>
      <c r="F235" s="116">
        <f>Dashboard_EE!$O$17</f>
        <v>1</v>
      </c>
      <c r="G235" s="12" t="s">
        <v>240</v>
      </c>
      <c r="H235" s="12" t="s">
        <v>466</v>
      </c>
      <c r="I235" s="12" t="s">
        <v>467</v>
      </c>
      <c r="J235" s="12" t="b">
        <f t="shared" si="9"/>
        <v>1</v>
      </c>
    </row>
    <row r="236" spans="1:10" s="12" customFormat="1" x14ac:dyDescent="0.25">
      <c r="A236" s="12" t="str">
        <f t="shared" si="8"/>
        <v>Residential_Building Shell_Attic Kneewall Insulation #1 (Fossil Fuel Heat)_R_wall</v>
      </c>
      <c r="B236" t="s">
        <v>162</v>
      </c>
      <c r="C236" t="s">
        <v>167</v>
      </c>
      <c r="D236" t="s">
        <v>182</v>
      </c>
      <c r="E236" s="114" t="s">
        <v>468</v>
      </c>
      <c r="F236" s="116">
        <f>Dashboard_EE!$P$17</f>
        <v>0</v>
      </c>
      <c r="G236" s="12" t="s">
        <v>240</v>
      </c>
      <c r="H236" s="12" t="s">
        <v>466</v>
      </c>
      <c r="I236" s="12" t="s">
        <v>467</v>
      </c>
      <c r="J236" s="12" t="b">
        <f t="shared" si="9"/>
        <v>1</v>
      </c>
    </row>
    <row r="237" spans="1:10" s="12" customFormat="1" x14ac:dyDescent="0.25">
      <c r="A237" s="12" t="str">
        <f t="shared" si="8"/>
        <v>Residential_Building Shell_Attic Kneewall Insulation #1 (Fossil Fuel Heat)_A_wall</v>
      </c>
      <c r="B237" t="s">
        <v>162</v>
      </c>
      <c r="C237" t="s">
        <v>167</v>
      </c>
      <c r="D237" t="s">
        <v>182</v>
      </c>
      <c r="E237" s="114" t="s">
        <v>469</v>
      </c>
      <c r="F237" s="116">
        <f>Dashboard_EE!$O$6</f>
        <v>0</v>
      </c>
      <c r="G237" s="12" t="s">
        <v>240</v>
      </c>
      <c r="H237" s="12" t="s">
        <v>466</v>
      </c>
      <c r="I237" s="12" t="s">
        <v>467</v>
      </c>
      <c r="J237" s="12" t="b">
        <f t="shared" si="9"/>
        <v>1</v>
      </c>
    </row>
    <row r="238" spans="1:10" s="12" customFormat="1" x14ac:dyDescent="0.25">
      <c r="A238" s="12" t="str">
        <f t="shared" si="8"/>
        <v>Residential_Building Shell_Attic Kneewall Insulation #1 (Fossil Fuel Heat)_Framing_factor_wall</v>
      </c>
      <c r="B238" t="s">
        <v>162</v>
      </c>
      <c r="C238" t="s">
        <v>167</v>
      </c>
      <c r="D238" t="s">
        <v>182</v>
      </c>
      <c r="E238" s="102" t="s">
        <v>470</v>
      </c>
      <c r="F238" s="105">
        <v>0.25</v>
      </c>
      <c r="H238" s="12" t="s">
        <v>466</v>
      </c>
      <c r="I238" s="12" t="s">
        <v>467</v>
      </c>
      <c r="J238" s="12" t="b">
        <f t="shared" si="9"/>
        <v>0</v>
      </c>
    </row>
    <row r="239" spans="1:10" s="12" customFormat="1" x14ac:dyDescent="0.25">
      <c r="A239" s="12" t="str">
        <f t="shared" si="8"/>
        <v>Residential_Building Shell_Attic Kneewall Insulation #1 (Fossil Fuel Heat)_24</v>
      </c>
      <c r="B239" t="s">
        <v>162</v>
      </c>
      <c r="C239" t="s">
        <v>167</v>
      </c>
      <c r="D239" t="s">
        <v>182</v>
      </c>
      <c r="E239" s="102">
        <v>24</v>
      </c>
      <c r="F239" s="105">
        <v>24</v>
      </c>
      <c r="H239" s="12" t="s">
        <v>466</v>
      </c>
      <c r="I239" s="12" t="s">
        <v>467</v>
      </c>
      <c r="J239" s="12" t="b">
        <f t="shared" si="9"/>
        <v>0</v>
      </c>
    </row>
    <row r="240" spans="1:10" s="12" customFormat="1" x14ac:dyDescent="0.25">
      <c r="A240" s="12" t="str">
        <f t="shared" si="8"/>
        <v>Residential_Building Shell_Attic Kneewall Insulation #1 (Fossil Fuel Heat)_HDD</v>
      </c>
      <c r="B240" t="s">
        <v>162</v>
      </c>
      <c r="C240" t="s">
        <v>167</v>
      </c>
      <c r="D240" t="s">
        <v>182</v>
      </c>
      <c r="E240" s="102" t="s">
        <v>433</v>
      </c>
      <c r="F240" s="105" t="e">
        <f>INDEX('CZ Inputs'!G:G,MATCH(A240&amp;"_"&amp;Dashboard_EE!$K$3,'CZ Inputs'!A:A,0))</f>
        <v>#N/A</v>
      </c>
      <c r="G240" s="12" t="s">
        <v>422</v>
      </c>
      <c r="H240" s="12" t="s">
        <v>466</v>
      </c>
      <c r="I240" s="12" t="s">
        <v>467</v>
      </c>
      <c r="J240" s="12" t="b">
        <f t="shared" si="9"/>
        <v>1</v>
      </c>
    </row>
    <row r="241" spans="1:10" s="12" customFormat="1" x14ac:dyDescent="0.25">
      <c r="A241" s="12" t="str">
        <f t="shared" si="8"/>
        <v>Residential_Building Shell_Attic Kneewall Insulation #1 (Fossil Fuel Heat)_ηHeat</v>
      </c>
      <c r="B241" t="s">
        <v>162</v>
      </c>
      <c r="C241" t="s">
        <v>167</v>
      </c>
      <c r="D241" t="s">
        <v>182</v>
      </c>
      <c r="E241" s="114" t="s">
        <v>434</v>
      </c>
      <c r="F241" s="116">
        <f>Dashboard_EE!$K$8</f>
        <v>0</v>
      </c>
      <c r="G241" s="12" t="s">
        <v>240</v>
      </c>
      <c r="H241" s="12" t="s">
        <v>466</v>
      </c>
      <c r="I241" s="12" t="s">
        <v>467</v>
      </c>
      <c r="J241" s="12" t="b">
        <f t="shared" si="9"/>
        <v>1</v>
      </c>
    </row>
    <row r="242" spans="1:10" s="12" customFormat="1" x14ac:dyDescent="0.25">
      <c r="A242" s="12" t="str">
        <f t="shared" si="8"/>
        <v>Residential_Building Shell_Attic Kneewall Insulation #1 (Fossil Fuel Heat)_ηHeat_Mid-Life_Adj</v>
      </c>
      <c r="B242" t="s">
        <v>162</v>
      </c>
      <c r="C242" t="s">
        <v>167</v>
      </c>
      <c r="D242" t="s">
        <v>182</v>
      </c>
      <c r="E242" s="114" t="s">
        <v>435</v>
      </c>
      <c r="F242" s="116">
        <f>Dashboard_EE!$K$8</f>
        <v>0</v>
      </c>
      <c r="G242" s="12" t="s">
        <v>240</v>
      </c>
      <c r="H242" s="12" t="s">
        <v>466</v>
      </c>
      <c r="I242" s="12" t="s">
        <v>467</v>
      </c>
      <c r="J242" s="12" t="b">
        <f t="shared" si="9"/>
        <v>1</v>
      </c>
    </row>
    <row r="243" spans="1:10" s="12" customFormat="1" x14ac:dyDescent="0.25">
      <c r="A243" s="12" t="str">
        <f t="shared" si="8"/>
        <v>Residential_Building Shell_Attic Kneewall Insulation #1 (Fossil Fuel Heat)_100000</v>
      </c>
      <c r="B243" t="s">
        <v>162</v>
      </c>
      <c r="C243" t="s">
        <v>167</v>
      </c>
      <c r="D243" t="s">
        <v>182</v>
      </c>
      <c r="E243" s="102">
        <v>100000</v>
      </c>
      <c r="F243" s="105">
        <v>100000</v>
      </c>
      <c r="H243" s="12" t="s">
        <v>466</v>
      </c>
      <c r="I243" s="12" t="s">
        <v>467</v>
      </c>
      <c r="J243" s="12" t="b">
        <f t="shared" si="9"/>
        <v>0</v>
      </c>
    </row>
    <row r="244" spans="1:10" s="12" customFormat="1" x14ac:dyDescent="0.25">
      <c r="A244" s="12" t="str">
        <f t="shared" si="8"/>
        <v>Residential_Building Shell_Attic Kneewall Insulation #1 (Fossil Fuel Heat)_ADJWallHeat</v>
      </c>
      <c r="B244" t="s">
        <v>162</v>
      </c>
      <c r="C244" t="s">
        <v>167</v>
      </c>
      <c r="D244" t="s">
        <v>182</v>
      </c>
      <c r="E244" s="102" t="s">
        <v>472</v>
      </c>
      <c r="F244" s="105">
        <v>0.63</v>
      </c>
      <c r="H244" s="12" t="s">
        <v>466</v>
      </c>
      <c r="I244" s="12" t="s">
        <v>467</v>
      </c>
      <c r="J244" s="12" t="b">
        <f t="shared" si="9"/>
        <v>0</v>
      </c>
    </row>
    <row r="245" spans="1:10" s="12" customFormat="1" x14ac:dyDescent="0.25">
      <c r="A245" s="12" t="str">
        <f t="shared" si="8"/>
        <v>Residential_Building Shell_Attic Kneewall Insulation #1 (Fossil Fuel Heat)_%GasHeat</v>
      </c>
      <c r="B245" t="s">
        <v>162</v>
      </c>
      <c r="C245" t="s">
        <v>167</v>
      </c>
      <c r="D245" t="s">
        <v>182</v>
      </c>
      <c r="E245" s="102" t="s">
        <v>463</v>
      </c>
      <c r="F245" s="105">
        <v>1</v>
      </c>
      <c r="G245" s="12" t="s">
        <v>533</v>
      </c>
      <c r="H245" s="12" t="s">
        <v>466</v>
      </c>
      <c r="I245" s="12" t="s">
        <v>467</v>
      </c>
      <c r="J245" s="12" t="b">
        <f t="shared" si="9"/>
        <v>0</v>
      </c>
    </row>
    <row r="246" spans="1:10" s="12" customFormat="1" x14ac:dyDescent="0.25">
      <c r="A246" s="12" t="str">
        <f t="shared" si="8"/>
        <v>Residential_Building Shell_Attic Kneewall Insulation #1 (Fossil Fuel Heat)_Delta_Therms</v>
      </c>
      <c r="B246" t="s">
        <v>162</v>
      </c>
      <c r="C246" t="s">
        <v>167</v>
      </c>
      <c r="D246" t="s">
        <v>182</v>
      </c>
      <c r="E246" s="114" t="s">
        <v>354</v>
      </c>
      <c r="F246" s="116" t="e">
        <f xml:space="preserve"> (((1/ F235 - 1/ F236) * F237 * (1 - F238) * F239 * F240) / (F241 * F243)) * F244 * F245</f>
        <v>#DIV/0!</v>
      </c>
      <c r="H246" s="12" t="s">
        <v>466</v>
      </c>
      <c r="I246" s="12" t="s">
        <v>467</v>
      </c>
      <c r="J246" s="12" t="b">
        <f t="shared" si="9"/>
        <v>1</v>
      </c>
    </row>
    <row r="247" spans="1:10" s="12" customFormat="1" x14ac:dyDescent="0.25">
      <c r="A247" s="12" t="str">
        <f t="shared" si="8"/>
        <v>Residential_Building Shell_Attic Kneewall Insulation #1 (Fossil Fuel Heat)_Delta_Therms_Mid-Life_Adj</v>
      </c>
      <c r="B247" t="s">
        <v>162</v>
      </c>
      <c r="C247" t="s">
        <v>167</v>
      </c>
      <c r="D247" t="s">
        <v>182</v>
      </c>
      <c r="E247" s="114" t="s">
        <v>473</v>
      </c>
      <c r="F247" s="116" t="e">
        <f xml:space="preserve"> (((1/ F235 - 1/ F236) * F237 * (1 - F238) * F239 * F240) / (F242 * F243)) * F244 * F245</f>
        <v>#DIV/0!</v>
      </c>
      <c r="H247" s="12" t="s">
        <v>466</v>
      </c>
      <c r="I247" s="12" t="s">
        <v>467</v>
      </c>
      <c r="J247" s="12" t="b">
        <f t="shared" si="9"/>
        <v>1</v>
      </c>
    </row>
    <row r="248" spans="1:10" s="12" customFormat="1" x14ac:dyDescent="0.25">
      <c r="A248" s="12" t="str">
        <f t="shared" si="8"/>
        <v>Residential_Building Shell_Attic Kneewall Insulation #1 (Fossil Fuel Heat)_Remaining Year kWh</v>
      </c>
      <c r="B248" t="s">
        <v>162</v>
      </c>
      <c r="C248" t="s">
        <v>167</v>
      </c>
      <c r="D248" t="s">
        <v>182</v>
      </c>
      <c r="E248" s="111" t="s">
        <v>447</v>
      </c>
      <c r="F248" s="101" t="e">
        <f>F210+F223+F229</f>
        <v>#DIV/0!</v>
      </c>
      <c r="H248" s="12" t="s">
        <v>466</v>
      </c>
      <c r="I248" s="12" t="s">
        <v>467</v>
      </c>
      <c r="J248" s="12" t="b">
        <f t="shared" si="9"/>
        <v>1</v>
      </c>
    </row>
    <row r="249" spans="1:10" s="12" customFormat="1" x14ac:dyDescent="0.25">
      <c r="A249" s="12" t="str">
        <f t="shared" si="8"/>
        <v>Residential_Building Shell_Attic Kneewall Insulation #1 (Fossil Fuel Heat)_kWh Saved per Unit</v>
      </c>
      <c r="B249" t="s">
        <v>162</v>
      </c>
      <c r="C249" t="s">
        <v>167</v>
      </c>
      <c r="D249" t="s">
        <v>182</v>
      </c>
      <c r="E249" s="111" t="s">
        <v>280</v>
      </c>
      <c r="F249" s="101" t="e">
        <f>F211+F224+F230</f>
        <v>#DIV/0!</v>
      </c>
      <c r="H249" s="12" t="s">
        <v>466</v>
      </c>
      <c r="I249" s="12" t="s">
        <v>467</v>
      </c>
      <c r="J249" s="12" t="b">
        <f t="shared" si="9"/>
        <v>1</v>
      </c>
    </row>
    <row r="250" spans="1:10" s="12" customFormat="1" x14ac:dyDescent="0.25">
      <c r="A250" s="12" t="str">
        <f t="shared" si="8"/>
        <v>Residential_Building Shell_Attic Kneewall Insulation #1 (Fossil Fuel Heat)_Remaining Year kW</v>
      </c>
      <c r="B250" t="s">
        <v>162</v>
      </c>
      <c r="C250" t="s">
        <v>167</v>
      </c>
      <c r="D250" t="s">
        <v>182</v>
      </c>
      <c r="E250" s="111" t="s">
        <v>448</v>
      </c>
      <c r="F250" s="101" t="e">
        <f>F233</f>
        <v>#DIV/0!</v>
      </c>
      <c r="H250" s="12" t="s">
        <v>466</v>
      </c>
      <c r="I250" s="12" t="s">
        <v>467</v>
      </c>
      <c r="J250" s="12" t="b">
        <f t="shared" si="9"/>
        <v>1</v>
      </c>
    </row>
    <row r="251" spans="1:10" s="12" customFormat="1" x14ac:dyDescent="0.25">
      <c r="A251" s="12" t="str">
        <f t="shared" si="8"/>
        <v>Residential_Building Shell_Attic Kneewall Insulation #1 (Fossil Fuel Heat)_Coincident Peak kW Saved per Unit</v>
      </c>
      <c r="B251" t="s">
        <v>162</v>
      </c>
      <c r="C251" t="s">
        <v>167</v>
      </c>
      <c r="D251" t="s">
        <v>182</v>
      </c>
      <c r="E251" s="111" t="s">
        <v>281</v>
      </c>
      <c r="F251" s="101" t="e">
        <f>F234</f>
        <v>#DIV/0!</v>
      </c>
      <c r="H251" s="12" t="s">
        <v>466</v>
      </c>
      <c r="I251" s="12" t="s">
        <v>467</v>
      </c>
      <c r="J251" s="12" t="b">
        <f t="shared" si="9"/>
        <v>1</v>
      </c>
    </row>
    <row r="252" spans="1:10" s="12" customFormat="1" x14ac:dyDescent="0.25">
      <c r="A252" s="12" t="str">
        <f t="shared" si="8"/>
        <v>Residential_Building Shell_Attic Kneewall Insulation #1 (Fossil Fuel Heat)_Remaining Year Therms</v>
      </c>
      <c r="B252" t="s">
        <v>162</v>
      </c>
      <c r="C252" t="s">
        <v>167</v>
      </c>
      <c r="D252" t="s">
        <v>182</v>
      </c>
      <c r="E252" s="111" t="s">
        <v>449</v>
      </c>
      <c r="F252" s="101" t="e">
        <f>F246</f>
        <v>#DIV/0!</v>
      </c>
      <c r="G252" s="12" t="s">
        <v>533</v>
      </c>
      <c r="H252" s="12" t="s">
        <v>466</v>
      </c>
      <c r="I252" s="12" t="s">
        <v>467</v>
      </c>
      <c r="J252" s="12" t="b">
        <f t="shared" si="9"/>
        <v>1</v>
      </c>
    </row>
    <row r="253" spans="1:10" s="12" customFormat="1" x14ac:dyDescent="0.25">
      <c r="A253" s="12" t="str">
        <f t="shared" si="8"/>
        <v>Residential_Building Shell_Attic Kneewall Insulation #1 (Fossil Fuel Heat)_Therms Saved per Unit</v>
      </c>
      <c r="B253" t="s">
        <v>162</v>
      </c>
      <c r="C253" t="s">
        <v>167</v>
      </c>
      <c r="D253" t="s">
        <v>182</v>
      </c>
      <c r="E253" s="111" t="s">
        <v>376</v>
      </c>
      <c r="F253" s="101" t="e">
        <f>F247</f>
        <v>#DIV/0!</v>
      </c>
      <c r="G253" s="12" t="s">
        <v>533</v>
      </c>
      <c r="H253" s="12" t="s">
        <v>466</v>
      </c>
      <c r="I253" s="12" t="s">
        <v>467</v>
      </c>
      <c r="J253" s="12" t="b">
        <f t="shared" si="9"/>
        <v>1</v>
      </c>
    </row>
    <row r="254" spans="1:10" s="12" customFormat="1" x14ac:dyDescent="0.25">
      <c r="A254" s="12" t="str">
        <f t="shared" si="8"/>
        <v>Residential_Building Shell_Attic Kneewall Insulation #1 (Fossil Fuel Heat)_Remaining Life</v>
      </c>
      <c r="B254" t="s">
        <v>162</v>
      </c>
      <c r="C254" t="s">
        <v>167</v>
      </c>
      <c r="D254" t="s">
        <v>182</v>
      </c>
      <c r="E254" s="111" t="s">
        <v>450</v>
      </c>
      <c r="F254" s="101">
        <v>10</v>
      </c>
      <c r="H254" s="12" t="s">
        <v>466</v>
      </c>
      <c r="I254" s="12" t="s">
        <v>467</v>
      </c>
      <c r="J254" s="12" t="b">
        <f t="shared" si="9"/>
        <v>0</v>
      </c>
    </row>
    <row r="255" spans="1:10" s="12" customFormat="1" x14ac:dyDescent="0.25">
      <c r="A255" s="12" t="str">
        <f t="shared" si="8"/>
        <v>Residential_Building Shell_Attic Kneewall Insulation #1 (Fossil Fuel Heat)_Lifetime (years)</v>
      </c>
      <c r="B255" t="s">
        <v>162</v>
      </c>
      <c r="C255" t="s">
        <v>167</v>
      </c>
      <c r="D255" t="s">
        <v>182</v>
      </c>
      <c r="E255" s="111" t="s">
        <v>284</v>
      </c>
      <c r="F255" s="101">
        <v>30</v>
      </c>
      <c r="H255" s="12" t="s">
        <v>466</v>
      </c>
      <c r="I255" s="12" t="s">
        <v>467</v>
      </c>
      <c r="J255" s="12" t="b">
        <f t="shared" si="9"/>
        <v>0</v>
      </c>
    </row>
    <row r="256" spans="1:10" s="12" customFormat="1" x14ac:dyDescent="0.25">
      <c r="A256" s="12" t="str">
        <f t="shared" si="8"/>
        <v>Residential_Building Shell_Attic Kneewall Insulation #1 (Fossil Fuel Heat)_Incremental Cost</v>
      </c>
      <c r="B256" t="s">
        <v>162</v>
      </c>
      <c r="C256" t="s">
        <v>167</v>
      </c>
      <c r="D256" t="s">
        <v>182</v>
      </c>
      <c r="E256" s="111" t="s">
        <v>285</v>
      </c>
      <c r="F256" s="100">
        <f>0.9*F200</f>
        <v>0</v>
      </c>
      <c r="G256" s="12" t="s">
        <v>451</v>
      </c>
      <c r="H256" s="12" t="s">
        <v>466</v>
      </c>
      <c r="I256" s="12" t="s">
        <v>467</v>
      </c>
      <c r="J256" s="12" t="b">
        <f t="shared" si="9"/>
        <v>1</v>
      </c>
    </row>
    <row r="257" spans="1:10" s="12" customFormat="1" x14ac:dyDescent="0.25">
      <c r="A257" s="12" t="str">
        <f t="shared" si="8"/>
        <v>Residential_Building Shell_Attic Kneewall Insulation #1 (Fossil Fuel Heat)_BTU Impact_New_Fossil Fuel</v>
      </c>
      <c r="B257" t="s">
        <v>162</v>
      </c>
      <c r="C257" t="s">
        <v>167</v>
      </c>
      <c r="D257" t="s">
        <v>182</v>
      </c>
      <c r="E257" s="111" t="s">
        <v>290</v>
      </c>
      <c r="F257" s="99" t="e">
        <f>-F246*100000</f>
        <v>#DIV/0!</v>
      </c>
      <c r="H257" s="12" t="s">
        <v>466</v>
      </c>
      <c r="I257" s="12" t="s">
        <v>467</v>
      </c>
      <c r="J257" s="12" t="b">
        <f t="shared" si="9"/>
        <v>1</v>
      </c>
    </row>
    <row r="258" spans="1:10" s="12" customFormat="1" x14ac:dyDescent="0.25">
      <c r="A258" s="12" t="str">
        <f t="shared" si="8"/>
        <v>Residential_Building Shell_Attic Kneewall Insulation #1 (Fossil Fuel Heat)_BTU Impact_New_Winter Electricity</v>
      </c>
      <c r="B258" t="s">
        <v>162</v>
      </c>
      <c r="C258" t="s">
        <v>167</v>
      </c>
      <c r="D258" t="s">
        <v>182</v>
      </c>
      <c r="E258" s="111" t="s">
        <v>291</v>
      </c>
      <c r="F258" s="99" t="e">
        <f>-F229*3412</f>
        <v>#DIV/0!</v>
      </c>
      <c r="H258" s="12" t="s">
        <v>466</v>
      </c>
      <c r="I258" s="12" t="s">
        <v>467</v>
      </c>
      <c r="J258" s="12" t="b">
        <f t="shared" si="9"/>
        <v>1</v>
      </c>
    </row>
    <row r="259" spans="1:10" s="12" customFormat="1" x14ac:dyDescent="0.25">
      <c r="A259" s="12" t="str">
        <f t="shared" ref="A259:A260" si="10">B259&amp;"_"&amp;C259&amp;"_"&amp;D259&amp;"_"&amp;E259</f>
        <v>Residential_Building Shell_Attic Kneewall Insulation #1 (Fossil Fuel Heat)_BTU Impact_New_Summer Electricity</v>
      </c>
      <c r="B259" t="s">
        <v>162</v>
      </c>
      <c r="C259" t="s">
        <v>167</v>
      </c>
      <c r="D259" t="s">
        <v>182</v>
      </c>
      <c r="E259" s="111" t="s">
        <v>292</v>
      </c>
      <c r="F259" s="99" t="e">
        <f>-F210*3412</f>
        <v>#DIV/0!</v>
      </c>
      <c r="H259" s="12" t="s">
        <v>466</v>
      </c>
      <c r="I259" s="12" t="s">
        <v>467</v>
      </c>
      <c r="J259" s="12" t="b">
        <f t="shared" si="9"/>
        <v>1</v>
      </c>
    </row>
    <row r="260" spans="1:10" s="12" customFormat="1" x14ac:dyDescent="0.25">
      <c r="A260" s="12" t="str">
        <f t="shared" si="10"/>
        <v>Residential_Building Shell_Attic Kneewall Insulation #1 (Fossil Fuel Heat)_</v>
      </c>
      <c r="B260" t="s">
        <v>162</v>
      </c>
      <c r="C260" t="s">
        <v>167</v>
      </c>
      <c r="D260" t="s">
        <v>182</v>
      </c>
      <c r="E260" s="112"/>
      <c r="F260"/>
      <c r="H260" s="12" t="s">
        <v>466</v>
      </c>
      <c r="I260" s="12" t="s">
        <v>467</v>
      </c>
      <c r="J260" s="12" t="b">
        <f t="shared" si="9"/>
        <v>0</v>
      </c>
    </row>
    <row r="261" spans="1:10" s="12" customFormat="1" x14ac:dyDescent="0.25">
      <c r="A261" s="12" t="str">
        <f t="shared" si="6"/>
        <v>Residential_Building Shell_Attic Kneewall Insulation #2 (Fossil Fuel Heat)_R_old</v>
      </c>
      <c r="B261" t="s">
        <v>162</v>
      </c>
      <c r="C261" t="s">
        <v>167</v>
      </c>
      <c r="D261" t="s">
        <v>183</v>
      </c>
      <c r="E261" s="114" t="s">
        <v>453</v>
      </c>
      <c r="F261" s="116">
        <f>Dashboard_EE!$O$18</f>
        <v>0</v>
      </c>
      <c r="G261" s="12" t="s">
        <v>240</v>
      </c>
      <c r="H261" s="12" t="s">
        <v>466</v>
      </c>
      <c r="I261" s="12" t="s">
        <v>467</v>
      </c>
      <c r="J261" s="12" t="b">
        <f t="shared" si="5"/>
        <v>1</v>
      </c>
    </row>
    <row r="262" spans="1:10" s="12" customFormat="1" x14ac:dyDescent="0.25">
      <c r="A262" s="12" t="str">
        <f t="shared" si="6"/>
        <v>Residential_Building Shell_Attic Kneewall Insulation #2 (Fossil Fuel Heat)_R_wall</v>
      </c>
      <c r="B262" t="s">
        <v>162</v>
      </c>
      <c r="C262" t="s">
        <v>167</v>
      </c>
      <c r="D262" t="s">
        <v>183</v>
      </c>
      <c r="E262" s="114" t="s">
        <v>468</v>
      </c>
      <c r="F262" s="116">
        <f>Dashboard_EE!$P$18</f>
        <v>0</v>
      </c>
      <c r="G262" s="12" t="s">
        <v>240</v>
      </c>
      <c r="H262" s="12" t="s">
        <v>466</v>
      </c>
      <c r="I262" s="12" t="s">
        <v>467</v>
      </c>
      <c r="J262" s="12" t="b">
        <f t="shared" si="5"/>
        <v>1</v>
      </c>
    </row>
    <row r="263" spans="1:10" s="12" customFormat="1" x14ac:dyDescent="0.25">
      <c r="A263" s="12" t="str">
        <f t="shared" si="6"/>
        <v>Residential_Building Shell_Attic Kneewall Insulation #2 (Fossil Fuel Heat)_A_wall</v>
      </c>
      <c r="B263" t="s">
        <v>162</v>
      </c>
      <c r="C263" t="s">
        <v>167</v>
      </c>
      <c r="D263" t="s">
        <v>183</v>
      </c>
      <c r="E263" s="114" t="s">
        <v>469</v>
      </c>
      <c r="F263" s="116">
        <f>Dashboard_EE!$O$7</f>
        <v>0</v>
      </c>
      <c r="G263" s="12" t="s">
        <v>240</v>
      </c>
      <c r="H263" s="12" t="s">
        <v>466</v>
      </c>
      <c r="I263" s="12" t="s">
        <v>467</v>
      </c>
      <c r="J263" s="12" t="b">
        <f t="shared" si="5"/>
        <v>1</v>
      </c>
    </row>
    <row r="264" spans="1:10" s="12" customFormat="1" x14ac:dyDescent="0.25">
      <c r="A264" s="12" t="str">
        <f t="shared" si="6"/>
        <v>Residential_Building Shell_Attic Kneewall Insulation #2 (Fossil Fuel Heat)_Framing_factor_wall</v>
      </c>
      <c r="B264" t="s">
        <v>162</v>
      </c>
      <c r="C264" t="s">
        <v>167</v>
      </c>
      <c r="D264" t="s">
        <v>183</v>
      </c>
      <c r="E264" s="102" t="s">
        <v>470</v>
      </c>
      <c r="F264" s="105">
        <v>0.25</v>
      </c>
      <c r="H264" s="12" t="s">
        <v>466</v>
      </c>
      <c r="I264" s="12" t="s">
        <v>467</v>
      </c>
      <c r="J264" s="12" t="b">
        <f t="shared" si="5"/>
        <v>0</v>
      </c>
    </row>
    <row r="265" spans="1:10" s="12" customFormat="1" x14ac:dyDescent="0.25">
      <c r="A265" s="12" t="str">
        <f t="shared" si="6"/>
        <v>Residential_Building Shell_Attic Kneewall Insulation #2 (Fossil Fuel Heat)_24</v>
      </c>
      <c r="B265" t="s">
        <v>162</v>
      </c>
      <c r="C265" t="s">
        <v>167</v>
      </c>
      <c r="D265" t="s">
        <v>183</v>
      </c>
      <c r="E265" s="102">
        <v>24</v>
      </c>
      <c r="F265" s="105">
        <v>24</v>
      </c>
      <c r="H265" s="12" t="s">
        <v>466</v>
      </c>
      <c r="I265" s="12" t="s">
        <v>467</v>
      </c>
      <c r="J265" s="12" t="b">
        <f t="shared" si="5"/>
        <v>0</v>
      </c>
    </row>
    <row r="266" spans="1:10" s="12" customFormat="1" x14ac:dyDescent="0.25">
      <c r="A266" s="12" t="str">
        <f t="shared" si="6"/>
        <v>Residential_Building Shell_Attic Kneewall Insulation #2 (Fossil Fuel Heat)_CDD</v>
      </c>
      <c r="B266" t="s">
        <v>162</v>
      </c>
      <c r="C266" t="s">
        <v>167</v>
      </c>
      <c r="D266" t="s">
        <v>183</v>
      </c>
      <c r="E266" s="102" t="s">
        <v>421</v>
      </c>
      <c r="F266" s="105" t="e">
        <f>INDEX('CZ Inputs'!G:G,MATCH(A266&amp;"_"&amp;Dashboard_EE!$K$3,'CZ Inputs'!A:A,0))</f>
        <v>#N/A</v>
      </c>
      <c r="G266" s="12" t="s">
        <v>422</v>
      </c>
      <c r="H266" s="12" t="s">
        <v>466</v>
      </c>
      <c r="I266" s="12" t="s">
        <v>467</v>
      </c>
      <c r="J266" s="12" t="b">
        <f t="shared" si="5"/>
        <v>1</v>
      </c>
    </row>
    <row r="267" spans="1:10" s="12" customFormat="1" x14ac:dyDescent="0.25">
      <c r="A267" s="12" t="str">
        <f t="shared" si="6"/>
        <v>Residential_Building Shell_Attic Kneewall Insulation #2 (Fossil Fuel Heat)_DUA</v>
      </c>
      <c r="B267" t="s">
        <v>162</v>
      </c>
      <c r="C267" t="s">
        <v>167</v>
      </c>
      <c r="D267" t="s">
        <v>183</v>
      </c>
      <c r="E267" s="102" t="s">
        <v>423</v>
      </c>
      <c r="F267" s="105">
        <v>0.75</v>
      </c>
      <c r="H267" s="12" t="s">
        <v>466</v>
      </c>
      <c r="I267" s="12" t="s">
        <v>467</v>
      </c>
      <c r="J267" s="12" t="b">
        <f t="shared" si="5"/>
        <v>0</v>
      </c>
    </row>
    <row r="268" spans="1:10" s="12" customFormat="1" x14ac:dyDescent="0.25">
      <c r="A268" s="12" t="str">
        <f t="shared" si="6"/>
        <v>Residential_Building Shell_Attic Kneewall Insulation #2 (Fossil Fuel Heat)_1000</v>
      </c>
      <c r="B268" t="s">
        <v>162</v>
      </c>
      <c r="C268" t="s">
        <v>167</v>
      </c>
      <c r="D268" t="s">
        <v>183</v>
      </c>
      <c r="E268" s="102">
        <v>1000</v>
      </c>
      <c r="F268" s="105">
        <v>1000</v>
      </c>
      <c r="H268" s="12" t="s">
        <v>466</v>
      </c>
      <c r="I268" s="12" t="s">
        <v>467</v>
      </c>
      <c r="J268" s="12" t="b">
        <f t="shared" si="5"/>
        <v>0</v>
      </c>
    </row>
    <row r="269" spans="1:10" s="12" customFormat="1" x14ac:dyDescent="0.25">
      <c r="A269" s="12" t="str">
        <f t="shared" si="6"/>
        <v>Residential_Building Shell_Attic Kneewall Insulation #2 (Fossil Fuel Heat)_ηCool</v>
      </c>
      <c r="B269" t="s">
        <v>162</v>
      </c>
      <c r="C269" t="s">
        <v>167</v>
      </c>
      <c r="D269" t="s">
        <v>183</v>
      </c>
      <c r="E269" s="114" t="s">
        <v>424</v>
      </c>
      <c r="F269" s="116">
        <f>Dashboard_EE!$K$13</f>
        <v>0</v>
      </c>
      <c r="G269" s="12" t="s">
        <v>240</v>
      </c>
      <c r="H269" s="12" t="s">
        <v>466</v>
      </c>
      <c r="I269" s="12" t="s">
        <v>467</v>
      </c>
      <c r="J269" s="12" t="b">
        <f t="shared" si="5"/>
        <v>1</v>
      </c>
    </row>
    <row r="270" spans="1:10" s="12" customFormat="1" x14ac:dyDescent="0.25">
      <c r="A270" s="12" t="str">
        <f t="shared" si="6"/>
        <v>Residential_Building Shell_Attic Kneewall Insulation #2 (Fossil Fuel Heat)_ηCool_Mid-Life_Adj</v>
      </c>
      <c r="B270" t="s">
        <v>162</v>
      </c>
      <c r="C270" t="s">
        <v>167</v>
      </c>
      <c r="D270" t="s">
        <v>183</v>
      </c>
      <c r="E270" s="114" t="s">
        <v>425</v>
      </c>
      <c r="F270" s="116">
        <f>Dashboard_EE!$K$13</f>
        <v>0</v>
      </c>
      <c r="G270" s="12" t="s">
        <v>240</v>
      </c>
      <c r="H270" s="12" t="s">
        <v>466</v>
      </c>
      <c r="I270" s="12" t="s">
        <v>467</v>
      </c>
      <c r="J270" s="12" t="b">
        <f t="shared" si="5"/>
        <v>1</v>
      </c>
    </row>
    <row r="271" spans="1:10" s="12" customFormat="1" x14ac:dyDescent="0.25">
      <c r="A271" s="12" t="str">
        <f t="shared" si="6"/>
        <v>Residential_Building Shell_Attic Kneewall Insulation #2 (Fossil Fuel Heat)_ADJWallCool</v>
      </c>
      <c r="B271" t="s">
        <v>162</v>
      </c>
      <c r="C271" t="s">
        <v>167</v>
      </c>
      <c r="D271" t="s">
        <v>183</v>
      </c>
      <c r="E271" s="102" t="s">
        <v>471</v>
      </c>
      <c r="F271" s="105">
        <v>0.75</v>
      </c>
      <c r="H271" s="12" t="s">
        <v>466</v>
      </c>
      <c r="I271" s="12" t="s">
        <v>467</v>
      </c>
      <c r="J271" s="12" t="b">
        <f t="shared" si="5"/>
        <v>0</v>
      </c>
    </row>
    <row r="272" spans="1:10" s="12" customFormat="1" x14ac:dyDescent="0.25">
      <c r="A272" s="12" t="str">
        <f t="shared" si="6"/>
        <v>Residential_Building Shell_Attic Kneewall Insulation #2 (Fossil Fuel Heat)_%Cool</v>
      </c>
      <c r="B272" t="s">
        <v>162</v>
      </c>
      <c r="C272" t="s">
        <v>167</v>
      </c>
      <c r="D272" t="s">
        <v>183</v>
      </c>
      <c r="E272" s="114" t="s">
        <v>397</v>
      </c>
      <c r="F272" s="116">
        <f>IF(Dashboard_EE!$K$14="Yes",1,0)</f>
        <v>0</v>
      </c>
      <c r="G272" s="12" t="s">
        <v>344</v>
      </c>
      <c r="H272" s="12" t="s">
        <v>466</v>
      </c>
      <c r="I272" s="12" t="s">
        <v>467</v>
      </c>
      <c r="J272" s="12" t="b">
        <f t="shared" ref="J272:J334" si="11">_xlfn.ISFORMULA(F272)</f>
        <v>1</v>
      </c>
    </row>
    <row r="273" spans="1:10" s="12" customFormat="1" x14ac:dyDescent="0.25">
      <c r="A273" s="12" t="str">
        <f t="shared" si="6"/>
        <v>Residential_Building Shell_Attic Kneewall Insulation #2 (Fossil Fuel Heat)_Delta_kWh_cooling</v>
      </c>
      <c r="B273" t="s">
        <v>162</v>
      </c>
      <c r="C273" t="s">
        <v>167</v>
      </c>
      <c r="D273" t="s">
        <v>183</v>
      </c>
      <c r="E273" s="114" t="s">
        <v>430</v>
      </c>
      <c r="F273" s="116" t="e">
        <f xml:space="preserve"> ((((1/ F261 - 1/ F262) * F263 * (1 - F264)) * F265 * F266 * F267) / (F268 * F269)) * F271 * F272</f>
        <v>#DIV/0!</v>
      </c>
      <c r="H273" s="12" t="s">
        <v>466</v>
      </c>
      <c r="I273" s="12" t="s">
        <v>467</v>
      </c>
      <c r="J273" s="12" t="b">
        <f t="shared" si="11"/>
        <v>1</v>
      </c>
    </row>
    <row r="274" spans="1:10" s="12" customFormat="1" x14ac:dyDescent="0.25">
      <c r="A274" s="12" t="str">
        <f t="shared" si="6"/>
        <v>Residential_Building Shell_Attic Kneewall Insulation #2 (Fossil Fuel Heat)_Delta_kWh_cooling_Mid-Life_Adj</v>
      </c>
      <c r="B274" t="s">
        <v>162</v>
      </c>
      <c r="C274" t="s">
        <v>167</v>
      </c>
      <c r="D274" t="s">
        <v>183</v>
      </c>
      <c r="E274" s="114" t="s">
        <v>431</v>
      </c>
      <c r="F274" s="116" t="e">
        <f xml:space="preserve"> ((((1/ F261 - 1/ F262) * F263 * (1 - F264)) * F265 * F266 * F267) / (F268 * F270)) * F271 * F272</f>
        <v>#DIV/0!</v>
      </c>
      <c r="H274" s="12" t="s">
        <v>466</v>
      </c>
      <c r="I274" s="12" t="s">
        <v>467</v>
      </c>
      <c r="J274" s="12" t="b">
        <f t="shared" si="11"/>
        <v>1</v>
      </c>
    </row>
    <row r="275" spans="1:10" s="12" customFormat="1" x14ac:dyDescent="0.25">
      <c r="A275" s="12" t="str">
        <f t="shared" si="6"/>
        <v>Residential_Building Shell_Attic Kneewall Insulation #2 (Fossil Fuel Heat)_R_old</v>
      </c>
      <c r="B275" t="s">
        <v>162</v>
      </c>
      <c r="C275" t="s">
        <v>167</v>
      </c>
      <c r="D275" t="s">
        <v>183</v>
      </c>
      <c r="E275" s="114" t="s">
        <v>453</v>
      </c>
      <c r="F275" s="116">
        <f>Dashboard_EE!$O$18</f>
        <v>0</v>
      </c>
      <c r="G275" s="12" t="s">
        <v>240</v>
      </c>
      <c r="H275" s="12" t="s">
        <v>466</v>
      </c>
      <c r="I275" s="12" t="s">
        <v>467</v>
      </c>
      <c r="J275" s="12" t="b">
        <f t="shared" si="11"/>
        <v>1</v>
      </c>
    </row>
    <row r="276" spans="1:10" s="12" customFormat="1" x14ac:dyDescent="0.25">
      <c r="A276" s="12" t="str">
        <f t="shared" si="6"/>
        <v>Residential_Building Shell_Attic Kneewall Insulation #2 (Fossil Fuel Heat)_R_wall</v>
      </c>
      <c r="B276" t="s">
        <v>162</v>
      </c>
      <c r="C276" t="s">
        <v>167</v>
      </c>
      <c r="D276" t="s">
        <v>183</v>
      </c>
      <c r="E276" s="114" t="s">
        <v>468</v>
      </c>
      <c r="F276" s="116">
        <f>Dashboard_EE!$P$18</f>
        <v>0</v>
      </c>
      <c r="G276" s="12" t="s">
        <v>240</v>
      </c>
      <c r="H276" s="12" t="s">
        <v>466</v>
      </c>
      <c r="I276" s="12" t="s">
        <v>467</v>
      </c>
      <c r="J276" s="12" t="b">
        <f t="shared" si="11"/>
        <v>1</v>
      </c>
    </row>
    <row r="277" spans="1:10" s="12" customFormat="1" x14ac:dyDescent="0.25">
      <c r="A277" s="12" t="str">
        <f t="shared" si="6"/>
        <v>Residential_Building Shell_Attic Kneewall Insulation #2 (Fossil Fuel Heat)_A_wall</v>
      </c>
      <c r="B277" t="s">
        <v>162</v>
      </c>
      <c r="C277" t="s">
        <v>167</v>
      </c>
      <c r="D277" t="s">
        <v>183</v>
      </c>
      <c r="E277" s="114" t="s">
        <v>469</v>
      </c>
      <c r="F277" s="116">
        <f>Dashboard_EE!$O$7</f>
        <v>0</v>
      </c>
      <c r="G277" s="12" t="s">
        <v>240</v>
      </c>
      <c r="H277" s="12" t="s">
        <v>466</v>
      </c>
      <c r="I277" s="12" t="s">
        <v>467</v>
      </c>
      <c r="J277" s="12" t="b">
        <f t="shared" si="11"/>
        <v>1</v>
      </c>
    </row>
    <row r="278" spans="1:10" s="12" customFormat="1" x14ac:dyDescent="0.25">
      <c r="A278" s="12" t="str">
        <f t="shared" si="6"/>
        <v>Residential_Building Shell_Attic Kneewall Insulation #2 (Fossil Fuel Heat)_Framing_factor_wall</v>
      </c>
      <c r="B278" t="s">
        <v>162</v>
      </c>
      <c r="C278" t="s">
        <v>167</v>
      </c>
      <c r="D278" t="s">
        <v>183</v>
      </c>
      <c r="E278" s="102" t="s">
        <v>470</v>
      </c>
      <c r="F278" s="105">
        <v>0.25</v>
      </c>
      <c r="H278" s="12" t="s">
        <v>466</v>
      </c>
      <c r="I278" s="12" t="s">
        <v>467</v>
      </c>
      <c r="J278" s="12" t="b">
        <f t="shared" si="11"/>
        <v>0</v>
      </c>
    </row>
    <row r="279" spans="1:10" s="12" customFormat="1" x14ac:dyDescent="0.25">
      <c r="A279" s="12" t="str">
        <f t="shared" si="6"/>
        <v>Residential_Building Shell_Attic Kneewall Insulation #2 (Fossil Fuel Heat)_24</v>
      </c>
      <c r="B279" t="s">
        <v>162</v>
      </c>
      <c r="C279" t="s">
        <v>167</v>
      </c>
      <c r="D279" t="s">
        <v>183</v>
      </c>
      <c r="E279" s="102">
        <v>24</v>
      </c>
      <c r="F279" s="105">
        <v>24</v>
      </c>
      <c r="H279" s="12" t="s">
        <v>466</v>
      </c>
      <c r="I279" s="12" t="s">
        <v>467</v>
      </c>
      <c r="J279" s="12" t="b">
        <f t="shared" si="11"/>
        <v>0</v>
      </c>
    </row>
    <row r="280" spans="1:10" s="12" customFormat="1" x14ac:dyDescent="0.25">
      <c r="A280" s="12" t="str">
        <f t="shared" si="6"/>
        <v>Residential_Building Shell_Attic Kneewall Insulation #2 (Fossil Fuel Heat)_HDD</v>
      </c>
      <c r="B280" t="s">
        <v>162</v>
      </c>
      <c r="C280" t="s">
        <v>167</v>
      </c>
      <c r="D280" t="s">
        <v>183</v>
      </c>
      <c r="E280" s="102" t="s">
        <v>433</v>
      </c>
      <c r="F280" s="105" t="e">
        <f>INDEX('CZ Inputs'!G:G,MATCH(A280&amp;"_"&amp;Dashboard_EE!$K$3,'CZ Inputs'!A:A,0))</f>
        <v>#N/A</v>
      </c>
      <c r="G280" s="12" t="s">
        <v>422</v>
      </c>
      <c r="H280" s="12" t="s">
        <v>466</v>
      </c>
      <c r="I280" s="12" t="s">
        <v>467</v>
      </c>
      <c r="J280" s="12" t="b">
        <f t="shared" si="11"/>
        <v>1</v>
      </c>
    </row>
    <row r="281" spans="1:10" s="12" customFormat="1" x14ac:dyDescent="0.25">
      <c r="A281" s="12" t="str">
        <f t="shared" si="6"/>
        <v>Residential_Building Shell_Attic Kneewall Insulation #2 (Fossil Fuel Heat)_ηHeat</v>
      </c>
      <c r="B281" t="s">
        <v>162</v>
      </c>
      <c r="C281" t="s">
        <v>167</v>
      </c>
      <c r="D281" t="s">
        <v>183</v>
      </c>
      <c r="E281" s="114" t="s">
        <v>434</v>
      </c>
      <c r="F281" s="116">
        <f>Dashboard_EE!$K$6</f>
        <v>0</v>
      </c>
      <c r="G281" s="12" t="s">
        <v>240</v>
      </c>
      <c r="H281" s="12" t="s">
        <v>466</v>
      </c>
      <c r="I281" s="12" t="s">
        <v>467</v>
      </c>
      <c r="J281" s="12" t="b">
        <f t="shared" si="11"/>
        <v>1</v>
      </c>
    </row>
    <row r="282" spans="1:10" s="12" customFormat="1" x14ac:dyDescent="0.25">
      <c r="A282" s="12" t="str">
        <f t="shared" si="6"/>
        <v>Residential_Building Shell_Attic Kneewall Insulation #2 (Fossil Fuel Heat)_ηHeat_Mid-Life_Adj</v>
      </c>
      <c r="B282" t="s">
        <v>162</v>
      </c>
      <c r="C282" t="s">
        <v>167</v>
      </c>
      <c r="D282" t="s">
        <v>183</v>
      </c>
      <c r="E282" s="114" t="s">
        <v>435</v>
      </c>
      <c r="F282" s="116">
        <f>Dashboard_EE!$K$6</f>
        <v>0</v>
      </c>
      <c r="G282" s="12" t="s">
        <v>240</v>
      </c>
      <c r="H282" s="12" t="s">
        <v>466</v>
      </c>
      <c r="I282" s="12" t="s">
        <v>467</v>
      </c>
      <c r="J282" s="12" t="b">
        <f t="shared" si="11"/>
        <v>1</v>
      </c>
    </row>
    <row r="283" spans="1:10" s="12" customFormat="1" x14ac:dyDescent="0.25">
      <c r="A283" s="12" t="str">
        <f t="shared" si="6"/>
        <v>Residential_Building Shell_Attic Kneewall Insulation #2 (Fossil Fuel Heat)_3412</v>
      </c>
      <c r="B283" t="s">
        <v>162</v>
      </c>
      <c r="C283" t="s">
        <v>167</v>
      </c>
      <c r="D283" t="s">
        <v>183</v>
      </c>
      <c r="E283" s="102">
        <v>3412</v>
      </c>
      <c r="F283" s="105">
        <v>3412</v>
      </c>
      <c r="H283" s="12" t="s">
        <v>466</v>
      </c>
      <c r="I283" s="12" t="s">
        <v>467</v>
      </c>
      <c r="J283" s="12" t="b">
        <f t="shared" si="11"/>
        <v>0</v>
      </c>
    </row>
    <row r="284" spans="1:10" s="12" customFormat="1" x14ac:dyDescent="0.25">
      <c r="A284" s="12" t="str">
        <f t="shared" si="6"/>
        <v>Residential_Building Shell_Attic Kneewall Insulation #2 (Fossil Fuel Heat)_ADJWallHeat</v>
      </c>
      <c r="B284" t="s">
        <v>162</v>
      </c>
      <c r="C284" t="s">
        <v>167</v>
      </c>
      <c r="D284" t="s">
        <v>183</v>
      </c>
      <c r="E284" s="102" t="s">
        <v>472</v>
      </c>
      <c r="F284" s="105">
        <v>0.63</v>
      </c>
      <c r="H284" s="12" t="s">
        <v>466</v>
      </c>
      <c r="I284" s="12" t="s">
        <v>467</v>
      </c>
      <c r="J284" s="12" t="b">
        <f t="shared" si="11"/>
        <v>0</v>
      </c>
    </row>
    <row r="285" spans="1:10" s="12" customFormat="1" x14ac:dyDescent="0.25">
      <c r="A285" s="12" t="str">
        <f t="shared" si="6"/>
        <v>Residential_Building Shell_Attic Kneewall Insulation #2 (Fossil Fuel Heat)_%ElectricHeat</v>
      </c>
      <c r="B285" t="s">
        <v>162</v>
      </c>
      <c r="C285" t="s">
        <v>167</v>
      </c>
      <c r="D285" t="s">
        <v>183</v>
      </c>
      <c r="E285" s="102" t="s">
        <v>402</v>
      </c>
      <c r="F285" s="105">
        <v>0</v>
      </c>
      <c r="G285" s="12" t="s">
        <v>533</v>
      </c>
      <c r="H285" s="12" t="s">
        <v>466</v>
      </c>
      <c r="I285" s="12" t="s">
        <v>467</v>
      </c>
      <c r="J285" s="12" t="b">
        <f t="shared" si="11"/>
        <v>0</v>
      </c>
    </row>
    <row r="286" spans="1:10" s="12" customFormat="1" x14ac:dyDescent="0.25">
      <c r="A286" s="12" t="str">
        <f t="shared" si="6"/>
        <v>Residential_Building Shell_Attic Kneewall Insulation #2 (Fossil Fuel Heat)_Delta_kWh_heatingElectric</v>
      </c>
      <c r="B286" t="s">
        <v>162</v>
      </c>
      <c r="C286" t="s">
        <v>167</v>
      </c>
      <c r="D286" t="s">
        <v>183</v>
      </c>
      <c r="E286" s="114" t="s">
        <v>437</v>
      </c>
      <c r="F286" s="116" t="e">
        <f xml:space="preserve"> (((1/ F275 - 1/ F276) * F277 * (1 - F278) * F279 * F280) / (F281 * F283)) * F284 * F285</f>
        <v>#DIV/0!</v>
      </c>
      <c r="H286" s="12" t="s">
        <v>466</v>
      </c>
      <c r="I286" s="12" t="s">
        <v>467</v>
      </c>
      <c r="J286" s="12" t="b">
        <f t="shared" si="11"/>
        <v>1</v>
      </c>
    </row>
    <row r="287" spans="1:10" s="12" customFormat="1" x14ac:dyDescent="0.25">
      <c r="A287" s="12" t="str">
        <f t="shared" si="6"/>
        <v>Residential_Building Shell_Attic Kneewall Insulation #2 (Fossil Fuel Heat)_Delta_kWh_heatingElectric_Mid-Life_Adj</v>
      </c>
      <c r="B287" t="s">
        <v>162</v>
      </c>
      <c r="C287" t="s">
        <v>167</v>
      </c>
      <c r="D287" t="s">
        <v>183</v>
      </c>
      <c r="E287" s="114" t="s">
        <v>438</v>
      </c>
      <c r="F287" s="116" t="e">
        <f xml:space="preserve"> (((1/ F275 - 1/ F276) * F277 * (1 - F278) * F279 * F280) / (F282 * F283)) * F284 * F285</f>
        <v>#DIV/0!</v>
      </c>
      <c r="H287" s="12" t="s">
        <v>466</v>
      </c>
      <c r="I287" s="12" t="s">
        <v>467</v>
      </c>
      <c r="J287" s="12" t="b">
        <f t="shared" si="11"/>
        <v>1</v>
      </c>
    </row>
    <row r="288" spans="1:10" s="12" customFormat="1" x14ac:dyDescent="0.25">
      <c r="A288" s="12" t="str">
        <f t="shared" si="6"/>
        <v>Residential_Building Shell_Attic Kneewall Insulation #2 (Fossil Fuel Heat)_Delta_Therms</v>
      </c>
      <c r="B288" t="s">
        <v>162</v>
      </c>
      <c r="C288" t="s">
        <v>167</v>
      </c>
      <c r="D288" t="s">
        <v>183</v>
      </c>
      <c r="E288" s="114" t="s">
        <v>354</v>
      </c>
      <c r="F288" s="116" t="e">
        <f>F309</f>
        <v>#DIV/0!</v>
      </c>
      <c r="H288" s="12" t="s">
        <v>466</v>
      </c>
      <c r="I288" s="12" t="s">
        <v>467</v>
      </c>
      <c r="J288" s="12" t="b">
        <f t="shared" si="11"/>
        <v>1</v>
      </c>
    </row>
    <row r="289" spans="1:10" s="12" customFormat="1" x14ac:dyDescent="0.25">
      <c r="A289" s="12" t="str">
        <f t="shared" si="6"/>
        <v>Residential_Building Shell_Attic Kneewall Insulation #2 (Fossil Fuel Heat)_Delta_Therms_Mid-Life_Adj</v>
      </c>
      <c r="B289" t="s">
        <v>162</v>
      </c>
      <c r="C289" t="s">
        <v>167</v>
      </c>
      <c r="D289" t="s">
        <v>183</v>
      </c>
      <c r="E289" s="114" t="s">
        <v>473</v>
      </c>
      <c r="F289" s="116" t="e">
        <f>F310</f>
        <v>#DIV/0!</v>
      </c>
      <c r="H289" s="12" t="s">
        <v>466</v>
      </c>
      <c r="I289" s="12" t="s">
        <v>467</v>
      </c>
      <c r="J289" s="12" t="b">
        <f t="shared" si="11"/>
        <v>1</v>
      </c>
    </row>
    <row r="290" spans="1:10" s="12" customFormat="1" x14ac:dyDescent="0.25">
      <c r="A290" s="12" t="str">
        <f t="shared" si="6"/>
        <v>Residential_Building Shell_Attic Kneewall Insulation #2 (Fossil Fuel Heat)_Fe</v>
      </c>
      <c r="B290" t="s">
        <v>162</v>
      </c>
      <c r="C290" t="s">
        <v>167</v>
      </c>
      <c r="D290" t="s">
        <v>183</v>
      </c>
      <c r="E290" s="102" t="s">
        <v>251</v>
      </c>
      <c r="F290" s="105">
        <v>3.1399999999999997E-2</v>
      </c>
      <c r="H290" s="12" t="s">
        <v>466</v>
      </c>
      <c r="I290" s="12" t="s">
        <v>467</v>
      </c>
      <c r="J290" s="12" t="b">
        <f t="shared" si="11"/>
        <v>0</v>
      </c>
    </row>
    <row r="291" spans="1:10" s="12" customFormat="1" x14ac:dyDescent="0.25">
      <c r="A291" s="12" t="str">
        <f t="shared" si="6"/>
        <v>Residential_Building Shell_Attic Kneewall Insulation #2 (Fossil Fuel Heat)_29.3</v>
      </c>
      <c r="B291" t="s">
        <v>162</v>
      </c>
      <c r="C291" t="s">
        <v>167</v>
      </c>
      <c r="D291" t="s">
        <v>183</v>
      </c>
      <c r="E291" s="102">
        <v>29.3</v>
      </c>
      <c r="F291" s="105">
        <v>29.3</v>
      </c>
      <c r="H291" s="12" t="s">
        <v>466</v>
      </c>
      <c r="I291" s="12" t="s">
        <v>467</v>
      </c>
      <c r="J291" s="12" t="b">
        <f t="shared" si="11"/>
        <v>0</v>
      </c>
    </row>
    <row r="292" spans="1:10" s="12" customFormat="1" x14ac:dyDescent="0.25">
      <c r="A292" s="12" t="str">
        <f t="shared" si="6"/>
        <v>Residential_Building Shell_Attic Kneewall Insulation #2 (Fossil Fuel Heat)_Delta_kWh_heatingGas</v>
      </c>
      <c r="B292" t="s">
        <v>162</v>
      </c>
      <c r="C292" t="s">
        <v>167</v>
      </c>
      <c r="D292" t="s">
        <v>183</v>
      </c>
      <c r="E292" s="114" t="s">
        <v>440</v>
      </c>
      <c r="F292" s="116" t="e">
        <f>F288*F290*F291</f>
        <v>#DIV/0!</v>
      </c>
      <c r="H292" s="12" t="s">
        <v>466</v>
      </c>
      <c r="I292" s="12" t="s">
        <v>467</v>
      </c>
      <c r="J292" s="12" t="b">
        <f t="shared" si="11"/>
        <v>1</v>
      </c>
    </row>
    <row r="293" spans="1:10" s="12" customFormat="1" x14ac:dyDescent="0.25">
      <c r="A293" s="12" t="str">
        <f t="shared" si="6"/>
        <v>Residential_Building Shell_Attic Kneewall Insulation #2 (Fossil Fuel Heat)_Delta_kWh_heatingGas_Mid-Life_Adj</v>
      </c>
      <c r="B293" t="s">
        <v>162</v>
      </c>
      <c r="C293" t="s">
        <v>167</v>
      </c>
      <c r="D293" t="s">
        <v>183</v>
      </c>
      <c r="E293" s="114" t="s">
        <v>441</v>
      </c>
      <c r="F293" s="116" t="e">
        <f>F289*F290*F291</f>
        <v>#DIV/0!</v>
      </c>
      <c r="H293" s="12" t="s">
        <v>466</v>
      </c>
      <c r="I293" s="12" t="s">
        <v>467</v>
      </c>
      <c r="J293" s="12" t="b">
        <f t="shared" si="11"/>
        <v>1</v>
      </c>
    </row>
    <row r="294" spans="1:10" s="12" customFormat="1" x14ac:dyDescent="0.25">
      <c r="A294" s="12" t="str">
        <f t="shared" si="6"/>
        <v>Residential_Building Shell_Attic Kneewall Insulation #2 (Fossil Fuel Heat)_FLH_cooling</v>
      </c>
      <c r="B294" t="s">
        <v>162</v>
      </c>
      <c r="C294" t="s">
        <v>167</v>
      </c>
      <c r="D294" t="s">
        <v>183</v>
      </c>
      <c r="E294" s="102" t="s">
        <v>442</v>
      </c>
      <c r="F294" s="105" t="e">
        <f>INDEX('CZ Inputs'!G:G,MATCH(A294&amp;"_"&amp;Dashboard_EE!$K$3,'CZ Inputs'!A:A,0))</f>
        <v>#N/A</v>
      </c>
      <c r="G294" s="12" t="s">
        <v>422</v>
      </c>
      <c r="H294" s="12" t="s">
        <v>466</v>
      </c>
      <c r="I294" s="12" t="s">
        <v>467</v>
      </c>
      <c r="J294" s="12" t="b">
        <f t="shared" si="11"/>
        <v>1</v>
      </c>
    </row>
    <row r="295" spans="1:10" s="12" customFormat="1" x14ac:dyDescent="0.25">
      <c r="A295" s="12" t="str">
        <f t="shared" si="6"/>
        <v>Residential_Building Shell_Attic Kneewall Insulation #2 (Fossil Fuel Heat)_CF</v>
      </c>
      <c r="B295" t="s">
        <v>162</v>
      </c>
      <c r="C295" t="s">
        <v>167</v>
      </c>
      <c r="D295" t="s">
        <v>183</v>
      </c>
      <c r="E295" s="102" t="s">
        <v>277</v>
      </c>
      <c r="F295" s="105">
        <v>0.68</v>
      </c>
      <c r="G295" s="12" t="s">
        <v>319</v>
      </c>
      <c r="H295" s="12" t="s">
        <v>466</v>
      </c>
      <c r="I295" s="12" t="s">
        <v>467</v>
      </c>
      <c r="J295" s="12" t="b">
        <f t="shared" si="11"/>
        <v>0</v>
      </c>
    </row>
    <row r="296" spans="1:10" s="12" customFormat="1" x14ac:dyDescent="0.25">
      <c r="A296" s="12" t="str">
        <f t="shared" si="6"/>
        <v>Residential_Building Shell_Attic Kneewall Insulation #2 (Fossil Fuel Heat)_Delta_kW</v>
      </c>
      <c r="B296" t="s">
        <v>162</v>
      </c>
      <c r="C296" t="s">
        <v>167</v>
      </c>
      <c r="D296" t="s">
        <v>183</v>
      </c>
      <c r="E296" s="114" t="s">
        <v>279</v>
      </c>
      <c r="F296" s="116" t="e">
        <f>(F273/F294)*F295</f>
        <v>#DIV/0!</v>
      </c>
      <c r="H296" s="12" t="s">
        <v>466</v>
      </c>
      <c r="I296" s="12" t="s">
        <v>467</v>
      </c>
      <c r="J296" s="12" t="b">
        <f t="shared" si="11"/>
        <v>1</v>
      </c>
    </row>
    <row r="297" spans="1:10" s="12" customFormat="1" x14ac:dyDescent="0.25">
      <c r="A297" s="12" t="str">
        <f t="shared" si="6"/>
        <v>Residential_Building Shell_Attic Kneewall Insulation #2 (Fossil Fuel Heat)_Delta_kW_Mid-Life_Adj</v>
      </c>
      <c r="B297" t="s">
        <v>162</v>
      </c>
      <c r="C297" t="s">
        <v>167</v>
      </c>
      <c r="D297" t="s">
        <v>183</v>
      </c>
      <c r="E297" s="114" t="s">
        <v>443</v>
      </c>
      <c r="F297" s="116" t="e">
        <f>(F274/F294)*F295</f>
        <v>#DIV/0!</v>
      </c>
      <c r="H297" s="12" t="s">
        <v>466</v>
      </c>
      <c r="I297" s="12" t="s">
        <v>467</v>
      </c>
      <c r="J297" s="12" t="b">
        <f t="shared" si="11"/>
        <v>1</v>
      </c>
    </row>
    <row r="298" spans="1:10" s="12" customFormat="1" x14ac:dyDescent="0.25">
      <c r="A298" s="12" t="str">
        <f t="shared" si="6"/>
        <v>Residential_Building Shell_Attic Kneewall Insulation #2 (Fossil Fuel Heat)_R_old</v>
      </c>
      <c r="B298" t="s">
        <v>162</v>
      </c>
      <c r="C298" t="s">
        <v>167</v>
      </c>
      <c r="D298" t="s">
        <v>183</v>
      </c>
      <c r="E298" s="114" t="s">
        <v>453</v>
      </c>
      <c r="F298" s="116">
        <f>Dashboard_EE!$O$18</f>
        <v>0</v>
      </c>
      <c r="G298" s="12" t="s">
        <v>240</v>
      </c>
      <c r="H298" s="12" t="s">
        <v>466</v>
      </c>
      <c r="I298" s="12" t="s">
        <v>467</v>
      </c>
      <c r="J298" s="12" t="b">
        <f t="shared" si="11"/>
        <v>1</v>
      </c>
    </row>
    <row r="299" spans="1:10" s="12" customFormat="1" x14ac:dyDescent="0.25">
      <c r="A299" s="12" t="str">
        <f t="shared" si="6"/>
        <v>Residential_Building Shell_Attic Kneewall Insulation #2 (Fossil Fuel Heat)_R_wall</v>
      </c>
      <c r="B299" t="s">
        <v>162</v>
      </c>
      <c r="C299" t="s">
        <v>167</v>
      </c>
      <c r="D299" t="s">
        <v>183</v>
      </c>
      <c r="E299" s="114" t="s">
        <v>468</v>
      </c>
      <c r="F299" s="116">
        <f>Dashboard_EE!$P$18</f>
        <v>0</v>
      </c>
      <c r="G299" s="12" t="s">
        <v>240</v>
      </c>
      <c r="H299" s="12" t="s">
        <v>466</v>
      </c>
      <c r="I299" s="12" t="s">
        <v>467</v>
      </c>
      <c r="J299" s="12" t="b">
        <f t="shared" si="11"/>
        <v>1</v>
      </c>
    </row>
    <row r="300" spans="1:10" s="12" customFormat="1" x14ac:dyDescent="0.25">
      <c r="A300" s="12" t="str">
        <f t="shared" si="6"/>
        <v>Residential_Building Shell_Attic Kneewall Insulation #2 (Fossil Fuel Heat)_A_wall</v>
      </c>
      <c r="B300" t="s">
        <v>162</v>
      </c>
      <c r="C300" t="s">
        <v>167</v>
      </c>
      <c r="D300" t="s">
        <v>183</v>
      </c>
      <c r="E300" s="114" t="s">
        <v>469</v>
      </c>
      <c r="F300" s="116">
        <f>Dashboard_EE!$O$7</f>
        <v>0</v>
      </c>
      <c r="G300" s="12" t="s">
        <v>240</v>
      </c>
      <c r="H300" s="12" t="s">
        <v>466</v>
      </c>
      <c r="I300" s="12" t="s">
        <v>467</v>
      </c>
      <c r="J300" s="12" t="b">
        <f t="shared" si="11"/>
        <v>1</v>
      </c>
    </row>
    <row r="301" spans="1:10" s="12" customFormat="1" x14ac:dyDescent="0.25">
      <c r="A301" s="12" t="str">
        <f t="shared" si="6"/>
        <v>Residential_Building Shell_Attic Kneewall Insulation #2 (Fossil Fuel Heat)_Framing_factor_wall</v>
      </c>
      <c r="B301" t="s">
        <v>162</v>
      </c>
      <c r="C301" t="s">
        <v>167</v>
      </c>
      <c r="D301" t="s">
        <v>183</v>
      </c>
      <c r="E301" s="102" t="s">
        <v>470</v>
      </c>
      <c r="F301" s="105">
        <v>0.25</v>
      </c>
      <c r="H301" s="12" t="s">
        <v>466</v>
      </c>
      <c r="I301" s="12" t="s">
        <v>467</v>
      </c>
      <c r="J301" s="12" t="b">
        <f t="shared" si="11"/>
        <v>0</v>
      </c>
    </row>
    <row r="302" spans="1:10" s="12" customFormat="1" x14ac:dyDescent="0.25">
      <c r="A302" s="12" t="str">
        <f t="shared" si="6"/>
        <v>Residential_Building Shell_Attic Kneewall Insulation #2 (Fossil Fuel Heat)_24</v>
      </c>
      <c r="B302" t="s">
        <v>162</v>
      </c>
      <c r="C302" t="s">
        <v>167</v>
      </c>
      <c r="D302" t="s">
        <v>183</v>
      </c>
      <c r="E302" s="102">
        <v>24</v>
      </c>
      <c r="F302" s="105">
        <v>24</v>
      </c>
      <c r="H302" s="12" t="s">
        <v>466</v>
      </c>
      <c r="I302" s="12" t="s">
        <v>467</v>
      </c>
      <c r="J302" s="12" t="b">
        <f t="shared" si="11"/>
        <v>0</v>
      </c>
    </row>
    <row r="303" spans="1:10" s="12" customFormat="1" x14ac:dyDescent="0.25">
      <c r="A303" s="12" t="str">
        <f t="shared" si="6"/>
        <v>Residential_Building Shell_Attic Kneewall Insulation #2 (Fossil Fuel Heat)_HDD</v>
      </c>
      <c r="B303" t="s">
        <v>162</v>
      </c>
      <c r="C303" t="s">
        <v>167</v>
      </c>
      <c r="D303" t="s">
        <v>183</v>
      </c>
      <c r="E303" s="102" t="s">
        <v>433</v>
      </c>
      <c r="F303" s="105" t="e">
        <f>INDEX('CZ Inputs'!G:G,MATCH(A303&amp;"_"&amp;Dashboard_EE!$K$3,'CZ Inputs'!A:A,0))</f>
        <v>#N/A</v>
      </c>
      <c r="G303" s="12" t="s">
        <v>422</v>
      </c>
      <c r="H303" s="12" t="s">
        <v>466</v>
      </c>
      <c r="I303" s="12" t="s">
        <v>467</v>
      </c>
      <c r="J303" s="12" t="b">
        <f t="shared" si="11"/>
        <v>1</v>
      </c>
    </row>
    <row r="304" spans="1:10" s="12" customFormat="1" x14ac:dyDescent="0.25">
      <c r="A304" s="12" t="str">
        <f t="shared" si="6"/>
        <v>Residential_Building Shell_Attic Kneewall Insulation #2 (Fossil Fuel Heat)_ηHeat</v>
      </c>
      <c r="B304" t="s">
        <v>162</v>
      </c>
      <c r="C304" t="s">
        <v>167</v>
      </c>
      <c r="D304" t="s">
        <v>183</v>
      </c>
      <c r="E304" s="114" t="s">
        <v>434</v>
      </c>
      <c r="F304" s="116">
        <f>Dashboard_EE!$K$8</f>
        <v>0</v>
      </c>
      <c r="G304" s="12" t="s">
        <v>240</v>
      </c>
      <c r="H304" s="12" t="s">
        <v>466</v>
      </c>
      <c r="I304" s="12" t="s">
        <v>467</v>
      </c>
      <c r="J304" s="12" t="b">
        <f t="shared" si="11"/>
        <v>1</v>
      </c>
    </row>
    <row r="305" spans="1:10" s="12" customFormat="1" x14ac:dyDescent="0.25">
      <c r="A305" s="12" t="str">
        <f t="shared" si="6"/>
        <v>Residential_Building Shell_Attic Kneewall Insulation #2 (Fossil Fuel Heat)_ηHeat_Mid-Life_Adj</v>
      </c>
      <c r="B305" t="s">
        <v>162</v>
      </c>
      <c r="C305" t="s">
        <v>167</v>
      </c>
      <c r="D305" t="s">
        <v>183</v>
      </c>
      <c r="E305" s="114" t="s">
        <v>435</v>
      </c>
      <c r="F305" s="116">
        <f>Dashboard_EE!$K$8</f>
        <v>0</v>
      </c>
      <c r="G305" s="12" t="s">
        <v>240</v>
      </c>
      <c r="H305" s="12" t="s">
        <v>466</v>
      </c>
      <c r="I305" s="12" t="s">
        <v>467</v>
      </c>
      <c r="J305" s="12" t="b">
        <f t="shared" si="11"/>
        <v>1</v>
      </c>
    </row>
    <row r="306" spans="1:10" s="12" customFormat="1" x14ac:dyDescent="0.25">
      <c r="A306" s="12" t="str">
        <f t="shared" si="6"/>
        <v>Residential_Building Shell_Attic Kneewall Insulation #2 (Fossil Fuel Heat)_100000</v>
      </c>
      <c r="B306" t="s">
        <v>162</v>
      </c>
      <c r="C306" t="s">
        <v>167</v>
      </c>
      <c r="D306" t="s">
        <v>183</v>
      </c>
      <c r="E306" s="102">
        <v>100000</v>
      </c>
      <c r="F306" s="105">
        <v>100000</v>
      </c>
      <c r="H306" s="12" t="s">
        <v>466</v>
      </c>
      <c r="I306" s="12" t="s">
        <v>467</v>
      </c>
      <c r="J306" s="12" t="b">
        <f t="shared" si="11"/>
        <v>0</v>
      </c>
    </row>
    <row r="307" spans="1:10" s="12" customFormat="1" x14ac:dyDescent="0.25">
      <c r="A307" s="12" t="str">
        <f t="shared" si="6"/>
        <v>Residential_Building Shell_Attic Kneewall Insulation #2 (Fossil Fuel Heat)_ADJWallHeat</v>
      </c>
      <c r="B307" t="s">
        <v>162</v>
      </c>
      <c r="C307" t="s">
        <v>167</v>
      </c>
      <c r="D307" t="s">
        <v>183</v>
      </c>
      <c r="E307" s="102" t="s">
        <v>472</v>
      </c>
      <c r="F307" s="105">
        <v>0.63</v>
      </c>
      <c r="H307" s="12" t="s">
        <v>466</v>
      </c>
      <c r="I307" s="12" t="s">
        <v>467</v>
      </c>
      <c r="J307" s="12" t="b">
        <f t="shared" si="11"/>
        <v>0</v>
      </c>
    </row>
    <row r="308" spans="1:10" s="12" customFormat="1" x14ac:dyDescent="0.25">
      <c r="A308" s="12" t="str">
        <f t="shared" si="6"/>
        <v>Residential_Building Shell_Attic Kneewall Insulation #2 (Fossil Fuel Heat)_%GasHeat</v>
      </c>
      <c r="B308" t="s">
        <v>162</v>
      </c>
      <c r="C308" t="s">
        <v>167</v>
      </c>
      <c r="D308" t="s">
        <v>183</v>
      </c>
      <c r="E308" s="102" t="s">
        <v>463</v>
      </c>
      <c r="F308" s="105">
        <v>1</v>
      </c>
      <c r="G308" s="12" t="s">
        <v>533</v>
      </c>
      <c r="H308" s="12" t="s">
        <v>466</v>
      </c>
      <c r="I308" s="12" t="s">
        <v>467</v>
      </c>
      <c r="J308" s="12" t="b">
        <f t="shared" si="11"/>
        <v>0</v>
      </c>
    </row>
    <row r="309" spans="1:10" s="12" customFormat="1" x14ac:dyDescent="0.25">
      <c r="A309" s="12" t="str">
        <f t="shared" si="6"/>
        <v>Residential_Building Shell_Attic Kneewall Insulation #2 (Fossil Fuel Heat)_Delta_Therms</v>
      </c>
      <c r="B309" t="s">
        <v>162</v>
      </c>
      <c r="C309" t="s">
        <v>167</v>
      </c>
      <c r="D309" t="s">
        <v>183</v>
      </c>
      <c r="E309" s="114" t="s">
        <v>354</v>
      </c>
      <c r="F309" s="116" t="e">
        <f xml:space="preserve"> (((1/ F298 - 1/ F299) * F300 * (1 - F301) * F302 * F303) / (F304 * F306)) * F307 * F308</f>
        <v>#DIV/0!</v>
      </c>
      <c r="H309" s="12" t="s">
        <v>466</v>
      </c>
      <c r="I309" s="12" t="s">
        <v>467</v>
      </c>
      <c r="J309" s="12" t="b">
        <f t="shared" si="11"/>
        <v>1</v>
      </c>
    </row>
    <row r="310" spans="1:10" s="12" customFormat="1" x14ac:dyDescent="0.25">
      <c r="A310" s="12" t="str">
        <f t="shared" si="6"/>
        <v>Residential_Building Shell_Attic Kneewall Insulation #2 (Fossil Fuel Heat)_Delta_Therms_Mid-Life_Adj</v>
      </c>
      <c r="B310" t="s">
        <v>162</v>
      </c>
      <c r="C310" t="s">
        <v>167</v>
      </c>
      <c r="D310" t="s">
        <v>183</v>
      </c>
      <c r="E310" s="114" t="s">
        <v>473</v>
      </c>
      <c r="F310" s="116" t="e">
        <f xml:space="preserve"> (((1/ F298 - 1/ F299) * F300 * (1 - F301) * F302 * F303) / (F305 * F306)) * F307 * F308</f>
        <v>#DIV/0!</v>
      </c>
      <c r="H310" s="12" t="s">
        <v>466</v>
      </c>
      <c r="I310" s="12" t="s">
        <v>467</v>
      </c>
      <c r="J310" s="12" t="b">
        <f t="shared" si="11"/>
        <v>1</v>
      </c>
    </row>
    <row r="311" spans="1:10" s="12" customFormat="1" x14ac:dyDescent="0.25">
      <c r="A311" s="12" t="str">
        <f t="shared" si="6"/>
        <v>Residential_Building Shell_Attic Kneewall Insulation #2 (Fossil Fuel Heat)_Remaining Year kWh</v>
      </c>
      <c r="B311" t="s">
        <v>162</v>
      </c>
      <c r="C311" t="s">
        <v>167</v>
      </c>
      <c r="D311" t="s">
        <v>183</v>
      </c>
      <c r="E311" s="111" t="s">
        <v>447</v>
      </c>
      <c r="F311" s="101" t="e">
        <f>F273+F286+F292</f>
        <v>#DIV/0!</v>
      </c>
      <c r="H311" s="12" t="s">
        <v>466</v>
      </c>
      <c r="I311" s="12" t="s">
        <v>467</v>
      </c>
      <c r="J311" s="12" t="b">
        <f t="shared" si="11"/>
        <v>1</v>
      </c>
    </row>
    <row r="312" spans="1:10" s="12" customFormat="1" x14ac:dyDescent="0.25">
      <c r="A312" s="12" t="str">
        <f t="shared" si="6"/>
        <v>Residential_Building Shell_Attic Kneewall Insulation #2 (Fossil Fuel Heat)_kWh Saved per Unit</v>
      </c>
      <c r="B312" t="s">
        <v>162</v>
      </c>
      <c r="C312" t="s">
        <v>167</v>
      </c>
      <c r="D312" t="s">
        <v>183</v>
      </c>
      <c r="E312" s="111" t="s">
        <v>280</v>
      </c>
      <c r="F312" s="101" t="e">
        <f>F274+F287+F293</f>
        <v>#DIV/0!</v>
      </c>
      <c r="H312" s="12" t="s">
        <v>466</v>
      </c>
      <c r="I312" s="12" t="s">
        <v>467</v>
      </c>
      <c r="J312" s="12" t="b">
        <f t="shared" si="11"/>
        <v>1</v>
      </c>
    </row>
    <row r="313" spans="1:10" s="12" customFormat="1" x14ac:dyDescent="0.25">
      <c r="A313" s="12" t="str">
        <f t="shared" si="6"/>
        <v>Residential_Building Shell_Attic Kneewall Insulation #2 (Fossil Fuel Heat)_Remaining Year kW</v>
      </c>
      <c r="B313" t="s">
        <v>162</v>
      </c>
      <c r="C313" t="s">
        <v>167</v>
      </c>
      <c r="D313" t="s">
        <v>183</v>
      </c>
      <c r="E313" s="111" t="s">
        <v>448</v>
      </c>
      <c r="F313" s="101" t="e">
        <f>F296</f>
        <v>#DIV/0!</v>
      </c>
      <c r="H313" s="12" t="s">
        <v>466</v>
      </c>
      <c r="I313" s="12" t="s">
        <v>467</v>
      </c>
      <c r="J313" s="12" t="b">
        <f t="shared" si="11"/>
        <v>1</v>
      </c>
    </row>
    <row r="314" spans="1:10" s="12" customFormat="1" x14ac:dyDescent="0.25">
      <c r="A314" s="12" t="str">
        <f t="shared" si="6"/>
        <v>Residential_Building Shell_Attic Kneewall Insulation #2 (Fossil Fuel Heat)_Coincident Peak kW Saved per Unit</v>
      </c>
      <c r="B314" t="s">
        <v>162</v>
      </c>
      <c r="C314" t="s">
        <v>167</v>
      </c>
      <c r="D314" t="s">
        <v>183</v>
      </c>
      <c r="E314" s="111" t="s">
        <v>281</v>
      </c>
      <c r="F314" s="101" t="e">
        <f>F297</f>
        <v>#DIV/0!</v>
      </c>
      <c r="H314" s="12" t="s">
        <v>466</v>
      </c>
      <c r="I314" s="12" t="s">
        <v>467</v>
      </c>
      <c r="J314" s="12" t="b">
        <f t="shared" si="11"/>
        <v>1</v>
      </c>
    </row>
    <row r="315" spans="1:10" s="12" customFormat="1" x14ac:dyDescent="0.25">
      <c r="A315" s="12" t="str">
        <f t="shared" si="6"/>
        <v>Residential_Building Shell_Attic Kneewall Insulation #2 (Fossil Fuel Heat)_Remaining Year Therms</v>
      </c>
      <c r="B315" t="s">
        <v>162</v>
      </c>
      <c r="C315" t="s">
        <v>167</v>
      </c>
      <c r="D315" t="s">
        <v>183</v>
      </c>
      <c r="E315" s="111" t="s">
        <v>449</v>
      </c>
      <c r="F315" s="101" t="e">
        <f>F309</f>
        <v>#DIV/0!</v>
      </c>
      <c r="G315" s="12" t="s">
        <v>533</v>
      </c>
      <c r="H315" s="12" t="s">
        <v>466</v>
      </c>
      <c r="I315" s="12" t="s">
        <v>467</v>
      </c>
      <c r="J315" s="12" t="b">
        <f t="shared" si="11"/>
        <v>1</v>
      </c>
    </row>
    <row r="316" spans="1:10" s="12" customFormat="1" x14ac:dyDescent="0.25">
      <c r="A316" s="12" t="str">
        <f t="shared" si="6"/>
        <v>Residential_Building Shell_Attic Kneewall Insulation #2 (Fossil Fuel Heat)_Therms Saved per Unit</v>
      </c>
      <c r="B316" t="s">
        <v>162</v>
      </c>
      <c r="C316" t="s">
        <v>167</v>
      </c>
      <c r="D316" t="s">
        <v>183</v>
      </c>
      <c r="E316" s="111" t="s">
        <v>376</v>
      </c>
      <c r="F316" s="101" t="e">
        <f>F310</f>
        <v>#DIV/0!</v>
      </c>
      <c r="G316" s="12" t="s">
        <v>533</v>
      </c>
      <c r="H316" s="12" t="s">
        <v>466</v>
      </c>
      <c r="I316" s="12" t="s">
        <v>467</v>
      </c>
      <c r="J316" s="12" t="b">
        <f t="shared" si="11"/>
        <v>1</v>
      </c>
    </row>
    <row r="317" spans="1:10" s="12" customFormat="1" x14ac:dyDescent="0.25">
      <c r="A317" s="12" t="str">
        <f t="shared" si="6"/>
        <v>Residential_Building Shell_Attic Kneewall Insulation #2 (Fossil Fuel Heat)_Remaining Life</v>
      </c>
      <c r="B317" t="s">
        <v>162</v>
      </c>
      <c r="C317" t="s">
        <v>167</v>
      </c>
      <c r="D317" t="s">
        <v>183</v>
      </c>
      <c r="E317" s="111" t="s">
        <v>450</v>
      </c>
      <c r="F317" s="101">
        <v>10</v>
      </c>
      <c r="H317" s="12" t="s">
        <v>466</v>
      </c>
      <c r="I317" s="12" t="s">
        <v>467</v>
      </c>
      <c r="J317" s="12" t="b">
        <f t="shared" si="11"/>
        <v>0</v>
      </c>
    </row>
    <row r="318" spans="1:10" s="12" customFormat="1" x14ac:dyDescent="0.25">
      <c r="A318" s="12" t="str">
        <f t="shared" si="6"/>
        <v>Residential_Building Shell_Attic Kneewall Insulation #2 (Fossil Fuel Heat)_Lifetime (years)</v>
      </c>
      <c r="B318" t="s">
        <v>162</v>
      </c>
      <c r="C318" t="s">
        <v>167</v>
      </c>
      <c r="D318" t="s">
        <v>183</v>
      </c>
      <c r="E318" s="111" t="s">
        <v>284</v>
      </c>
      <c r="F318" s="101">
        <v>30</v>
      </c>
      <c r="H318" s="12" t="s">
        <v>466</v>
      </c>
      <c r="I318" s="12" t="s">
        <v>467</v>
      </c>
      <c r="J318" s="12" t="b">
        <f t="shared" si="11"/>
        <v>0</v>
      </c>
    </row>
    <row r="319" spans="1:10" s="12" customFormat="1" x14ac:dyDescent="0.25">
      <c r="A319" s="12" t="str">
        <f t="shared" si="6"/>
        <v>Residential_Building Shell_Attic Kneewall Insulation #2 (Fossil Fuel Heat)_Incremental Cost</v>
      </c>
      <c r="B319" t="s">
        <v>162</v>
      </c>
      <c r="C319" t="s">
        <v>167</v>
      </c>
      <c r="D319" t="s">
        <v>183</v>
      </c>
      <c r="E319" s="111" t="s">
        <v>285</v>
      </c>
      <c r="F319" s="100">
        <f>0.9*F263</f>
        <v>0</v>
      </c>
      <c r="G319" s="12" t="s">
        <v>451</v>
      </c>
      <c r="H319" s="12" t="s">
        <v>466</v>
      </c>
      <c r="I319" s="12" t="s">
        <v>467</v>
      </c>
      <c r="J319" s="12" t="b">
        <f t="shared" si="11"/>
        <v>1</v>
      </c>
    </row>
    <row r="320" spans="1:10" s="12" customFormat="1" x14ac:dyDescent="0.25">
      <c r="A320" s="12" t="str">
        <f t="shared" ref="A320:A382" si="12">B320&amp;"_"&amp;C320&amp;"_"&amp;D320&amp;"_"&amp;E320</f>
        <v>Residential_Building Shell_Attic Kneewall Insulation #2 (Fossil Fuel Heat)_BTU Impact_New_Fossil Fuel</v>
      </c>
      <c r="B320" t="s">
        <v>162</v>
      </c>
      <c r="C320" t="s">
        <v>167</v>
      </c>
      <c r="D320" t="s">
        <v>183</v>
      </c>
      <c r="E320" s="111" t="s">
        <v>290</v>
      </c>
      <c r="F320" s="99" t="e">
        <f>-F309*100000</f>
        <v>#DIV/0!</v>
      </c>
      <c r="H320" s="12" t="s">
        <v>466</v>
      </c>
      <c r="I320" s="12" t="s">
        <v>467</v>
      </c>
      <c r="J320" s="12" t="b">
        <f t="shared" si="11"/>
        <v>1</v>
      </c>
    </row>
    <row r="321" spans="1:10" s="12" customFormat="1" x14ac:dyDescent="0.25">
      <c r="A321" s="12" t="str">
        <f t="shared" si="12"/>
        <v>Residential_Building Shell_Attic Kneewall Insulation #2 (Fossil Fuel Heat)_BTU Impact_New_Winter Electricity</v>
      </c>
      <c r="B321" t="s">
        <v>162</v>
      </c>
      <c r="C321" t="s">
        <v>167</v>
      </c>
      <c r="D321" t="s">
        <v>183</v>
      </c>
      <c r="E321" s="111" t="s">
        <v>291</v>
      </c>
      <c r="F321" s="99" t="e">
        <f>-F292*3412</f>
        <v>#DIV/0!</v>
      </c>
      <c r="H321" s="12" t="s">
        <v>466</v>
      </c>
      <c r="I321" s="12" t="s">
        <v>467</v>
      </c>
      <c r="J321" s="12" t="b">
        <f t="shared" si="11"/>
        <v>1</v>
      </c>
    </row>
    <row r="322" spans="1:10" s="12" customFormat="1" x14ac:dyDescent="0.25">
      <c r="A322" s="12" t="str">
        <f t="shared" si="12"/>
        <v>Residential_Building Shell_Attic Kneewall Insulation #2 (Fossil Fuel Heat)_BTU Impact_New_Summer Electricity</v>
      </c>
      <c r="B322" t="s">
        <v>162</v>
      </c>
      <c r="C322" t="s">
        <v>167</v>
      </c>
      <c r="D322" t="s">
        <v>183</v>
      </c>
      <c r="E322" s="111" t="s">
        <v>292</v>
      </c>
      <c r="F322" s="99" t="e">
        <f>-F273*3412</f>
        <v>#DIV/0!</v>
      </c>
      <c r="H322" s="12" t="s">
        <v>466</v>
      </c>
      <c r="I322" s="12" t="s">
        <v>467</v>
      </c>
      <c r="J322" s="12" t="b">
        <f t="shared" si="11"/>
        <v>1</v>
      </c>
    </row>
    <row r="323" spans="1:10" s="12" customFormat="1" x14ac:dyDescent="0.25">
      <c r="A323" s="12" t="str">
        <f t="shared" si="12"/>
        <v>Residential_Building Shell_Attic Kneewall Insulation #2 (Fossil Fuel Heat)_</v>
      </c>
      <c r="B323" t="s">
        <v>162</v>
      </c>
      <c r="C323" t="s">
        <v>167</v>
      </c>
      <c r="D323" t="s">
        <v>183</v>
      </c>
      <c r="E323" s="112"/>
      <c r="F323"/>
      <c r="H323" s="12" t="s">
        <v>466</v>
      </c>
      <c r="I323" s="12" t="s">
        <v>467</v>
      </c>
      <c r="J323" s="12" t="b">
        <f t="shared" si="11"/>
        <v>0</v>
      </c>
    </row>
    <row r="324" spans="1:10" s="12" customFormat="1" x14ac:dyDescent="0.25">
      <c r="A324" s="12" t="str">
        <f t="shared" si="12"/>
        <v>Residential_Building Shell_Wall Insulation (Fossil Fuel Heat)_R_old</v>
      </c>
      <c r="B324" t="s">
        <v>162</v>
      </c>
      <c r="C324" t="s">
        <v>167</v>
      </c>
      <c r="D324" t="s">
        <v>184</v>
      </c>
      <c r="E324" s="102" t="s">
        <v>453</v>
      </c>
      <c r="F324" s="105">
        <f>Dashboard_EE!$O$19</f>
        <v>1</v>
      </c>
      <c r="G324" s="12" t="s">
        <v>476</v>
      </c>
      <c r="H324" s="12" t="s">
        <v>466</v>
      </c>
      <c r="I324" s="12" t="s">
        <v>467</v>
      </c>
      <c r="J324" s="12" t="b">
        <f t="shared" si="11"/>
        <v>1</v>
      </c>
    </row>
    <row r="325" spans="1:10" s="12" customFormat="1" x14ac:dyDescent="0.25">
      <c r="A325" s="12" t="str">
        <f t="shared" si="12"/>
        <v>Residential_Building Shell_Wall Insulation (Fossil Fuel Heat)_R_wall</v>
      </c>
      <c r="B325" t="s">
        <v>162</v>
      </c>
      <c r="C325" t="s">
        <v>167</v>
      </c>
      <c r="D325" t="s">
        <v>184</v>
      </c>
      <c r="E325" s="102" t="s">
        <v>468</v>
      </c>
      <c r="F325" s="105">
        <f>Dashboard_EE!$P$19</f>
        <v>0</v>
      </c>
      <c r="H325" s="12" t="s">
        <v>466</v>
      </c>
      <c r="I325" s="12" t="s">
        <v>467</v>
      </c>
      <c r="J325" s="12" t="b">
        <f t="shared" si="11"/>
        <v>1</v>
      </c>
    </row>
    <row r="326" spans="1:10" s="12" customFormat="1" x14ac:dyDescent="0.25">
      <c r="A326" s="12" t="str">
        <f t="shared" si="12"/>
        <v>Residential_Building Shell_Wall Insulation (Fossil Fuel Heat)_A_wall</v>
      </c>
      <c r="B326" t="s">
        <v>162</v>
      </c>
      <c r="C326" t="s">
        <v>167</v>
      </c>
      <c r="D326" t="s">
        <v>184</v>
      </c>
      <c r="E326" s="114" t="s">
        <v>469</v>
      </c>
      <c r="F326" s="116">
        <f>Dashboard_EE!$O$8</f>
        <v>0</v>
      </c>
      <c r="G326" s="12" t="s">
        <v>414</v>
      </c>
      <c r="H326" s="12" t="s">
        <v>466</v>
      </c>
      <c r="I326" s="12" t="s">
        <v>467</v>
      </c>
      <c r="J326" s="12" t="b">
        <f t="shared" si="11"/>
        <v>1</v>
      </c>
    </row>
    <row r="327" spans="1:10" s="12" customFormat="1" x14ac:dyDescent="0.25">
      <c r="A327" s="12" t="str">
        <f t="shared" si="12"/>
        <v>Residential_Building Shell_Wall Insulation (Fossil Fuel Heat)_Framing_factor_wall</v>
      </c>
      <c r="B327" t="s">
        <v>162</v>
      </c>
      <c r="C327" t="s">
        <v>167</v>
      </c>
      <c r="D327" t="s">
        <v>184</v>
      </c>
      <c r="E327" s="102" t="s">
        <v>470</v>
      </c>
      <c r="F327" s="105">
        <v>0.25</v>
      </c>
      <c r="H327" s="12" t="s">
        <v>466</v>
      </c>
      <c r="I327" s="12" t="s">
        <v>467</v>
      </c>
      <c r="J327" s="12" t="b">
        <f t="shared" si="11"/>
        <v>0</v>
      </c>
    </row>
    <row r="328" spans="1:10" s="12" customFormat="1" x14ac:dyDescent="0.25">
      <c r="A328" s="12" t="str">
        <f t="shared" si="12"/>
        <v>Residential_Building Shell_Wall Insulation (Fossil Fuel Heat)_24</v>
      </c>
      <c r="B328" t="s">
        <v>162</v>
      </c>
      <c r="C328" t="s">
        <v>167</v>
      </c>
      <c r="D328" t="s">
        <v>184</v>
      </c>
      <c r="E328" s="102">
        <v>24</v>
      </c>
      <c r="F328" s="105">
        <v>24</v>
      </c>
      <c r="H328" s="12" t="s">
        <v>466</v>
      </c>
      <c r="I328" s="12" t="s">
        <v>467</v>
      </c>
      <c r="J328" s="12" t="b">
        <f t="shared" si="11"/>
        <v>0</v>
      </c>
    </row>
    <row r="329" spans="1:10" s="12" customFormat="1" x14ac:dyDescent="0.25">
      <c r="A329" s="12" t="str">
        <f t="shared" si="12"/>
        <v>Residential_Building Shell_Wall Insulation (Fossil Fuel Heat)_CDD</v>
      </c>
      <c r="B329" t="s">
        <v>162</v>
      </c>
      <c r="C329" t="s">
        <v>167</v>
      </c>
      <c r="D329" t="s">
        <v>184</v>
      </c>
      <c r="E329" s="102" t="s">
        <v>421</v>
      </c>
      <c r="F329" s="105" t="e">
        <f>INDEX('CZ Inputs'!G:G,MATCH(A329&amp;"_"&amp;Dashboard_EE!$K$3,'CZ Inputs'!A:A,0))</f>
        <v>#N/A</v>
      </c>
      <c r="G329" s="12" t="s">
        <v>422</v>
      </c>
      <c r="H329" s="12" t="s">
        <v>466</v>
      </c>
      <c r="I329" s="12" t="s">
        <v>467</v>
      </c>
      <c r="J329" s="12" t="b">
        <f t="shared" si="11"/>
        <v>1</v>
      </c>
    </row>
    <row r="330" spans="1:10" s="12" customFormat="1" x14ac:dyDescent="0.25">
      <c r="A330" s="12" t="str">
        <f t="shared" si="12"/>
        <v>Residential_Building Shell_Wall Insulation (Fossil Fuel Heat)_DUA</v>
      </c>
      <c r="B330" t="s">
        <v>162</v>
      </c>
      <c r="C330" t="s">
        <v>167</v>
      </c>
      <c r="D330" t="s">
        <v>184</v>
      </c>
      <c r="E330" s="102" t="s">
        <v>423</v>
      </c>
      <c r="F330" s="105">
        <v>0.75</v>
      </c>
      <c r="H330" s="12" t="s">
        <v>466</v>
      </c>
      <c r="I330" s="12" t="s">
        <v>467</v>
      </c>
      <c r="J330" s="12" t="b">
        <f t="shared" si="11"/>
        <v>0</v>
      </c>
    </row>
    <row r="331" spans="1:10" s="12" customFormat="1" x14ac:dyDescent="0.25">
      <c r="A331" s="12" t="str">
        <f t="shared" si="12"/>
        <v>Residential_Building Shell_Wall Insulation (Fossil Fuel Heat)_1000</v>
      </c>
      <c r="B331" t="s">
        <v>162</v>
      </c>
      <c r="C331" t="s">
        <v>167</v>
      </c>
      <c r="D331" t="s">
        <v>184</v>
      </c>
      <c r="E331" s="102">
        <v>1000</v>
      </c>
      <c r="F331" s="105">
        <v>1000</v>
      </c>
      <c r="H331" s="12" t="s">
        <v>466</v>
      </c>
      <c r="I331" s="12" t="s">
        <v>467</v>
      </c>
      <c r="J331" s="12" t="b">
        <f t="shared" si="11"/>
        <v>0</v>
      </c>
    </row>
    <row r="332" spans="1:10" s="12" customFormat="1" x14ac:dyDescent="0.25">
      <c r="A332" s="12" t="str">
        <f t="shared" si="12"/>
        <v>Residential_Building Shell_Wall Insulation (Fossil Fuel Heat)_ηCool</v>
      </c>
      <c r="B332" t="s">
        <v>162</v>
      </c>
      <c r="C332" t="s">
        <v>167</v>
      </c>
      <c r="D332" t="s">
        <v>184</v>
      </c>
      <c r="E332" s="114" t="s">
        <v>424</v>
      </c>
      <c r="F332" s="116">
        <f>Dashboard_EE!$K$13</f>
        <v>0</v>
      </c>
      <c r="G332" s="12" t="s">
        <v>240</v>
      </c>
      <c r="H332" s="12" t="s">
        <v>466</v>
      </c>
      <c r="I332" s="12" t="s">
        <v>467</v>
      </c>
      <c r="J332" s="12" t="b">
        <f t="shared" si="11"/>
        <v>1</v>
      </c>
    </row>
    <row r="333" spans="1:10" s="12" customFormat="1" x14ac:dyDescent="0.25">
      <c r="A333" s="12" t="str">
        <f t="shared" si="12"/>
        <v>Residential_Building Shell_Wall Insulation (Fossil Fuel Heat)_ηCool_Mid-Life_Adj</v>
      </c>
      <c r="B333" t="s">
        <v>162</v>
      </c>
      <c r="C333" t="s">
        <v>167</v>
      </c>
      <c r="D333" t="s">
        <v>184</v>
      </c>
      <c r="E333" s="114" t="s">
        <v>425</v>
      </c>
      <c r="F333" s="116">
        <f>Dashboard_EE!$K$13</f>
        <v>0</v>
      </c>
      <c r="G333" s="12" t="s">
        <v>240</v>
      </c>
      <c r="H333" s="12" t="s">
        <v>466</v>
      </c>
      <c r="I333" s="12" t="s">
        <v>467</v>
      </c>
      <c r="J333" s="12" t="b">
        <f t="shared" si="11"/>
        <v>1</v>
      </c>
    </row>
    <row r="334" spans="1:10" s="12" customFormat="1" x14ac:dyDescent="0.25">
      <c r="A334" s="12" t="str">
        <f t="shared" si="12"/>
        <v>Residential_Building Shell_Wall Insulation (Fossil Fuel Heat)_ADJWallCool</v>
      </c>
      <c r="B334" t="s">
        <v>162</v>
      </c>
      <c r="C334" t="s">
        <v>167</v>
      </c>
      <c r="D334" t="s">
        <v>184</v>
      </c>
      <c r="E334" s="102" t="s">
        <v>471</v>
      </c>
      <c r="F334" s="105">
        <v>0.75</v>
      </c>
      <c r="H334" s="12" t="s">
        <v>466</v>
      </c>
      <c r="I334" s="12" t="s">
        <v>467</v>
      </c>
      <c r="J334" s="12" t="b">
        <f t="shared" si="11"/>
        <v>0</v>
      </c>
    </row>
    <row r="335" spans="1:10" s="12" customFormat="1" x14ac:dyDescent="0.25">
      <c r="A335" s="12" t="str">
        <f t="shared" si="12"/>
        <v>Residential_Building Shell_Wall Insulation (Fossil Fuel Heat)_%Cool</v>
      </c>
      <c r="B335" t="s">
        <v>162</v>
      </c>
      <c r="C335" t="s">
        <v>167</v>
      </c>
      <c r="D335" t="s">
        <v>184</v>
      </c>
      <c r="E335" s="114" t="s">
        <v>397</v>
      </c>
      <c r="F335" s="116">
        <f>IF(Dashboard_EE!$K$14="Yes",1,0)</f>
        <v>0</v>
      </c>
      <c r="G335" s="12" t="s">
        <v>344</v>
      </c>
      <c r="H335" s="12" t="s">
        <v>466</v>
      </c>
      <c r="I335" s="12" t="s">
        <v>467</v>
      </c>
      <c r="J335" s="12" t="b">
        <f t="shared" ref="J335:J454" si="13">_xlfn.ISFORMULA(F335)</f>
        <v>1</v>
      </c>
    </row>
    <row r="336" spans="1:10" s="12" customFormat="1" x14ac:dyDescent="0.25">
      <c r="A336" s="12" t="str">
        <f t="shared" si="12"/>
        <v>Residential_Building Shell_Wall Insulation (Fossil Fuel Heat)_Delta_kWh_cooling</v>
      </c>
      <c r="B336" t="s">
        <v>162</v>
      </c>
      <c r="C336" t="s">
        <v>167</v>
      </c>
      <c r="D336" t="s">
        <v>184</v>
      </c>
      <c r="E336" s="114" t="s">
        <v>430</v>
      </c>
      <c r="F336" s="116" t="e">
        <f xml:space="preserve"> ((((1/ F324 - 1/ F325) * F326 * (1 - F327)) * F328 * F329 * F330) / (F331 * F332)) * F334 * F335</f>
        <v>#DIV/0!</v>
      </c>
      <c r="H336" s="12" t="s">
        <v>466</v>
      </c>
      <c r="I336" s="12" t="s">
        <v>467</v>
      </c>
      <c r="J336" s="12" t="b">
        <f t="shared" si="13"/>
        <v>1</v>
      </c>
    </row>
    <row r="337" spans="1:10" s="12" customFormat="1" x14ac:dyDescent="0.25">
      <c r="A337" s="12" t="str">
        <f t="shared" si="12"/>
        <v>Residential_Building Shell_Wall Insulation (Fossil Fuel Heat)_Delta_kWh_cooling_Mid-Life_Adj</v>
      </c>
      <c r="B337" t="s">
        <v>162</v>
      </c>
      <c r="C337" t="s">
        <v>167</v>
      </c>
      <c r="D337" t="s">
        <v>184</v>
      </c>
      <c r="E337" s="114" t="s">
        <v>431</v>
      </c>
      <c r="F337" s="116" t="e">
        <f xml:space="preserve"> ((((1/ F324 - 1/ F325) * F326 * (1 - F327)) * F328 * F329 * F330) / (F331 * F333)) * F334 * F335</f>
        <v>#DIV/0!</v>
      </c>
      <c r="H337" s="12" t="s">
        <v>466</v>
      </c>
      <c r="I337" s="12" t="s">
        <v>467</v>
      </c>
      <c r="J337" s="12" t="b">
        <f t="shared" si="13"/>
        <v>1</v>
      </c>
    </row>
    <row r="338" spans="1:10" s="12" customFormat="1" x14ac:dyDescent="0.25">
      <c r="A338" s="12" t="str">
        <f t="shared" si="12"/>
        <v>Residential_Building Shell_Wall Insulation (Fossil Fuel Heat)_R_old</v>
      </c>
      <c r="B338" t="s">
        <v>162</v>
      </c>
      <c r="C338" t="s">
        <v>167</v>
      </c>
      <c r="D338" t="s">
        <v>184</v>
      </c>
      <c r="E338" s="102" t="s">
        <v>453</v>
      </c>
      <c r="F338" s="105">
        <f>Dashboard_EE!$O$19</f>
        <v>1</v>
      </c>
      <c r="G338" s="12" t="s">
        <v>476</v>
      </c>
      <c r="H338" s="12" t="s">
        <v>466</v>
      </c>
      <c r="I338" s="12" t="s">
        <v>467</v>
      </c>
      <c r="J338" s="12" t="b">
        <f t="shared" si="13"/>
        <v>1</v>
      </c>
    </row>
    <row r="339" spans="1:10" s="12" customFormat="1" x14ac:dyDescent="0.25">
      <c r="A339" s="12" t="str">
        <f t="shared" si="12"/>
        <v>Residential_Building Shell_Wall Insulation (Fossil Fuel Heat)_R_wall</v>
      </c>
      <c r="B339" t="s">
        <v>162</v>
      </c>
      <c r="C339" t="s">
        <v>167</v>
      </c>
      <c r="D339" t="s">
        <v>184</v>
      </c>
      <c r="E339" s="102" t="s">
        <v>468</v>
      </c>
      <c r="F339" s="105">
        <f>Dashboard_EE!$P$19</f>
        <v>0</v>
      </c>
      <c r="H339" s="12" t="s">
        <v>466</v>
      </c>
      <c r="I339" s="12" t="s">
        <v>467</v>
      </c>
      <c r="J339" s="12" t="b">
        <f t="shared" si="13"/>
        <v>1</v>
      </c>
    </row>
    <row r="340" spans="1:10" s="12" customFormat="1" x14ac:dyDescent="0.25">
      <c r="A340" s="12" t="str">
        <f t="shared" si="12"/>
        <v>Residential_Building Shell_Wall Insulation (Fossil Fuel Heat)_A_wall</v>
      </c>
      <c r="B340" t="s">
        <v>162</v>
      </c>
      <c r="C340" t="s">
        <v>167</v>
      </c>
      <c r="D340" t="s">
        <v>184</v>
      </c>
      <c r="E340" s="114" t="s">
        <v>469</v>
      </c>
      <c r="F340" s="116">
        <f>Dashboard_EE!$O$8</f>
        <v>0</v>
      </c>
      <c r="G340" s="12" t="s">
        <v>414</v>
      </c>
      <c r="H340" s="12" t="s">
        <v>466</v>
      </c>
      <c r="I340" s="12" t="s">
        <v>467</v>
      </c>
      <c r="J340" s="12" t="b">
        <f t="shared" si="13"/>
        <v>1</v>
      </c>
    </row>
    <row r="341" spans="1:10" s="12" customFormat="1" x14ac:dyDescent="0.25">
      <c r="A341" s="12" t="str">
        <f t="shared" si="12"/>
        <v>Residential_Building Shell_Wall Insulation (Fossil Fuel Heat)_Framing_factor_wall</v>
      </c>
      <c r="B341" t="s">
        <v>162</v>
      </c>
      <c r="C341" t="s">
        <v>167</v>
      </c>
      <c r="D341" t="s">
        <v>184</v>
      </c>
      <c r="E341" s="102" t="s">
        <v>470</v>
      </c>
      <c r="F341" s="105">
        <v>0.25</v>
      </c>
      <c r="H341" s="12" t="s">
        <v>466</v>
      </c>
      <c r="I341" s="12" t="s">
        <v>467</v>
      </c>
      <c r="J341" s="12" t="b">
        <f t="shared" si="13"/>
        <v>0</v>
      </c>
    </row>
    <row r="342" spans="1:10" s="12" customFormat="1" x14ac:dyDescent="0.25">
      <c r="A342" s="12" t="str">
        <f t="shared" si="12"/>
        <v>Residential_Building Shell_Wall Insulation (Fossil Fuel Heat)_24</v>
      </c>
      <c r="B342" t="s">
        <v>162</v>
      </c>
      <c r="C342" t="s">
        <v>167</v>
      </c>
      <c r="D342" t="s">
        <v>184</v>
      </c>
      <c r="E342" s="102">
        <v>24</v>
      </c>
      <c r="F342" s="105">
        <v>24</v>
      </c>
      <c r="H342" s="12" t="s">
        <v>466</v>
      </c>
      <c r="I342" s="12" t="s">
        <v>467</v>
      </c>
      <c r="J342" s="12" t="b">
        <f t="shared" si="13"/>
        <v>0</v>
      </c>
    </row>
    <row r="343" spans="1:10" s="12" customFormat="1" x14ac:dyDescent="0.25">
      <c r="A343" s="12" t="str">
        <f t="shared" si="12"/>
        <v>Residential_Building Shell_Wall Insulation (Fossil Fuel Heat)_HDD</v>
      </c>
      <c r="B343" t="s">
        <v>162</v>
      </c>
      <c r="C343" t="s">
        <v>167</v>
      </c>
      <c r="D343" t="s">
        <v>184</v>
      </c>
      <c r="E343" s="102" t="s">
        <v>433</v>
      </c>
      <c r="F343" s="105" t="e">
        <f>INDEX('CZ Inputs'!G:G,MATCH(A343&amp;"_"&amp;Dashboard_EE!$K$3,'CZ Inputs'!A:A,0))</f>
        <v>#N/A</v>
      </c>
      <c r="G343" s="12" t="s">
        <v>422</v>
      </c>
      <c r="H343" s="12" t="s">
        <v>466</v>
      </c>
      <c r="I343" s="12" t="s">
        <v>467</v>
      </c>
      <c r="J343" s="12" t="b">
        <f t="shared" si="13"/>
        <v>1</v>
      </c>
    </row>
    <row r="344" spans="1:10" s="12" customFormat="1" x14ac:dyDescent="0.25">
      <c r="A344" s="12" t="str">
        <f t="shared" si="12"/>
        <v>Residential_Building Shell_Wall Insulation (Fossil Fuel Heat)_ηHeat</v>
      </c>
      <c r="B344" t="s">
        <v>162</v>
      </c>
      <c r="C344" t="s">
        <v>167</v>
      </c>
      <c r="D344" t="s">
        <v>184</v>
      </c>
      <c r="E344" s="114" t="s">
        <v>434</v>
      </c>
      <c r="F344" s="116">
        <f>Dashboard_EE!$K$6</f>
        <v>0</v>
      </c>
      <c r="G344" s="12" t="s">
        <v>240</v>
      </c>
      <c r="H344" s="12" t="s">
        <v>466</v>
      </c>
      <c r="I344" s="12" t="s">
        <v>467</v>
      </c>
      <c r="J344" s="12" t="b">
        <f t="shared" si="13"/>
        <v>1</v>
      </c>
    </row>
    <row r="345" spans="1:10" s="12" customFormat="1" x14ac:dyDescent="0.25">
      <c r="A345" s="12" t="str">
        <f t="shared" si="12"/>
        <v>Residential_Building Shell_Wall Insulation (Fossil Fuel Heat)_ηHeat_Mid-Life_Adj</v>
      </c>
      <c r="B345" t="s">
        <v>162</v>
      </c>
      <c r="C345" t="s">
        <v>167</v>
      </c>
      <c r="D345" t="s">
        <v>184</v>
      </c>
      <c r="E345" s="114" t="s">
        <v>435</v>
      </c>
      <c r="F345" s="116">
        <f>Dashboard_EE!$K$6</f>
        <v>0</v>
      </c>
      <c r="G345" s="12" t="s">
        <v>240</v>
      </c>
      <c r="H345" s="12" t="s">
        <v>466</v>
      </c>
      <c r="I345" s="12" t="s">
        <v>467</v>
      </c>
      <c r="J345" s="12" t="b">
        <f t="shared" si="13"/>
        <v>1</v>
      </c>
    </row>
    <row r="346" spans="1:10" s="12" customFormat="1" x14ac:dyDescent="0.25">
      <c r="A346" s="12" t="str">
        <f t="shared" si="12"/>
        <v>Residential_Building Shell_Wall Insulation (Fossil Fuel Heat)_3412</v>
      </c>
      <c r="B346" t="s">
        <v>162</v>
      </c>
      <c r="C346" t="s">
        <v>167</v>
      </c>
      <c r="D346" t="s">
        <v>184</v>
      </c>
      <c r="E346" s="102">
        <v>3412</v>
      </c>
      <c r="F346" s="105">
        <v>3412</v>
      </c>
      <c r="H346" s="12" t="s">
        <v>466</v>
      </c>
      <c r="I346" s="12" t="s">
        <v>467</v>
      </c>
      <c r="J346" s="12" t="b">
        <f t="shared" si="13"/>
        <v>0</v>
      </c>
    </row>
    <row r="347" spans="1:10" s="12" customFormat="1" x14ac:dyDescent="0.25">
      <c r="A347" s="12" t="str">
        <f t="shared" si="12"/>
        <v>Residential_Building Shell_Wall Insulation (Fossil Fuel Heat)_ADJWallHeat</v>
      </c>
      <c r="B347" t="s">
        <v>162</v>
      </c>
      <c r="C347" t="s">
        <v>167</v>
      </c>
      <c r="D347" t="s">
        <v>184</v>
      </c>
      <c r="E347" s="102" t="s">
        <v>472</v>
      </c>
      <c r="F347" s="105">
        <v>0.63</v>
      </c>
      <c r="H347" s="12" t="s">
        <v>466</v>
      </c>
      <c r="I347" s="12" t="s">
        <v>467</v>
      </c>
      <c r="J347" s="12" t="b">
        <f t="shared" si="13"/>
        <v>0</v>
      </c>
    </row>
    <row r="348" spans="1:10" s="12" customFormat="1" x14ac:dyDescent="0.25">
      <c r="A348" s="12" t="str">
        <f t="shared" si="12"/>
        <v>Residential_Building Shell_Wall Insulation (Fossil Fuel Heat)_%ElectricHeat</v>
      </c>
      <c r="B348" t="s">
        <v>162</v>
      </c>
      <c r="C348" t="s">
        <v>167</v>
      </c>
      <c r="D348" t="s">
        <v>184</v>
      </c>
      <c r="E348" s="102" t="s">
        <v>402</v>
      </c>
      <c r="F348" s="105">
        <v>0</v>
      </c>
      <c r="G348" s="12" t="s">
        <v>533</v>
      </c>
      <c r="H348" s="12" t="s">
        <v>466</v>
      </c>
      <c r="I348" s="12" t="s">
        <v>467</v>
      </c>
      <c r="J348" s="12" t="b">
        <f t="shared" si="13"/>
        <v>0</v>
      </c>
    </row>
    <row r="349" spans="1:10" s="12" customFormat="1" x14ac:dyDescent="0.25">
      <c r="A349" s="12" t="str">
        <f t="shared" si="12"/>
        <v>Residential_Building Shell_Wall Insulation (Fossil Fuel Heat)_Delta_kWh_heatingElectric</v>
      </c>
      <c r="B349" t="s">
        <v>162</v>
      </c>
      <c r="C349" t="s">
        <v>167</v>
      </c>
      <c r="D349" t="s">
        <v>184</v>
      </c>
      <c r="E349" s="114" t="s">
        <v>437</v>
      </c>
      <c r="F349" s="116" t="e">
        <f xml:space="preserve"> (((1/ F338 - 1/ F339) * F340 * (1 - F341) * F342 * F343) / (F344 * F346)) * F347 * F348</f>
        <v>#DIV/0!</v>
      </c>
      <c r="H349" s="12" t="s">
        <v>466</v>
      </c>
      <c r="I349" s="12" t="s">
        <v>467</v>
      </c>
      <c r="J349" s="12" t="b">
        <f t="shared" si="13"/>
        <v>1</v>
      </c>
    </row>
    <row r="350" spans="1:10" s="12" customFormat="1" x14ac:dyDescent="0.25">
      <c r="A350" s="12" t="str">
        <f t="shared" si="12"/>
        <v>Residential_Building Shell_Wall Insulation (Fossil Fuel Heat)_Delta_kWh_heatingElectric_Mid-Life_Adj</v>
      </c>
      <c r="B350" t="s">
        <v>162</v>
      </c>
      <c r="C350" t="s">
        <v>167</v>
      </c>
      <c r="D350" t="s">
        <v>184</v>
      </c>
      <c r="E350" s="114" t="s">
        <v>438</v>
      </c>
      <c r="F350" s="116" t="e">
        <f xml:space="preserve"> (((1/ F338 - 1/ F339) * F340 * (1 - F341) * F342 * F343) / (F345 * F346)) * F347 * F348</f>
        <v>#DIV/0!</v>
      </c>
      <c r="H350" s="12" t="s">
        <v>466</v>
      </c>
      <c r="I350" s="12" t="s">
        <v>467</v>
      </c>
      <c r="J350" s="12" t="b">
        <f t="shared" si="13"/>
        <v>1</v>
      </c>
    </row>
    <row r="351" spans="1:10" s="12" customFormat="1" x14ac:dyDescent="0.25">
      <c r="A351" s="12" t="str">
        <f t="shared" si="12"/>
        <v>Residential_Building Shell_Wall Insulation (Fossil Fuel Heat)_Delta_Therms</v>
      </c>
      <c r="B351" t="s">
        <v>162</v>
      </c>
      <c r="C351" t="s">
        <v>167</v>
      </c>
      <c r="D351" t="s">
        <v>184</v>
      </c>
      <c r="E351" s="114" t="s">
        <v>354</v>
      </c>
      <c r="F351" s="116" t="e">
        <f>F372</f>
        <v>#DIV/0!</v>
      </c>
      <c r="H351" s="12" t="s">
        <v>466</v>
      </c>
      <c r="I351" s="12" t="s">
        <v>467</v>
      </c>
      <c r="J351" s="12" t="b">
        <f t="shared" si="13"/>
        <v>1</v>
      </c>
    </row>
    <row r="352" spans="1:10" s="12" customFormat="1" x14ac:dyDescent="0.25">
      <c r="A352" s="12" t="str">
        <f t="shared" si="12"/>
        <v>Residential_Building Shell_Wall Insulation (Fossil Fuel Heat)_Delta_Therms_Mid-Life_Adj</v>
      </c>
      <c r="B352" t="s">
        <v>162</v>
      </c>
      <c r="C352" t="s">
        <v>167</v>
      </c>
      <c r="D352" t="s">
        <v>184</v>
      </c>
      <c r="E352" s="114" t="s">
        <v>473</v>
      </c>
      <c r="F352" s="116" t="e">
        <f>F373</f>
        <v>#DIV/0!</v>
      </c>
      <c r="H352" s="12" t="s">
        <v>466</v>
      </c>
      <c r="I352" s="12" t="s">
        <v>467</v>
      </c>
      <c r="J352" s="12" t="b">
        <f t="shared" si="13"/>
        <v>1</v>
      </c>
    </row>
    <row r="353" spans="1:10" s="12" customFormat="1" x14ac:dyDescent="0.25">
      <c r="A353" s="12" t="str">
        <f t="shared" si="12"/>
        <v>Residential_Building Shell_Wall Insulation (Fossil Fuel Heat)_Fe</v>
      </c>
      <c r="B353" t="s">
        <v>162</v>
      </c>
      <c r="C353" t="s">
        <v>167</v>
      </c>
      <c r="D353" t="s">
        <v>184</v>
      </c>
      <c r="E353" s="102" t="s">
        <v>251</v>
      </c>
      <c r="F353" s="105">
        <v>3.1399999999999997E-2</v>
      </c>
      <c r="H353" s="12" t="s">
        <v>466</v>
      </c>
      <c r="I353" s="12" t="s">
        <v>467</v>
      </c>
      <c r="J353" s="12" t="b">
        <f t="shared" si="13"/>
        <v>0</v>
      </c>
    </row>
    <row r="354" spans="1:10" s="12" customFormat="1" x14ac:dyDescent="0.25">
      <c r="A354" s="12" t="str">
        <f t="shared" si="12"/>
        <v>Residential_Building Shell_Wall Insulation (Fossil Fuel Heat)_29.3</v>
      </c>
      <c r="B354" t="s">
        <v>162</v>
      </c>
      <c r="C354" t="s">
        <v>167</v>
      </c>
      <c r="D354" t="s">
        <v>184</v>
      </c>
      <c r="E354" s="102">
        <v>29.3</v>
      </c>
      <c r="F354" s="105">
        <v>29.3</v>
      </c>
      <c r="H354" s="12" t="s">
        <v>466</v>
      </c>
      <c r="I354" s="12" t="s">
        <v>467</v>
      </c>
      <c r="J354" s="12" t="b">
        <f t="shared" si="13"/>
        <v>0</v>
      </c>
    </row>
    <row r="355" spans="1:10" s="12" customFormat="1" x14ac:dyDescent="0.25">
      <c r="A355" s="12" t="str">
        <f t="shared" si="12"/>
        <v>Residential_Building Shell_Wall Insulation (Fossil Fuel Heat)_Delta_kWh_heatingGas</v>
      </c>
      <c r="B355" t="s">
        <v>162</v>
      </c>
      <c r="C355" t="s">
        <v>167</v>
      </c>
      <c r="D355" t="s">
        <v>184</v>
      </c>
      <c r="E355" s="114" t="s">
        <v>440</v>
      </c>
      <c r="F355" s="116" t="e">
        <f>F351*F353*F354</f>
        <v>#DIV/0!</v>
      </c>
      <c r="H355" s="12" t="s">
        <v>466</v>
      </c>
      <c r="I355" s="12" t="s">
        <v>467</v>
      </c>
      <c r="J355" s="12" t="b">
        <f t="shared" si="13"/>
        <v>1</v>
      </c>
    </row>
    <row r="356" spans="1:10" s="12" customFormat="1" x14ac:dyDescent="0.25">
      <c r="A356" s="12" t="str">
        <f t="shared" si="12"/>
        <v>Residential_Building Shell_Wall Insulation (Fossil Fuel Heat)_Delta_kWh_heatingGas_Mid-Life_Adj</v>
      </c>
      <c r="B356" t="s">
        <v>162</v>
      </c>
      <c r="C356" t="s">
        <v>167</v>
      </c>
      <c r="D356" t="s">
        <v>184</v>
      </c>
      <c r="E356" s="114" t="s">
        <v>441</v>
      </c>
      <c r="F356" s="116" t="e">
        <f>F352*F353*F354</f>
        <v>#DIV/0!</v>
      </c>
      <c r="H356" s="12" t="s">
        <v>466</v>
      </c>
      <c r="I356" s="12" t="s">
        <v>467</v>
      </c>
      <c r="J356" s="12" t="b">
        <f t="shared" si="13"/>
        <v>1</v>
      </c>
    </row>
    <row r="357" spans="1:10" s="12" customFormat="1" x14ac:dyDescent="0.25">
      <c r="A357" s="12" t="str">
        <f t="shared" si="12"/>
        <v>Residential_Building Shell_Wall Insulation (Fossil Fuel Heat)_FLH_cooling</v>
      </c>
      <c r="B357" t="s">
        <v>162</v>
      </c>
      <c r="C357" t="s">
        <v>167</v>
      </c>
      <c r="D357" t="s">
        <v>184</v>
      </c>
      <c r="E357" s="102" t="s">
        <v>442</v>
      </c>
      <c r="F357" s="105" t="e">
        <f>INDEX('CZ Inputs'!G:G,MATCH(A357&amp;"_"&amp;Dashboard_EE!$K$3,'CZ Inputs'!A:A,0))</f>
        <v>#N/A</v>
      </c>
      <c r="G357" s="12" t="s">
        <v>422</v>
      </c>
      <c r="H357" s="12" t="s">
        <v>466</v>
      </c>
      <c r="I357" s="12" t="s">
        <v>467</v>
      </c>
      <c r="J357" s="12" t="b">
        <f t="shared" si="13"/>
        <v>1</v>
      </c>
    </row>
    <row r="358" spans="1:10" s="12" customFormat="1" x14ac:dyDescent="0.25">
      <c r="A358" s="12" t="str">
        <f t="shared" si="12"/>
        <v>Residential_Building Shell_Wall Insulation (Fossil Fuel Heat)_CF</v>
      </c>
      <c r="B358" t="s">
        <v>162</v>
      </c>
      <c r="C358" t="s">
        <v>167</v>
      </c>
      <c r="D358" t="s">
        <v>184</v>
      </c>
      <c r="E358" s="102" t="s">
        <v>277</v>
      </c>
      <c r="F358" s="105">
        <v>0.68</v>
      </c>
      <c r="G358" s="12" t="s">
        <v>319</v>
      </c>
      <c r="H358" s="12" t="s">
        <v>466</v>
      </c>
      <c r="I358" s="12" t="s">
        <v>467</v>
      </c>
      <c r="J358" s="12" t="b">
        <f t="shared" si="13"/>
        <v>0</v>
      </c>
    </row>
    <row r="359" spans="1:10" s="12" customFormat="1" x14ac:dyDescent="0.25">
      <c r="A359" s="12" t="str">
        <f t="shared" si="12"/>
        <v>Residential_Building Shell_Wall Insulation (Fossil Fuel Heat)_Delta_kW</v>
      </c>
      <c r="B359" t="s">
        <v>162</v>
      </c>
      <c r="C359" t="s">
        <v>167</v>
      </c>
      <c r="D359" t="s">
        <v>184</v>
      </c>
      <c r="E359" s="114" t="s">
        <v>279</v>
      </c>
      <c r="F359" s="116" t="e">
        <f>(F336/F357)*F358</f>
        <v>#DIV/0!</v>
      </c>
      <c r="H359" s="12" t="s">
        <v>466</v>
      </c>
      <c r="I359" s="12" t="s">
        <v>467</v>
      </c>
      <c r="J359" s="12" t="b">
        <f t="shared" si="13"/>
        <v>1</v>
      </c>
    </row>
    <row r="360" spans="1:10" s="12" customFormat="1" x14ac:dyDescent="0.25">
      <c r="A360" s="12" t="str">
        <f t="shared" si="12"/>
        <v>Residential_Building Shell_Wall Insulation (Fossil Fuel Heat)_Delta_kW_Mid-Life_Adj</v>
      </c>
      <c r="B360" t="s">
        <v>162</v>
      </c>
      <c r="C360" t="s">
        <v>167</v>
      </c>
      <c r="D360" t="s">
        <v>184</v>
      </c>
      <c r="E360" s="114" t="s">
        <v>443</v>
      </c>
      <c r="F360" s="116" t="e">
        <f>(F337/F357)*F358</f>
        <v>#DIV/0!</v>
      </c>
      <c r="H360" s="12" t="s">
        <v>466</v>
      </c>
      <c r="I360" s="12" t="s">
        <v>467</v>
      </c>
      <c r="J360" s="12" t="b">
        <f t="shared" si="13"/>
        <v>1</v>
      </c>
    </row>
    <row r="361" spans="1:10" s="12" customFormat="1" x14ac:dyDescent="0.25">
      <c r="A361" s="12" t="str">
        <f t="shared" si="12"/>
        <v>Residential_Building Shell_Wall Insulation (Fossil Fuel Heat)_R_old</v>
      </c>
      <c r="B361" t="s">
        <v>162</v>
      </c>
      <c r="C361" t="s">
        <v>167</v>
      </c>
      <c r="D361" t="s">
        <v>184</v>
      </c>
      <c r="E361" s="102" t="s">
        <v>453</v>
      </c>
      <c r="F361" s="105">
        <f>Dashboard_EE!$O$19</f>
        <v>1</v>
      </c>
      <c r="G361" s="12" t="s">
        <v>476</v>
      </c>
      <c r="H361" s="12" t="s">
        <v>466</v>
      </c>
      <c r="I361" s="12" t="s">
        <v>467</v>
      </c>
      <c r="J361" s="12" t="b">
        <f t="shared" si="13"/>
        <v>1</v>
      </c>
    </row>
    <row r="362" spans="1:10" s="12" customFormat="1" x14ac:dyDescent="0.25">
      <c r="A362" s="12" t="str">
        <f t="shared" si="12"/>
        <v>Residential_Building Shell_Wall Insulation (Fossil Fuel Heat)_R_wall</v>
      </c>
      <c r="B362" t="s">
        <v>162</v>
      </c>
      <c r="C362" t="s">
        <v>167</v>
      </c>
      <c r="D362" t="s">
        <v>184</v>
      </c>
      <c r="E362" s="102" t="s">
        <v>468</v>
      </c>
      <c r="F362" s="105">
        <f>Dashboard_EE!$P$19</f>
        <v>0</v>
      </c>
      <c r="H362" s="12" t="s">
        <v>466</v>
      </c>
      <c r="I362" s="12" t="s">
        <v>467</v>
      </c>
      <c r="J362" s="12" t="b">
        <f t="shared" si="13"/>
        <v>1</v>
      </c>
    </row>
    <row r="363" spans="1:10" s="12" customFormat="1" x14ac:dyDescent="0.25">
      <c r="A363" s="12" t="str">
        <f t="shared" si="12"/>
        <v>Residential_Building Shell_Wall Insulation (Fossil Fuel Heat)_A_wall</v>
      </c>
      <c r="B363" t="s">
        <v>162</v>
      </c>
      <c r="C363" t="s">
        <v>167</v>
      </c>
      <c r="D363" t="s">
        <v>184</v>
      </c>
      <c r="E363" s="114" t="s">
        <v>469</v>
      </c>
      <c r="F363" s="116">
        <f>Dashboard_EE!$O$8</f>
        <v>0</v>
      </c>
      <c r="G363" s="12" t="s">
        <v>414</v>
      </c>
      <c r="H363" s="12" t="s">
        <v>466</v>
      </c>
      <c r="I363" s="12" t="s">
        <v>467</v>
      </c>
      <c r="J363" s="12" t="b">
        <f t="shared" si="13"/>
        <v>1</v>
      </c>
    </row>
    <row r="364" spans="1:10" s="12" customFormat="1" x14ac:dyDescent="0.25">
      <c r="A364" s="12" t="str">
        <f t="shared" si="12"/>
        <v>Residential_Building Shell_Wall Insulation (Fossil Fuel Heat)_Framing_factor_wall</v>
      </c>
      <c r="B364" t="s">
        <v>162</v>
      </c>
      <c r="C364" t="s">
        <v>167</v>
      </c>
      <c r="D364" t="s">
        <v>184</v>
      </c>
      <c r="E364" s="102" t="s">
        <v>470</v>
      </c>
      <c r="F364" s="105">
        <v>0.25</v>
      </c>
      <c r="H364" s="12" t="s">
        <v>466</v>
      </c>
      <c r="I364" s="12" t="s">
        <v>467</v>
      </c>
      <c r="J364" s="12" t="b">
        <f t="shared" si="13"/>
        <v>0</v>
      </c>
    </row>
    <row r="365" spans="1:10" s="12" customFormat="1" x14ac:dyDescent="0.25">
      <c r="A365" s="12" t="str">
        <f t="shared" si="12"/>
        <v>Residential_Building Shell_Wall Insulation (Fossil Fuel Heat)_24</v>
      </c>
      <c r="B365" t="s">
        <v>162</v>
      </c>
      <c r="C365" t="s">
        <v>167</v>
      </c>
      <c r="D365" t="s">
        <v>184</v>
      </c>
      <c r="E365" s="102">
        <v>24</v>
      </c>
      <c r="F365" s="105">
        <v>24</v>
      </c>
      <c r="H365" s="12" t="s">
        <v>466</v>
      </c>
      <c r="I365" s="12" t="s">
        <v>467</v>
      </c>
      <c r="J365" s="12" t="b">
        <f t="shared" si="13"/>
        <v>0</v>
      </c>
    </row>
    <row r="366" spans="1:10" s="12" customFormat="1" x14ac:dyDescent="0.25">
      <c r="A366" s="12" t="str">
        <f t="shared" si="12"/>
        <v>Residential_Building Shell_Wall Insulation (Fossil Fuel Heat)_HDD</v>
      </c>
      <c r="B366" t="s">
        <v>162</v>
      </c>
      <c r="C366" t="s">
        <v>167</v>
      </c>
      <c r="D366" t="s">
        <v>184</v>
      </c>
      <c r="E366" s="102" t="s">
        <v>433</v>
      </c>
      <c r="F366" s="105" t="e">
        <f>INDEX('CZ Inputs'!G:G,MATCH(A366&amp;"_"&amp;Dashboard_EE!$K$3,'CZ Inputs'!A:A,0))</f>
        <v>#N/A</v>
      </c>
      <c r="G366" s="12" t="s">
        <v>422</v>
      </c>
      <c r="H366" s="12" t="s">
        <v>466</v>
      </c>
      <c r="I366" s="12" t="s">
        <v>467</v>
      </c>
      <c r="J366" s="12" t="b">
        <f t="shared" si="13"/>
        <v>1</v>
      </c>
    </row>
    <row r="367" spans="1:10" s="12" customFormat="1" x14ac:dyDescent="0.25">
      <c r="A367" s="12" t="str">
        <f t="shared" si="12"/>
        <v>Residential_Building Shell_Wall Insulation (Fossil Fuel Heat)_ηHeat</v>
      </c>
      <c r="B367" t="s">
        <v>162</v>
      </c>
      <c r="C367" t="s">
        <v>167</v>
      </c>
      <c r="D367" t="s">
        <v>184</v>
      </c>
      <c r="E367" s="114" t="s">
        <v>434</v>
      </c>
      <c r="F367" s="116">
        <f>Dashboard_EE!$K$8</f>
        <v>0</v>
      </c>
      <c r="G367" s="12" t="s">
        <v>240</v>
      </c>
      <c r="H367" s="12" t="s">
        <v>466</v>
      </c>
      <c r="I367" s="12" t="s">
        <v>467</v>
      </c>
      <c r="J367" s="12" t="b">
        <f t="shared" si="13"/>
        <v>1</v>
      </c>
    </row>
    <row r="368" spans="1:10" s="12" customFormat="1" x14ac:dyDescent="0.25">
      <c r="A368" s="12" t="str">
        <f t="shared" si="12"/>
        <v>Residential_Building Shell_Wall Insulation (Fossil Fuel Heat)_ηHeat_Mid-Life_Adj</v>
      </c>
      <c r="B368" t="s">
        <v>162</v>
      </c>
      <c r="C368" t="s">
        <v>167</v>
      </c>
      <c r="D368" t="s">
        <v>184</v>
      </c>
      <c r="E368" s="114" t="s">
        <v>435</v>
      </c>
      <c r="F368" s="116">
        <f>Dashboard_EE!$K$8</f>
        <v>0</v>
      </c>
      <c r="G368" s="12" t="s">
        <v>240</v>
      </c>
      <c r="H368" s="12" t="s">
        <v>466</v>
      </c>
      <c r="I368" s="12" t="s">
        <v>467</v>
      </c>
      <c r="J368" s="12" t="b">
        <f t="shared" si="13"/>
        <v>1</v>
      </c>
    </row>
    <row r="369" spans="1:10" s="12" customFormat="1" x14ac:dyDescent="0.25">
      <c r="A369" s="12" t="str">
        <f t="shared" si="12"/>
        <v>Residential_Building Shell_Wall Insulation (Fossil Fuel Heat)_100000</v>
      </c>
      <c r="B369" t="s">
        <v>162</v>
      </c>
      <c r="C369" t="s">
        <v>167</v>
      </c>
      <c r="D369" t="s">
        <v>184</v>
      </c>
      <c r="E369" s="102">
        <v>100000</v>
      </c>
      <c r="F369" s="105">
        <v>100000</v>
      </c>
      <c r="H369" s="12" t="s">
        <v>466</v>
      </c>
      <c r="I369" s="12" t="s">
        <v>467</v>
      </c>
      <c r="J369" s="12" t="b">
        <f t="shared" si="13"/>
        <v>0</v>
      </c>
    </row>
    <row r="370" spans="1:10" s="12" customFormat="1" x14ac:dyDescent="0.25">
      <c r="A370" s="12" t="str">
        <f t="shared" si="12"/>
        <v>Residential_Building Shell_Wall Insulation (Fossil Fuel Heat)_ADJWallHeat</v>
      </c>
      <c r="B370" t="s">
        <v>162</v>
      </c>
      <c r="C370" t="s">
        <v>167</v>
      </c>
      <c r="D370" t="s">
        <v>184</v>
      </c>
      <c r="E370" s="102" t="s">
        <v>472</v>
      </c>
      <c r="F370" s="105">
        <v>0.6</v>
      </c>
      <c r="H370" s="12" t="s">
        <v>466</v>
      </c>
      <c r="I370" s="12" t="s">
        <v>467</v>
      </c>
      <c r="J370" s="12" t="b">
        <f t="shared" si="13"/>
        <v>0</v>
      </c>
    </row>
    <row r="371" spans="1:10" s="12" customFormat="1" x14ac:dyDescent="0.25">
      <c r="A371" s="12" t="str">
        <f t="shared" si="12"/>
        <v>Residential_Building Shell_Wall Insulation (Fossil Fuel Heat)_%GasHeat</v>
      </c>
      <c r="B371" t="s">
        <v>162</v>
      </c>
      <c r="C371" t="s">
        <v>167</v>
      </c>
      <c r="D371" t="s">
        <v>184</v>
      </c>
      <c r="E371" s="102" t="s">
        <v>463</v>
      </c>
      <c r="F371" s="105">
        <v>1</v>
      </c>
      <c r="G371" s="12" t="s">
        <v>533</v>
      </c>
      <c r="H371" s="12" t="s">
        <v>466</v>
      </c>
      <c r="I371" s="12" t="s">
        <v>467</v>
      </c>
      <c r="J371" s="12" t="b">
        <f t="shared" si="13"/>
        <v>0</v>
      </c>
    </row>
    <row r="372" spans="1:10" s="12" customFormat="1" x14ac:dyDescent="0.25">
      <c r="A372" s="12" t="str">
        <f t="shared" si="12"/>
        <v>Residential_Building Shell_Wall Insulation (Fossil Fuel Heat)_Delta_Therms</v>
      </c>
      <c r="B372" t="s">
        <v>162</v>
      </c>
      <c r="C372" t="s">
        <v>167</v>
      </c>
      <c r="D372" t="s">
        <v>184</v>
      </c>
      <c r="E372" s="114" t="s">
        <v>354</v>
      </c>
      <c r="F372" s="116" t="e">
        <f xml:space="preserve"> (((1/ F361 - 1/ F362) * F363 * (1 - F364) * F365 * F366) / (F367 * F369)) * F370 * F371</f>
        <v>#DIV/0!</v>
      </c>
      <c r="H372" s="12" t="s">
        <v>466</v>
      </c>
      <c r="I372" s="12" t="s">
        <v>467</v>
      </c>
      <c r="J372" s="12" t="b">
        <f t="shared" si="13"/>
        <v>1</v>
      </c>
    </row>
    <row r="373" spans="1:10" s="12" customFormat="1" x14ac:dyDescent="0.25">
      <c r="A373" s="12" t="str">
        <f t="shared" si="12"/>
        <v>Residential_Building Shell_Wall Insulation (Fossil Fuel Heat)_Delta_Therms_Mid-Life_Adj</v>
      </c>
      <c r="B373" t="s">
        <v>162</v>
      </c>
      <c r="C373" t="s">
        <v>167</v>
      </c>
      <c r="D373" t="s">
        <v>184</v>
      </c>
      <c r="E373" s="114" t="s">
        <v>473</v>
      </c>
      <c r="F373" s="116" t="e">
        <f xml:space="preserve"> (((1/ F361 - 1/ F362) * F363 * (1 - F364) * F365 * F366) / (F368 * F369)) * F370 * F371</f>
        <v>#DIV/0!</v>
      </c>
      <c r="H373" s="12" t="s">
        <v>466</v>
      </c>
      <c r="I373" s="12" t="s">
        <v>467</v>
      </c>
      <c r="J373" s="12" t="b">
        <f t="shared" si="13"/>
        <v>1</v>
      </c>
    </row>
    <row r="374" spans="1:10" s="12" customFormat="1" x14ac:dyDescent="0.25">
      <c r="A374" s="12" t="str">
        <f t="shared" si="12"/>
        <v>Residential_Building Shell_Wall Insulation (Fossil Fuel Heat)_Remaining Year kWh</v>
      </c>
      <c r="B374" t="s">
        <v>162</v>
      </c>
      <c r="C374" t="s">
        <v>167</v>
      </c>
      <c r="D374" t="s">
        <v>184</v>
      </c>
      <c r="E374" s="111" t="s">
        <v>447</v>
      </c>
      <c r="F374" s="101" t="e">
        <f>F336+F349+F355</f>
        <v>#DIV/0!</v>
      </c>
      <c r="H374" s="12" t="s">
        <v>466</v>
      </c>
      <c r="I374" s="12" t="s">
        <v>467</v>
      </c>
      <c r="J374" s="12" t="b">
        <f t="shared" si="13"/>
        <v>1</v>
      </c>
    </row>
    <row r="375" spans="1:10" s="12" customFormat="1" x14ac:dyDescent="0.25">
      <c r="A375" s="12" t="str">
        <f t="shared" si="12"/>
        <v>Residential_Building Shell_Wall Insulation (Fossil Fuel Heat)_kWh Saved per Unit</v>
      </c>
      <c r="B375" t="s">
        <v>162</v>
      </c>
      <c r="C375" t="s">
        <v>167</v>
      </c>
      <c r="D375" t="s">
        <v>184</v>
      </c>
      <c r="E375" s="111" t="s">
        <v>280</v>
      </c>
      <c r="F375" s="101" t="e">
        <f>F337+F350+F356</f>
        <v>#DIV/0!</v>
      </c>
      <c r="H375" s="12" t="s">
        <v>466</v>
      </c>
      <c r="I375" s="12" t="s">
        <v>467</v>
      </c>
      <c r="J375" s="12" t="b">
        <f t="shared" si="13"/>
        <v>1</v>
      </c>
    </row>
    <row r="376" spans="1:10" s="12" customFormat="1" x14ac:dyDescent="0.25">
      <c r="A376" s="12" t="str">
        <f t="shared" si="12"/>
        <v>Residential_Building Shell_Wall Insulation (Fossil Fuel Heat)_Remaining Year kW</v>
      </c>
      <c r="B376" t="s">
        <v>162</v>
      </c>
      <c r="C376" t="s">
        <v>167</v>
      </c>
      <c r="D376" t="s">
        <v>184</v>
      </c>
      <c r="E376" s="111" t="s">
        <v>448</v>
      </c>
      <c r="F376" s="101" t="e">
        <f>F359</f>
        <v>#DIV/0!</v>
      </c>
      <c r="H376" s="12" t="s">
        <v>466</v>
      </c>
      <c r="I376" s="12" t="s">
        <v>467</v>
      </c>
      <c r="J376" s="12" t="b">
        <f t="shared" si="13"/>
        <v>1</v>
      </c>
    </row>
    <row r="377" spans="1:10" s="12" customFormat="1" x14ac:dyDescent="0.25">
      <c r="A377" s="12" t="str">
        <f t="shared" si="12"/>
        <v>Residential_Building Shell_Wall Insulation (Fossil Fuel Heat)_Coincident Peak kW Saved per Unit</v>
      </c>
      <c r="B377" t="s">
        <v>162</v>
      </c>
      <c r="C377" t="s">
        <v>167</v>
      </c>
      <c r="D377" t="s">
        <v>184</v>
      </c>
      <c r="E377" s="111" t="s">
        <v>281</v>
      </c>
      <c r="F377" s="101" t="e">
        <f>F360</f>
        <v>#DIV/0!</v>
      </c>
      <c r="H377" s="12" t="s">
        <v>466</v>
      </c>
      <c r="I377" s="12" t="s">
        <v>467</v>
      </c>
      <c r="J377" s="12" t="b">
        <f t="shared" si="13"/>
        <v>1</v>
      </c>
    </row>
    <row r="378" spans="1:10" s="12" customFormat="1" x14ac:dyDescent="0.25">
      <c r="A378" s="12" t="str">
        <f t="shared" si="12"/>
        <v>Residential_Building Shell_Wall Insulation (Fossil Fuel Heat)_Remaining Year Therms</v>
      </c>
      <c r="B378" t="s">
        <v>162</v>
      </c>
      <c r="C378" t="s">
        <v>167</v>
      </c>
      <c r="D378" t="s">
        <v>184</v>
      </c>
      <c r="E378" s="111" t="s">
        <v>449</v>
      </c>
      <c r="F378" s="101" t="e">
        <f>F372</f>
        <v>#DIV/0!</v>
      </c>
      <c r="G378" s="12" t="s">
        <v>533</v>
      </c>
      <c r="H378" s="12" t="s">
        <v>466</v>
      </c>
      <c r="I378" s="12" t="s">
        <v>467</v>
      </c>
      <c r="J378" s="12" t="b">
        <f t="shared" si="13"/>
        <v>1</v>
      </c>
    </row>
    <row r="379" spans="1:10" s="12" customFormat="1" x14ac:dyDescent="0.25">
      <c r="A379" s="12" t="str">
        <f t="shared" si="12"/>
        <v>Residential_Building Shell_Wall Insulation (Fossil Fuel Heat)_Therms Saved per Unit</v>
      </c>
      <c r="B379" t="s">
        <v>162</v>
      </c>
      <c r="C379" t="s">
        <v>167</v>
      </c>
      <c r="D379" t="s">
        <v>184</v>
      </c>
      <c r="E379" s="111" t="s">
        <v>376</v>
      </c>
      <c r="F379" s="101" t="e">
        <f>F373</f>
        <v>#DIV/0!</v>
      </c>
      <c r="G379" s="12" t="s">
        <v>533</v>
      </c>
      <c r="H379" s="12" t="s">
        <v>466</v>
      </c>
      <c r="I379" s="12" t="s">
        <v>467</v>
      </c>
      <c r="J379" s="12" t="b">
        <f t="shared" si="13"/>
        <v>1</v>
      </c>
    </row>
    <row r="380" spans="1:10" s="12" customFormat="1" x14ac:dyDescent="0.25">
      <c r="A380" s="12" t="str">
        <f t="shared" si="12"/>
        <v>Residential_Building Shell_Wall Insulation (Fossil Fuel Heat)_Remaining Life</v>
      </c>
      <c r="B380" t="s">
        <v>162</v>
      </c>
      <c r="C380" t="s">
        <v>167</v>
      </c>
      <c r="D380" t="s">
        <v>184</v>
      </c>
      <c r="E380" s="111" t="s">
        <v>450</v>
      </c>
      <c r="F380" s="101">
        <v>10</v>
      </c>
      <c r="H380" s="12" t="s">
        <v>466</v>
      </c>
      <c r="I380" s="12" t="s">
        <v>467</v>
      </c>
      <c r="J380" s="12" t="b">
        <f t="shared" si="13"/>
        <v>0</v>
      </c>
    </row>
    <row r="381" spans="1:10" s="12" customFormat="1" x14ac:dyDescent="0.25">
      <c r="A381" s="12" t="str">
        <f t="shared" si="12"/>
        <v>Residential_Building Shell_Wall Insulation (Fossil Fuel Heat)_Lifetime (years)</v>
      </c>
      <c r="B381" t="s">
        <v>162</v>
      </c>
      <c r="C381" t="s">
        <v>167</v>
      </c>
      <c r="D381" t="s">
        <v>184</v>
      </c>
      <c r="E381" s="111" t="s">
        <v>284</v>
      </c>
      <c r="F381" s="101">
        <v>30</v>
      </c>
      <c r="H381" s="12" t="s">
        <v>466</v>
      </c>
      <c r="I381" s="12" t="s">
        <v>467</v>
      </c>
      <c r="J381" s="12" t="b">
        <f t="shared" si="13"/>
        <v>0</v>
      </c>
    </row>
    <row r="382" spans="1:10" s="12" customFormat="1" x14ac:dyDescent="0.25">
      <c r="A382" s="12" t="str">
        <f t="shared" si="12"/>
        <v>Residential_Building Shell_Wall Insulation (Fossil Fuel Heat)_Incremental Cost</v>
      </c>
      <c r="B382" t="s">
        <v>162</v>
      </c>
      <c r="C382" t="s">
        <v>167</v>
      </c>
      <c r="D382" t="s">
        <v>184</v>
      </c>
      <c r="E382" s="111" t="s">
        <v>285</v>
      </c>
      <c r="F382" s="100">
        <f>0.9*F326</f>
        <v>0</v>
      </c>
      <c r="G382" s="12" t="s">
        <v>451</v>
      </c>
      <c r="H382" s="12" t="s">
        <v>466</v>
      </c>
      <c r="I382" s="12" t="s">
        <v>467</v>
      </c>
      <c r="J382" s="12" t="b">
        <f t="shared" si="13"/>
        <v>1</v>
      </c>
    </row>
    <row r="383" spans="1:10" s="12" customFormat="1" x14ac:dyDescent="0.25">
      <c r="A383" s="12" t="str">
        <f t="shared" ref="A383:A444" si="14">B383&amp;"_"&amp;C383&amp;"_"&amp;D383&amp;"_"&amp;E383</f>
        <v>Residential_Building Shell_Wall Insulation (Fossil Fuel Heat)_BTU Impact_New_Fossil Fuel</v>
      </c>
      <c r="B383" t="s">
        <v>162</v>
      </c>
      <c r="C383" t="s">
        <v>167</v>
      </c>
      <c r="D383" t="s">
        <v>184</v>
      </c>
      <c r="E383" s="111" t="s">
        <v>290</v>
      </c>
      <c r="F383" s="99" t="e">
        <f>-F372*100000</f>
        <v>#DIV/0!</v>
      </c>
      <c r="H383" s="12" t="s">
        <v>466</v>
      </c>
      <c r="I383" s="12" t="s">
        <v>467</v>
      </c>
      <c r="J383" s="12" t="b">
        <f t="shared" si="13"/>
        <v>1</v>
      </c>
    </row>
    <row r="384" spans="1:10" s="12" customFormat="1" x14ac:dyDescent="0.25">
      <c r="A384" s="12" t="str">
        <f t="shared" si="14"/>
        <v>Residential_Building Shell_Wall Insulation (Fossil Fuel Heat)_BTU Impact_New_Winter Electricity</v>
      </c>
      <c r="B384" t="s">
        <v>162</v>
      </c>
      <c r="C384" t="s">
        <v>167</v>
      </c>
      <c r="D384" t="s">
        <v>184</v>
      </c>
      <c r="E384" s="111" t="s">
        <v>291</v>
      </c>
      <c r="F384" s="99" t="e">
        <f>-F355*3412</f>
        <v>#DIV/0!</v>
      </c>
      <c r="H384" s="12" t="s">
        <v>466</v>
      </c>
      <c r="I384" s="12" t="s">
        <v>467</v>
      </c>
      <c r="J384" s="12" t="b">
        <f t="shared" si="13"/>
        <v>1</v>
      </c>
    </row>
    <row r="385" spans="1:10" s="12" customFormat="1" x14ac:dyDescent="0.25">
      <c r="A385" s="12" t="str">
        <f t="shared" si="14"/>
        <v>Residential_Building Shell_Wall Insulation (Fossil Fuel Heat)_BTU Impact_New_Summer Electricity</v>
      </c>
      <c r="B385" t="s">
        <v>162</v>
      </c>
      <c r="C385" t="s">
        <v>167</v>
      </c>
      <c r="D385" t="s">
        <v>184</v>
      </c>
      <c r="E385" s="111" t="s">
        <v>292</v>
      </c>
      <c r="F385" s="99" t="e">
        <f>-F336*3412</f>
        <v>#DIV/0!</v>
      </c>
      <c r="H385" s="12" t="s">
        <v>466</v>
      </c>
      <c r="I385" s="12" t="s">
        <v>467</v>
      </c>
      <c r="J385" s="12" t="b">
        <f t="shared" si="13"/>
        <v>1</v>
      </c>
    </row>
    <row r="386" spans="1:10" s="12" customFormat="1" x14ac:dyDescent="0.25">
      <c r="A386" s="12" t="str">
        <f t="shared" si="14"/>
        <v>Residential_Building Shell_Wall Insulation (Fossil Fuel Heat)_</v>
      </c>
      <c r="B386" t="s">
        <v>162</v>
      </c>
      <c r="C386" t="s">
        <v>167</v>
      </c>
      <c r="D386" t="s">
        <v>184</v>
      </c>
      <c r="E386" s="112"/>
      <c r="F386"/>
      <c r="H386" s="12" t="s">
        <v>466</v>
      </c>
      <c r="I386" s="12" t="s">
        <v>467</v>
      </c>
      <c r="J386" s="12" t="b">
        <f t="shared" si="13"/>
        <v>0</v>
      </c>
    </row>
    <row r="387" spans="1:10" s="12" customFormat="1" x14ac:dyDescent="0.25">
      <c r="A387" s="12" t="str">
        <f t="shared" si="14"/>
        <v>Residential_Building Shell_Rim/Band Joist Insulation (Fossil Fuel Heat)_R_old</v>
      </c>
      <c r="B387" t="s">
        <v>162</v>
      </c>
      <c r="C387" t="s">
        <v>167</v>
      </c>
      <c r="D387" t="s">
        <v>185</v>
      </c>
      <c r="E387" s="102" t="s">
        <v>453</v>
      </c>
      <c r="F387" s="105">
        <f>Dashboard_EE!$O$20</f>
        <v>1</v>
      </c>
      <c r="G387" s="12" t="s">
        <v>476</v>
      </c>
      <c r="H387" s="12" t="s">
        <v>478</v>
      </c>
      <c r="I387" s="12" t="s">
        <v>479</v>
      </c>
      <c r="J387" s="12" t="b">
        <f t="shared" si="13"/>
        <v>1</v>
      </c>
    </row>
    <row r="388" spans="1:10" s="12" customFormat="1" x14ac:dyDescent="0.25">
      <c r="A388" s="12" t="str">
        <f t="shared" si="14"/>
        <v>Residential_Building Shell_Rim/Band Joist Insulation (Fossil Fuel Heat)_R_rim</v>
      </c>
      <c r="B388" t="s">
        <v>162</v>
      </c>
      <c r="C388" t="s">
        <v>167</v>
      </c>
      <c r="D388" t="s">
        <v>185</v>
      </c>
      <c r="E388" s="102" t="s">
        <v>480</v>
      </c>
      <c r="F388" s="105">
        <f>Dashboard_EE!$P$20</f>
        <v>0</v>
      </c>
      <c r="H388" s="12" t="s">
        <v>478</v>
      </c>
      <c r="I388" s="12" t="s">
        <v>479</v>
      </c>
      <c r="J388" s="12" t="b">
        <f t="shared" si="13"/>
        <v>1</v>
      </c>
    </row>
    <row r="389" spans="1:10" s="12" customFormat="1" x14ac:dyDescent="0.25">
      <c r="A389" s="12" t="str">
        <f t="shared" si="14"/>
        <v>Residential_Building Shell_Rim/Band Joist Insulation (Fossil Fuel Heat)_A_rim</v>
      </c>
      <c r="B389" t="s">
        <v>162</v>
      </c>
      <c r="C389" t="s">
        <v>167</v>
      </c>
      <c r="D389" t="s">
        <v>185</v>
      </c>
      <c r="E389" s="114" t="s">
        <v>481</v>
      </c>
      <c r="F389" s="116">
        <f>Dashboard_EE!$O$9</f>
        <v>0</v>
      </c>
      <c r="G389" s="12" t="s">
        <v>414</v>
      </c>
      <c r="H389" s="12" t="s">
        <v>478</v>
      </c>
      <c r="I389" s="12" t="s">
        <v>479</v>
      </c>
      <c r="J389" s="12" t="b">
        <f t="shared" si="13"/>
        <v>1</v>
      </c>
    </row>
    <row r="390" spans="1:10" s="12" customFormat="1" x14ac:dyDescent="0.25">
      <c r="A390" s="12" t="str">
        <f t="shared" si="14"/>
        <v>Residential_Building Shell_Rim/Band Joist Insulation (Fossil Fuel Heat)_Framing_factor_rim</v>
      </c>
      <c r="B390" t="s">
        <v>162</v>
      </c>
      <c r="C390" t="s">
        <v>167</v>
      </c>
      <c r="D390" t="s">
        <v>185</v>
      </c>
      <c r="E390" s="102" t="s">
        <v>482</v>
      </c>
      <c r="F390" s="105">
        <v>0.05</v>
      </c>
      <c r="H390" s="12" t="s">
        <v>478</v>
      </c>
      <c r="I390" s="12" t="s">
        <v>479</v>
      </c>
      <c r="J390" s="12" t="b">
        <f t="shared" si="13"/>
        <v>0</v>
      </c>
    </row>
    <row r="391" spans="1:10" s="12" customFormat="1" x14ac:dyDescent="0.25">
      <c r="A391" s="12" t="str">
        <f t="shared" si="14"/>
        <v>Residential_Building Shell_Rim/Band Joist Insulation (Fossil Fuel Heat)_CDD</v>
      </c>
      <c r="B391" t="s">
        <v>162</v>
      </c>
      <c r="C391" t="s">
        <v>167</v>
      </c>
      <c r="D391" t="s">
        <v>185</v>
      </c>
      <c r="E391" s="102" t="s">
        <v>421</v>
      </c>
      <c r="F391" s="105" t="e">
        <f>INDEX('CZ Inputs'!G:G,MATCH(A391&amp;"_"&amp;Dashboard_EE!$K$3,'CZ Inputs'!A:A,0))</f>
        <v>#N/A</v>
      </c>
      <c r="G391" s="12" t="s">
        <v>483</v>
      </c>
      <c r="H391" s="12" t="s">
        <v>478</v>
      </c>
      <c r="I391" s="12" t="s">
        <v>479</v>
      </c>
      <c r="J391" s="12" t="b">
        <f t="shared" si="13"/>
        <v>1</v>
      </c>
    </row>
    <row r="392" spans="1:10" s="12" customFormat="1" x14ac:dyDescent="0.25">
      <c r="A392" s="12" t="str">
        <f t="shared" si="14"/>
        <v>Residential_Building Shell_Rim/Band Joist Insulation (Fossil Fuel Heat)_24</v>
      </c>
      <c r="B392" t="s">
        <v>162</v>
      </c>
      <c r="C392" t="s">
        <v>167</v>
      </c>
      <c r="D392" t="s">
        <v>185</v>
      </c>
      <c r="E392" s="102">
        <v>24</v>
      </c>
      <c r="F392" s="105">
        <v>24</v>
      </c>
      <c r="H392" s="12" t="s">
        <v>478</v>
      </c>
      <c r="I392" s="12" t="s">
        <v>479</v>
      </c>
      <c r="J392" s="12" t="b">
        <f t="shared" si="13"/>
        <v>0</v>
      </c>
    </row>
    <row r="393" spans="1:10" s="12" customFormat="1" x14ac:dyDescent="0.25">
      <c r="A393" s="12" t="str">
        <f t="shared" si="14"/>
        <v>Residential_Building Shell_Rim/Band Joist Insulation (Fossil Fuel Heat)_DUA</v>
      </c>
      <c r="B393" t="s">
        <v>162</v>
      </c>
      <c r="C393" t="s">
        <v>167</v>
      </c>
      <c r="D393" t="s">
        <v>185</v>
      </c>
      <c r="E393" s="102" t="s">
        <v>423</v>
      </c>
      <c r="F393" s="105">
        <v>0.75</v>
      </c>
      <c r="H393" s="12" t="s">
        <v>478</v>
      </c>
      <c r="I393" s="12" t="s">
        <v>479</v>
      </c>
      <c r="J393" s="12" t="b">
        <f t="shared" si="13"/>
        <v>0</v>
      </c>
    </row>
    <row r="394" spans="1:10" s="12" customFormat="1" x14ac:dyDescent="0.25">
      <c r="A394" s="12" t="str">
        <f t="shared" si="14"/>
        <v>Residential_Building Shell_Rim/Band Joist Insulation (Fossil Fuel Heat)_ADJBasementCool</v>
      </c>
      <c r="B394" t="s">
        <v>162</v>
      </c>
      <c r="C394" t="s">
        <v>167</v>
      </c>
      <c r="D394" t="s">
        <v>185</v>
      </c>
      <c r="E394" s="102" t="s">
        <v>484</v>
      </c>
      <c r="F394" s="105">
        <v>0.75</v>
      </c>
      <c r="H394" s="12" t="s">
        <v>478</v>
      </c>
      <c r="I394" s="12" t="s">
        <v>479</v>
      </c>
      <c r="J394" s="12" t="b">
        <f t="shared" si="13"/>
        <v>0</v>
      </c>
    </row>
    <row r="395" spans="1:10" s="12" customFormat="1" x14ac:dyDescent="0.25">
      <c r="A395" s="12" t="str">
        <f t="shared" si="14"/>
        <v>Residential_Building Shell_Rim/Band Joist Insulation (Fossil Fuel Heat)_%Cool</v>
      </c>
      <c r="B395" t="s">
        <v>162</v>
      </c>
      <c r="C395" t="s">
        <v>167</v>
      </c>
      <c r="D395" t="s">
        <v>185</v>
      </c>
      <c r="E395" s="114" t="s">
        <v>397</v>
      </c>
      <c r="F395" s="116">
        <f>IF(Dashboard_EE!$K$14="Yes",1,0)</f>
        <v>0</v>
      </c>
      <c r="G395" s="12" t="s">
        <v>344</v>
      </c>
      <c r="H395" s="12" t="s">
        <v>478</v>
      </c>
      <c r="I395" s="12" t="s">
        <v>479</v>
      </c>
      <c r="J395" s="12" t="b">
        <f t="shared" si="13"/>
        <v>1</v>
      </c>
    </row>
    <row r="396" spans="1:10" s="12" customFormat="1" x14ac:dyDescent="0.25">
      <c r="A396" s="12" t="str">
        <f t="shared" si="14"/>
        <v>Residential_Building Shell_Rim/Band Joist Insulation (Fossil Fuel Heat)_1000</v>
      </c>
      <c r="B396" t="s">
        <v>162</v>
      </c>
      <c r="C396" t="s">
        <v>167</v>
      </c>
      <c r="D396" t="s">
        <v>185</v>
      </c>
      <c r="E396" s="102">
        <v>1000</v>
      </c>
      <c r="F396" s="105">
        <v>1000</v>
      </c>
      <c r="H396" s="12" t="s">
        <v>478</v>
      </c>
      <c r="I396" s="12" t="s">
        <v>479</v>
      </c>
      <c r="J396" s="12" t="b">
        <f t="shared" si="13"/>
        <v>0</v>
      </c>
    </row>
    <row r="397" spans="1:10" s="12" customFormat="1" x14ac:dyDescent="0.25">
      <c r="A397" s="12" t="str">
        <f t="shared" si="14"/>
        <v>Residential_Building Shell_Rim/Band Joist Insulation (Fossil Fuel Heat)_ηCool</v>
      </c>
      <c r="B397" t="s">
        <v>162</v>
      </c>
      <c r="C397" t="s">
        <v>167</v>
      </c>
      <c r="D397" t="s">
        <v>185</v>
      </c>
      <c r="E397" s="114" t="s">
        <v>424</v>
      </c>
      <c r="F397" s="116">
        <f>Dashboard_EE!$K$13</f>
        <v>0</v>
      </c>
      <c r="G397" s="12" t="s">
        <v>240</v>
      </c>
      <c r="H397" s="12" t="s">
        <v>478</v>
      </c>
      <c r="I397" s="12" t="s">
        <v>479</v>
      </c>
      <c r="J397" s="12" t="b">
        <f t="shared" si="13"/>
        <v>1</v>
      </c>
    </row>
    <row r="398" spans="1:10" s="12" customFormat="1" x14ac:dyDescent="0.25">
      <c r="A398" s="12" t="str">
        <f t="shared" si="14"/>
        <v>Residential_Building Shell_Rim/Band Joist Insulation (Fossil Fuel Heat)_ηCool_Mid-Life_Adj</v>
      </c>
      <c r="B398" t="s">
        <v>162</v>
      </c>
      <c r="C398" t="s">
        <v>167</v>
      </c>
      <c r="D398" t="s">
        <v>185</v>
      </c>
      <c r="E398" s="114" t="s">
        <v>425</v>
      </c>
      <c r="F398" s="116">
        <f>Dashboard_EE!$K$13</f>
        <v>0</v>
      </c>
      <c r="G398" s="12" t="s">
        <v>240</v>
      </c>
      <c r="H398" s="12" t="s">
        <v>478</v>
      </c>
      <c r="I398" s="12" t="s">
        <v>479</v>
      </c>
      <c r="J398" s="12" t="b">
        <f t="shared" si="13"/>
        <v>1</v>
      </c>
    </row>
    <row r="399" spans="1:10" s="12" customFormat="1" x14ac:dyDescent="0.25">
      <c r="A399" s="12" t="str">
        <f t="shared" si="14"/>
        <v>Residential_Building Shell_Rim/Band Joist Insulation (Fossil Fuel Heat)_Delta_kWh_cooling</v>
      </c>
      <c r="B399" t="s">
        <v>162</v>
      </c>
      <c r="C399" t="s">
        <v>167</v>
      </c>
      <c r="D399" t="s">
        <v>185</v>
      </c>
      <c r="E399" s="114" t="s">
        <v>430</v>
      </c>
      <c r="F399" s="116" t="e">
        <f xml:space="preserve"> ((1/ F387 - 1/ F388) * F389 * (1 - F390) * F391 * F392 * F393 * F394 * F395) / (F396 * F397)</f>
        <v>#DIV/0!</v>
      </c>
      <c r="H399" s="12" t="s">
        <v>478</v>
      </c>
      <c r="I399" s="12" t="s">
        <v>479</v>
      </c>
      <c r="J399" s="12" t="b">
        <f t="shared" si="13"/>
        <v>1</v>
      </c>
    </row>
    <row r="400" spans="1:10" s="12" customFormat="1" x14ac:dyDescent="0.25">
      <c r="A400" s="12" t="str">
        <f t="shared" si="14"/>
        <v>Residential_Building Shell_Rim/Band Joist Insulation (Fossil Fuel Heat)_Delta_kWh_cooling_Mid-Life_Adj</v>
      </c>
      <c r="B400" t="s">
        <v>162</v>
      </c>
      <c r="C400" t="s">
        <v>167</v>
      </c>
      <c r="D400" t="s">
        <v>185</v>
      </c>
      <c r="E400" s="114" t="s">
        <v>431</v>
      </c>
      <c r="F400" s="116" t="e">
        <f xml:space="preserve"> ((1/ F387 - 1/ F388) * F389 * (1 - F390) * F391 * F392 * F393 * F394 * F395) / (F396 * F398)</f>
        <v>#DIV/0!</v>
      </c>
      <c r="H400" s="12" t="s">
        <v>478</v>
      </c>
      <c r="I400" s="12" t="s">
        <v>479</v>
      </c>
      <c r="J400" s="12" t="b">
        <f t="shared" si="13"/>
        <v>1</v>
      </c>
    </row>
    <row r="401" spans="1:10" s="12" customFormat="1" x14ac:dyDescent="0.25">
      <c r="A401" s="12" t="str">
        <f t="shared" si="14"/>
        <v>Residential_Building Shell_Rim/Band Joist Insulation (Fossil Fuel Heat)_R_old</v>
      </c>
      <c r="B401" t="s">
        <v>162</v>
      </c>
      <c r="C401" t="s">
        <v>167</v>
      </c>
      <c r="D401" t="s">
        <v>185</v>
      </c>
      <c r="E401" s="102" t="s">
        <v>453</v>
      </c>
      <c r="F401" s="105">
        <f>Dashboard_EE!$O$20</f>
        <v>1</v>
      </c>
      <c r="G401" s="12" t="s">
        <v>476</v>
      </c>
      <c r="H401" s="12" t="s">
        <v>478</v>
      </c>
      <c r="I401" s="12" t="s">
        <v>479</v>
      </c>
      <c r="J401" s="12" t="b">
        <f t="shared" si="13"/>
        <v>1</v>
      </c>
    </row>
    <row r="402" spans="1:10" s="12" customFormat="1" x14ac:dyDescent="0.25">
      <c r="A402" s="12" t="str">
        <f t="shared" si="14"/>
        <v>Residential_Building Shell_Rim/Band Joist Insulation (Fossil Fuel Heat)_R_rim</v>
      </c>
      <c r="B402" t="s">
        <v>162</v>
      </c>
      <c r="C402" t="s">
        <v>167</v>
      </c>
      <c r="D402" t="s">
        <v>185</v>
      </c>
      <c r="E402" s="102" t="s">
        <v>480</v>
      </c>
      <c r="F402" s="105">
        <f>Dashboard_EE!$P$20</f>
        <v>0</v>
      </c>
      <c r="H402" s="12" t="s">
        <v>478</v>
      </c>
      <c r="I402" s="12" t="s">
        <v>479</v>
      </c>
      <c r="J402" s="12" t="b">
        <f t="shared" si="13"/>
        <v>1</v>
      </c>
    </row>
    <row r="403" spans="1:10" s="12" customFormat="1" x14ac:dyDescent="0.25">
      <c r="A403" s="12" t="str">
        <f t="shared" si="14"/>
        <v>Residential_Building Shell_Rim/Band Joist Insulation (Fossil Fuel Heat)_A_rim</v>
      </c>
      <c r="B403" t="s">
        <v>162</v>
      </c>
      <c r="C403" t="s">
        <v>167</v>
      </c>
      <c r="D403" t="s">
        <v>185</v>
      </c>
      <c r="E403" s="114" t="s">
        <v>481</v>
      </c>
      <c r="F403" s="116">
        <f>Dashboard_EE!$O$9</f>
        <v>0</v>
      </c>
      <c r="G403" s="12" t="s">
        <v>414</v>
      </c>
      <c r="H403" s="12" t="s">
        <v>478</v>
      </c>
      <c r="I403" s="12" t="s">
        <v>479</v>
      </c>
      <c r="J403" s="12" t="b">
        <f t="shared" si="13"/>
        <v>1</v>
      </c>
    </row>
    <row r="404" spans="1:10" s="12" customFormat="1" x14ac:dyDescent="0.25">
      <c r="A404" s="12" t="str">
        <f t="shared" si="14"/>
        <v>Residential_Building Shell_Rim/Band Joist Insulation (Fossil Fuel Heat)_Framing_factor_rim</v>
      </c>
      <c r="B404" t="s">
        <v>162</v>
      </c>
      <c r="C404" t="s">
        <v>167</v>
      </c>
      <c r="D404" t="s">
        <v>185</v>
      </c>
      <c r="E404" s="102" t="s">
        <v>482</v>
      </c>
      <c r="F404" s="105">
        <v>0.05</v>
      </c>
      <c r="H404" s="12" t="s">
        <v>478</v>
      </c>
      <c r="I404" s="12" t="s">
        <v>479</v>
      </c>
      <c r="J404" s="12" t="b">
        <f t="shared" si="13"/>
        <v>0</v>
      </c>
    </row>
    <row r="405" spans="1:10" s="12" customFormat="1" x14ac:dyDescent="0.25">
      <c r="A405" s="12" t="str">
        <f t="shared" si="14"/>
        <v>Residential_Building Shell_Rim/Band Joist Insulation (Fossil Fuel Heat)_HDD</v>
      </c>
      <c r="B405" t="s">
        <v>162</v>
      </c>
      <c r="C405" t="s">
        <v>167</v>
      </c>
      <c r="D405" t="s">
        <v>185</v>
      </c>
      <c r="E405" s="102" t="s">
        <v>433</v>
      </c>
      <c r="F405" s="105" t="e">
        <f>INDEX('CZ Inputs'!G:G,MATCH(A405&amp;"_"&amp;Dashboard_EE!$K$3,'CZ Inputs'!A:A,0))</f>
        <v>#N/A</v>
      </c>
      <c r="G405" s="12" t="s">
        <v>483</v>
      </c>
      <c r="H405" s="12" t="s">
        <v>478</v>
      </c>
      <c r="I405" s="12" t="s">
        <v>479</v>
      </c>
      <c r="J405" s="12" t="b">
        <f t="shared" si="13"/>
        <v>1</v>
      </c>
    </row>
    <row r="406" spans="1:10" s="12" customFormat="1" x14ac:dyDescent="0.25">
      <c r="A406" s="12" t="str">
        <f t="shared" si="14"/>
        <v>Residential_Building Shell_Rim/Band Joist Insulation (Fossil Fuel Heat)_24</v>
      </c>
      <c r="B406" t="s">
        <v>162</v>
      </c>
      <c r="C406" t="s">
        <v>167</v>
      </c>
      <c r="D406" t="s">
        <v>185</v>
      </c>
      <c r="E406" s="102">
        <v>24</v>
      </c>
      <c r="F406" s="105">
        <v>24</v>
      </c>
      <c r="H406" s="12" t="s">
        <v>478</v>
      </c>
      <c r="I406" s="12" t="s">
        <v>479</v>
      </c>
      <c r="J406" s="12" t="b">
        <f t="shared" si="13"/>
        <v>0</v>
      </c>
    </row>
    <row r="407" spans="1:10" s="12" customFormat="1" x14ac:dyDescent="0.25">
      <c r="A407" s="12" t="str">
        <f t="shared" si="14"/>
        <v>Residential_Building Shell_Rim/Band Joist Insulation (Fossil Fuel Heat)_ADJBasementHeat</v>
      </c>
      <c r="B407" t="s">
        <v>162</v>
      </c>
      <c r="C407" t="s">
        <v>167</v>
      </c>
      <c r="D407" t="s">
        <v>185</v>
      </c>
      <c r="E407" s="102" t="s">
        <v>485</v>
      </c>
      <c r="F407" s="105">
        <v>0.63</v>
      </c>
      <c r="H407" s="12" t="s">
        <v>478</v>
      </c>
      <c r="I407" s="12" t="s">
        <v>479</v>
      </c>
      <c r="J407" s="12" t="b">
        <f t="shared" si="13"/>
        <v>0</v>
      </c>
    </row>
    <row r="408" spans="1:10" s="12" customFormat="1" x14ac:dyDescent="0.25">
      <c r="A408" s="12" t="str">
        <f t="shared" si="14"/>
        <v>Residential_Building Shell_Rim/Band Joist Insulation (Fossil Fuel Heat)_%ElectricHeat</v>
      </c>
      <c r="B408" t="s">
        <v>162</v>
      </c>
      <c r="C408" t="s">
        <v>167</v>
      </c>
      <c r="D408" t="s">
        <v>185</v>
      </c>
      <c r="E408" s="102" t="s">
        <v>402</v>
      </c>
      <c r="F408" s="105">
        <v>0</v>
      </c>
      <c r="G408" s="12" t="s">
        <v>533</v>
      </c>
      <c r="H408" s="12" t="s">
        <v>478</v>
      </c>
      <c r="I408" s="12" t="s">
        <v>479</v>
      </c>
      <c r="J408" s="12" t="b">
        <f t="shared" si="13"/>
        <v>0</v>
      </c>
    </row>
    <row r="409" spans="1:10" s="12" customFormat="1" x14ac:dyDescent="0.25">
      <c r="A409" s="12" t="str">
        <f t="shared" si="14"/>
        <v>Residential_Building Shell_Rim/Band Joist Insulation (Fossil Fuel Heat)_ηHeat</v>
      </c>
      <c r="B409" t="s">
        <v>162</v>
      </c>
      <c r="C409" t="s">
        <v>167</v>
      </c>
      <c r="D409" t="s">
        <v>185</v>
      </c>
      <c r="E409" s="114" t="s">
        <v>434</v>
      </c>
      <c r="F409" s="116">
        <f>Dashboard_EE!$K$6</f>
        <v>0</v>
      </c>
      <c r="G409" s="12" t="s">
        <v>240</v>
      </c>
      <c r="H409" s="12" t="s">
        <v>478</v>
      </c>
      <c r="I409" s="12" t="s">
        <v>479</v>
      </c>
      <c r="J409" s="12" t="b">
        <f t="shared" si="13"/>
        <v>1</v>
      </c>
    </row>
    <row r="410" spans="1:10" s="12" customFormat="1" x14ac:dyDescent="0.25">
      <c r="A410" s="12" t="str">
        <f t="shared" si="14"/>
        <v>Residential_Building Shell_Rim/Band Joist Insulation (Fossil Fuel Heat)_ηHeat_Mid-Life_Adj</v>
      </c>
      <c r="B410" t="s">
        <v>162</v>
      </c>
      <c r="C410" t="s">
        <v>167</v>
      </c>
      <c r="D410" t="s">
        <v>185</v>
      </c>
      <c r="E410" s="114" t="s">
        <v>435</v>
      </c>
      <c r="F410" s="116">
        <f>Dashboard_EE!$K$6</f>
        <v>0</v>
      </c>
      <c r="G410" s="12" t="s">
        <v>240</v>
      </c>
      <c r="H410" s="12" t="s">
        <v>478</v>
      </c>
      <c r="I410" s="12" t="s">
        <v>479</v>
      </c>
      <c r="J410" s="12" t="b">
        <f t="shared" si="13"/>
        <v>1</v>
      </c>
    </row>
    <row r="411" spans="1:10" s="12" customFormat="1" x14ac:dyDescent="0.25">
      <c r="A411" s="12" t="str">
        <f t="shared" si="14"/>
        <v>Residential_Building Shell_Rim/Band Joist Insulation (Fossil Fuel Heat)_3412</v>
      </c>
      <c r="B411" t="s">
        <v>162</v>
      </c>
      <c r="C411" t="s">
        <v>167</v>
      </c>
      <c r="D411" t="s">
        <v>185</v>
      </c>
      <c r="E411" s="102">
        <v>3412</v>
      </c>
      <c r="F411" s="105">
        <v>3412</v>
      </c>
      <c r="H411" s="12" t="s">
        <v>478</v>
      </c>
      <c r="I411" s="12" t="s">
        <v>479</v>
      </c>
      <c r="J411" s="12" t="b">
        <f t="shared" si="13"/>
        <v>0</v>
      </c>
    </row>
    <row r="412" spans="1:10" s="12" customFormat="1" x14ac:dyDescent="0.25">
      <c r="A412" s="12" t="str">
        <f t="shared" si="14"/>
        <v>Residential_Building Shell_Rim/Band Joist Insulation (Fossil Fuel Heat)_Delta_kWh_heatingElectric</v>
      </c>
      <c r="B412" t="s">
        <v>162</v>
      </c>
      <c r="C412" t="s">
        <v>167</v>
      </c>
      <c r="D412" t="s">
        <v>185</v>
      </c>
      <c r="E412" s="114" t="s">
        <v>437</v>
      </c>
      <c r="F412" s="116" t="e">
        <f xml:space="preserve"> ((1/ F401 - 1/ F402) *F403 * (1 - F404) * F405 * F406 * F407 * F408) / (F409 * F411)</f>
        <v>#DIV/0!</v>
      </c>
      <c r="H412" s="12" t="s">
        <v>478</v>
      </c>
      <c r="I412" s="12" t="s">
        <v>479</v>
      </c>
      <c r="J412" s="12" t="b">
        <f t="shared" si="13"/>
        <v>1</v>
      </c>
    </row>
    <row r="413" spans="1:10" s="12" customFormat="1" x14ac:dyDescent="0.25">
      <c r="A413" s="12" t="str">
        <f t="shared" si="14"/>
        <v>Residential_Building Shell_Rim/Band Joist Insulation (Fossil Fuel Heat)_Delta_kWh_heatingElectric_Mid-Life_Adj</v>
      </c>
      <c r="B413" t="s">
        <v>162</v>
      </c>
      <c r="C413" t="s">
        <v>167</v>
      </c>
      <c r="D413" t="s">
        <v>185</v>
      </c>
      <c r="E413" s="114" t="s">
        <v>438</v>
      </c>
      <c r="F413" s="116" t="e">
        <f xml:space="preserve"> ((1/ F401 - 1/ F402) *F403 * (1 - F404) * F405 * F406 * F407 * F408) / (F410 * F411)</f>
        <v>#DIV/0!</v>
      </c>
      <c r="H413" s="12" t="s">
        <v>478</v>
      </c>
      <c r="I413" s="12" t="s">
        <v>479</v>
      </c>
      <c r="J413" s="12" t="b">
        <f t="shared" si="13"/>
        <v>1</v>
      </c>
    </row>
    <row r="414" spans="1:10" s="12" customFormat="1" x14ac:dyDescent="0.25">
      <c r="A414" s="12" t="str">
        <f t="shared" si="14"/>
        <v>Residential_Building Shell_Rim/Band Joist Insulation (Fossil Fuel Heat)_Delta_Therms</v>
      </c>
      <c r="B414" t="s">
        <v>162</v>
      </c>
      <c r="C414" t="s">
        <v>167</v>
      </c>
      <c r="D414" t="s">
        <v>185</v>
      </c>
      <c r="E414" s="114" t="s">
        <v>354</v>
      </c>
      <c r="F414" s="116" t="e">
        <f>F435</f>
        <v>#DIV/0!</v>
      </c>
      <c r="H414" s="12" t="s">
        <v>478</v>
      </c>
      <c r="I414" s="12" t="s">
        <v>479</v>
      </c>
      <c r="J414" s="12" t="b">
        <f t="shared" si="13"/>
        <v>1</v>
      </c>
    </row>
    <row r="415" spans="1:10" s="12" customFormat="1" x14ac:dyDescent="0.25">
      <c r="A415" s="12" t="str">
        <f t="shared" si="14"/>
        <v>Residential_Building Shell_Rim/Band Joist Insulation (Fossil Fuel Heat)_Delta_Therms_Mid-Life_Adj</v>
      </c>
      <c r="B415" t="s">
        <v>162</v>
      </c>
      <c r="C415" t="s">
        <v>167</v>
      </c>
      <c r="D415" t="s">
        <v>185</v>
      </c>
      <c r="E415" s="114" t="s">
        <v>473</v>
      </c>
      <c r="F415" s="116" t="e">
        <f>F436</f>
        <v>#DIV/0!</v>
      </c>
      <c r="H415" s="12" t="s">
        <v>478</v>
      </c>
      <c r="I415" s="12" t="s">
        <v>479</v>
      </c>
      <c r="J415" s="12" t="b">
        <f t="shared" si="13"/>
        <v>1</v>
      </c>
    </row>
    <row r="416" spans="1:10" s="12" customFormat="1" x14ac:dyDescent="0.25">
      <c r="A416" s="12" t="str">
        <f t="shared" si="14"/>
        <v>Residential_Building Shell_Rim/Band Joist Insulation (Fossil Fuel Heat)_Fe</v>
      </c>
      <c r="B416" t="s">
        <v>162</v>
      </c>
      <c r="C416" t="s">
        <v>167</v>
      </c>
      <c r="D416" t="s">
        <v>185</v>
      </c>
      <c r="E416" s="102" t="s">
        <v>251</v>
      </c>
      <c r="F416" s="105">
        <v>3.1399999999999997E-2</v>
      </c>
      <c r="H416" s="12" t="s">
        <v>478</v>
      </c>
      <c r="I416" s="12" t="s">
        <v>479</v>
      </c>
      <c r="J416" s="12" t="b">
        <f t="shared" si="13"/>
        <v>0</v>
      </c>
    </row>
    <row r="417" spans="1:10" s="12" customFormat="1" x14ac:dyDescent="0.25">
      <c r="A417" s="12" t="str">
        <f t="shared" si="14"/>
        <v>Residential_Building Shell_Rim/Band Joist Insulation (Fossil Fuel Heat)_29.3</v>
      </c>
      <c r="B417" t="s">
        <v>162</v>
      </c>
      <c r="C417" t="s">
        <v>167</v>
      </c>
      <c r="D417" t="s">
        <v>185</v>
      </c>
      <c r="E417" s="102">
        <v>29.3</v>
      </c>
      <c r="F417" s="105">
        <v>29.3</v>
      </c>
      <c r="H417" s="12" t="s">
        <v>478</v>
      </c>
      <c r="I417" s="12" t="s">
        <v>479</v>
      </c>
      <c r="J417" s="12" t="b">
        <f t="shared" si="13"/>
        <v>0</v>
      </c>
    </row>
    <row r="418" spans="1:10" s="12" customFormat="1" x14ac:dyDescent="0.25">
      <c r="A418" s="12" t="str">
        <f t="shared" si="14"/>
        <v>Residential_Building Shell_Rim/Band Joist Insulation (Fossil Fuel Heat)_Delta_kWh_heatingGas</v>
      </c>
      <c r="B418" t="s">
        <v>162</v>
      </c>
      <c r="C418" t="s">
        <v>167</v>
      </c>
      <c r="D418" t="s">
        <v>185</v>
      </c>
      <c r="E418" s="114" t="s">
        <v>440</v>
      </c>
      <c r="F418" s="116" t="e">
        <f>F414*F416*F417</f>
        <v>#DIV/0!</v>
      </c>
      <c r="H418" s="12" t="s">
        <v>478</v>
      </c>
      <c r="I418" s="12" t="s">
        <v>479</v>
      </c>
      <c r="J418" s="12" t="b">
        <f t="shared" si="13"/>
        <v>1</v>
      </c>
    </row>
    <row r="419" spans="1:10" s="12" customFormat="1" x14ac:dyDescent="0.25">
      <c r="A419" s="12" t="str">
        <f t="shared" si="14"/>
        <v>Residential_Building Shell_Rim/Band Joist Insulation (Fossil Fuel Heat)_Delta_kWh_heatingGas_Mid-Life_Adj</v>
      </c>
      <c r="B419" t="s">
        <v>162</v>
      </c>
      <c r="C419" t="s">
        <v>167</v>
      </c>
      <c r="D419" t="s">
        <v>185</v>
      </c>
      <c r="E419" s="114" t="s">
        <v>441</v>
      </c>
      <c r="F419" s="116" t="e">
        <f>F415*F416*F417</f>
        <v>#DIV/0!</v>
      </c>
      <c r="H419" s="12" t="s">
        <v>478</v>
      </c>
      <c r="I419" s="12" t="s">
        <v>479</v>
      </c>
      <c r="J419" s="12" t="b">
        <f t="shared" si="13"/>
        <v>1</v>
      </c>
    </row>
    <row r="420" spans="1:10" s="12" customFormat="1" x14ac:dyDescent="0.25">
      <c r="A420" s="12" t="str">
        <f t="shared" si="14"/>
        <v>Residential_Building Shell_Rim/Band Joist Insulation (Fossil Fuel Heat)_FLH_cooling</v>
      </c>
      <c r="B420" t="s">
        <v>162</v>
      </c>
      <c r="C420" t="s">
        <v>167</v>
      </c>
      <c r="D420" t="s">
        <v>185</v>
      </c>
      <c r="E420" s="102" t="s">
        <v>442</v>
      </c>
      <c r="F420" s="105" t="e">
        <f>INDEX('CZ Inputs'!G:G,MATCH(A420&amp;"_"&amp;Dashboard_EE!$K$3,'CZ Inputs'!A:A,0))</f>
        <v>#N/A</v>
      </c>
      <c r="G420" s="12" t="s">
        <v>422</v>
      </c>
      <c r="H420" s="12" t="s">
        <v>478</v>
      </c>
      <c r="I420" s="12" t="s">
        <v>479</v>
      </c>
      <c r="J420" s="12" t="b">
        <f t="shared" si="13"/>
        <v>1</v>
      </c>
    </row>
    <row r="421" spans="1:10" s="12" customFormat="1" x14ac:dyDescent="0.25">
      <c r="A421" s="12" t="str">
        <f t="shared" si="14"/>
        <v>Residential_Building Shell_Rim/Band Joist Insulation (Fossil Fuel Heat)_CF</v>
      </c>
      <c r="B421" t="s">
        <v>162</v>
      </c>
      <c r="C421" t="s">
        <v>167</v>
      </c>
      <c r="D421" t="s">
        <v>185</v>
      </c>
      <c r="E421" s="102" t="s">
        <v>277</v>
      </c>
      <c r="F421" s="105">
        <v>0.68</v>
      </c>
      <c r="G421" s="12" t="s">
        <v>319</v>
      </c>
      <c r="H421" s="12" t="s">
        <v>478</v>
      </c>
      <c r="I421" s="12" t="s">
        <v>479</v>
      </c>
      <c r="J421" s="12" t="b">
        <f t="shared" si="13"/>
        <v>0</v>
      </c>
    </row>
    <row r="422" spans="1:10" s="12" customFormat="1" x14ac:dyDescent="0.25">
      <c r="A422" s="12" t="str">
        <f t="shared" si="14"/>
        <v>Residential_Building Shell_Rim/Band Joist Insulation (Fossil Fuel Heat)_Delta_kW</v>
      </c>
      <c r="B422" t="s">
        <v>162</v>
      </c>
      <c r="C422" t="s">
        <v>167</v>
      </c>
      <c r="D422" t="s">
        <v>185</v>
      </c>
      <c r="E422" s="114" t="s">
        <v>279</v>
      </c>
      <c r="F422" s="116" t="e">
        <f>(F399/F420)*F421</f>
        <v>#DIV/0!</v>
      </c>
      <c r="H422" s="12" t="s">
        <v>478</v>
      </c>
      <c r="I422" s="12" t="s">
        <v>479</v>
      </c>
      <c r="J422" s="12" t="b">
        <f t="shared" si="13"/>
        <v>1</v>
      </c>
    </row>
    <row r="423" spans="1:10" s="12" customFormat="1" x14ac:dyDescent="0.25">
      <c r="A423" s="12" t="str">
        <f t="shared" si="14"/>
        <v>Residential_Building Shell_Rim/Band Joist Insulation (Fossil Fuel Heat)_Delta_kW_Mid-Life_Adj</v>
      </c>
      <c r="B423" t="s">
        <v>162</v>
      </c>
      <c r="C423" t="s">
        <v>167</v>
      </c>
      <c r="D423" t="s">
        <v>185</v>
      </c>
      <c r="E423" s="114" t="s">
        <v>443</v>
      </c>
      <c r="F423" s="116" t="e">
        <f>(F400/F420)*F421</f>
        <v>#DIV/0!</v>
      </c>
      <c r="H423" s="12" t="s">
        <v>478</v>
      </c>
      <c r="I423" s="12" t="s">
        <v>479</v>
      </c>
      <c r="J423" s="12" t="b">
        <f t="shared" si="13"/>
        <v>1</v>
      </c>
    </row>
    <row r="424" spans="1:10" s="12" customFormat="1" x14ac:dyDescent="0.25">
      <c r="A424" s="12" t="str">
        <f t="shared" si="14"/>
        <v>Residential_Building Shell_Rim/Band Joist Insulation (Fossil Fuel Heat)_R_old</v>
      </c>
      <c r="B424" t="s">
        <v>162</v>
      </c>
      <c r="C424" t="s">
        <v>167</v>
      </c>
      <c r="D424" t="s">
        <v>185</v>
      </c>
      <c r="E424" s="102" t="s">
        <v>453</v>
      </c>
      <c r="F424" s="105">
        <f>Dashboard_EE!$O$20</f>
        <v>1</v>
      </c>
      <c r="G424" s="12" t="s">
        <v>476</v>
      </c>
      <c r="H424" s="12" t="s">
        <v>478</v>
      </c>
      <c r="I424" s="12" t="s">
        <v>479</v>
      </c>
      <c r="J424" s="12" t="b">
        <f t="shared" si="13"/>
        <v>1</v>
      </c>
    </row>
    <row r="425" spans="1:10" s="12" customFormat="1" x14ac:dyDescent="0.25">
      <c r="A425" s="12" t="str">
        <f t="shared" si="14"/>
        <v>Residential_Building Shell_Rim/Band Joist Insulation (Fossil Fuel Heat)_R_rim</v>
      </c>
      <c r="B425" t="s">
        <v>162</v>
      </c>
      <c r="C425" t="s">
        <v>167</v>
      </c>
      <c r="D425" t="s">
        <v>185</v>
      </c>
      <c r="E425" s="102" t="s">
        <v>480</v>
      </c>
      <c r="F425" s="105">
        <f>Dashboard_EE!$P$20</f>
        <v>0</v>
      </c>
      <c r="H425" s="12" t="s">
        <v>478</v>
      </c>
      <c r="I425" s="12" t="s">
        <v>479</v>
      </c>
      <c r="J425" s="12" t="b">
        <f t="shared" si="13"/>
        <v>1</v>
      </c>
    </row>
    <row r="426" spans="1:10" s="12" customFormat="1" x14ac:dyDescent="0.25">
      <c r="A426" s="12" t="str">
        <f t="shared" si="14"/>
        <v>Residential_Building Shell_Rim/Band Joist Insulation (Fossil Fuel Heat)_A_rim</v>
      </c>
      <c r="B426" t="s">
        <v>162</v>
      </c>
      <c r="C426" t="s">
        <v>167</v>
      </c>
      <c r="D426" t="s">
        <v>185</v>
      </c>
      <c r="E426" s="114" t="s">
        <v>481</v>
      </c>
      <c r="F426" s="116">
        <f>Dashboard_EE!$O$9</f>
        <v>0</v>
      </c>
      <c r="G426" s="12" t="s">
        <v>414</v>
      </c>
      <c r="H426" s="12" t="s">
        <v>478</v>
      </c>
      <c r="I426" s="12" t="s">
        <v>479</v>
      </c>
      <c r="J426" s="12" t="b">
        <f t="shared" si="13"/>
        <v>1</v>
      </c>
    </row>
    <row r="427" spans="1:10" s="12" customFormat="1" x14ac:dyDescent="0.25">
      <c r="A427" s="12" t="str">
        <f t="shared" si="14"/>
        <v>Residential_Building Shell_Rim/Band Joist Insulation (Fossil Fuel Heat)_Framing_factor_rim</v>
      </c>
      <c r="B427" t="s">
        <v>162</v>
      </c>
      <c r="C427" t="s">
        <v>167</v>
      </c>
      <c r="D427" t="s">
        <v>185</v>
      </c>
      <c r="E427" s="102" t="s">
        <v>482</v>
      </c>
      <c r="F427" s="105">
        <v>0.05</v>
      </c>
      <c r="H427" s="12" t="s">
        <v>478</v>
      </c>
      <c r="I427" s="12" t="s">
        <v>479</v>
      </c>
      <c r="J427" s="12" t="b">
        <f t="shared" si="13"/>
        <v>0</v>
      </c>
    </row>
    <row r="428" spans="1:10" s="12" customFormat="1" x14ac:dyDescent="0.25">
      <c r="A428" s="12" t="str">
        <f t="shared" si="14"/>
        <v>Residential_Building Shell_Rim/Band Joist Insulation (Fossil Fuel Heat)_HDD</v>
      </c>
      <c r="B428" t="s">
        <v>162</v>
      </c>
      <c r="C428" t="s">
        <v>167</v>
      </c>
      <c r="D428" t="s">
        <v>185</v>
      </c>
      <c r="E428" s="102" t="s">
        <v>433</v>
      </c>
      <c r="F428" s="105" t="e">
        <f>INDEX('CZ Inputs'!G:G,MATCH(A428&amp;"_"&amp;Dashboard_EE!$K$3,'CZ Inputs'!A:A,0))</f>
        <v>#N/A</v>
      </c>
      <c r="G428" s="12" t="s">
        <v>483</v>
      </c>
      <c r="H428" s="12" t="s">
        <v>478</v>
      </c>
      <c r="I428" s="12" t="s">
        <v>479</v>
      </c>
      <c r="J428" s="12" t="b">
        <f t="shared" si="13"/>
        <v>1</v>
      </c>
    </row>
    <row r="429" spans="1:10" s="12" customFormat="1" x14ac:dyDescent="0.25">
      <c r="A429" s="12" t="str">
        <f t="shared" si="14"/>
        <v>Residential_Building Shell_Rim/Band Joist Insulation (Fossil Fuel Heat)_24</v>
      </c>
      <c r="B429" t="s">
        <v>162</v>
      </c>
      <c r="C429" t="s">
        <v>167</v>
      </c>
      <c r="D429" t="s">
        <v>185</v>
      </c>
      <c r="E429" s="102">
        <v>24</v>
      </c>
      <c r="F429" s="105">
        <v>24</v>
      </c>
      <c r="H429" s="12" t="s">
        <v>478</v>
      </c>
      <c r="I429" s="12" t="s">
        <v>479</v>
      </c>
      <c r="J429" s="12" t="b">
        <f t="shared" si="13"/>
        <v>0</v>
      </c>
    </row>
    <row r="430" spans="1:10" s="12" customFormat="1" x14ac:dyDescent="0.25">
      <c r="A430" s="12" t="str">
        <f t="shared" si="14"/>
        <v>Residential_Building Shell_Rim/Band Joist Insulation (Fossil Fuel Heat)_ADJBasementHeat</v>
      </c>
      <c r="B430" t="s">
        <v>162</v>
      </c>
      <c r="C430" t="s">
        <v>167</v>
      </c>
      <c r="D430" t="s">
        <v>185</v>
      </c>
      <c r="E430" s="102" t="s">
        <v>485</v>
      </c>
      <c r="F430" s="105">
        <v>0.6</v>
      </c>
      <c r="H430" s="12" t="s">
        <v>478</v>
      </c>
      <c r="I430" s="12" t="s">
        <v>479</v>
      </c>
      <c r="J430" s="12" t="b">
        <f t="shared" si="13"/>
        <v>0</v>
      </c>
    </row>
    <row r="431" spans="1:10" s="12" customFormat="1" x14ac:dyDescent="0.25">
      <c r="A431" s="12" t="str">
        <f t="shared" si="14"/>
        <v>Residential_Building Shell_Rim/Band Joist Insulation (Fossil Fuel Heat)_%GasHeat</v>
      </c>
      <c r="B431" t="s">
        <v>162</v>
      </c>
      <c r="C431" t="s">
        <v>167</v>
      </c>
      <c r="D431" t="s">
        <v>185</v>
      </c>
      <c r="E431" s="102" t="s">
        <v>463</v>
      </c>
      <c r="F431" s="105">
        <v>1</v>
      </c>
      <c r="G431" s="12" t="s">
        <v>533</v>
      </c>
      <c r="H431" s="12" t="s">
        <v>478</v>
      </c>
      <c r="I431" s="12" t="s">
        <v>479</v>
      </c>
      <c r="J431" s="12" t="b">
        <f t="shared" si="13"/>
        <v>0</v>
      </c>
    </row>
    <row r="432" spans="1:10" s="12" customFormat="1" x14ac:dyDescent="0.25">
      <c r="A432" s="12" t="str">
        <f t="shared" si="14"/>
        <v>Residential_Building Shell_Rim/Band Joist Insulation (Fossil Fuel Heat)_ηHeat</v>
      </c>
      <c r="B432" t="s">
        <v>162</v>
      </c>
      <c r="C432" t="s">
        <v>167</v>
      </c>
      <c r="D432" t="s">
        <v>185</v>
      </c>
      <c r="E432" s="114" t="s">
        <v>434</v>
      </c>
      <c r="F432" s="116">
        <f>Dashboard_EE!$K$8</f>
        <v>0</v>
      </c>
      <c r="G432" s="12" t="s">
        <v>240</v>
      </c>
      <c r="H432" s="12" t="s">
        <v>478</v>
      </c>
      <c r="I432" s="12" t="s">
        <v>479</v>
      </c>
      <c r="J432" s="12" t="b">
        <f t="shared" si="13"/>
        <v>1</v>
      </c>
    </row>
    <row r="433" spans="1:10" s="12" customFormat="1" x14ac:dyDescent="0.25">
      <c r="A433" s="12" t="str">
        <f t="shared" si="14"/>
        <v>Residential_Building Shell_Rim/Band Joist Insulation (Fossil Fuel Heat)_ηHeat_Mid-Life_Adj</v>
      </c>
      <c r="B433" t="s">
        <v>162</v>
      </c>
      <c r="C433" t="s">
        <v>167</v>
      </c>
      <c r="D433" t="s">
        <v>185</v>
      </c>
      <c r="E433" s="114" t="s">
        <v>435</v>
      </c>
      <c r="F433" s="116">
        <f>Dashboard_EE!$K$8</f>
        <v>0</v>
      </c>
      <c r="G433" s="12" t="s">
        <v>240</v>
      </c>
      <c r="H433" s="12" t="s">
        <v>478</v>
      </c>
      <c r="I433" s="12" t="s">
        <v>479</v>
      </c>
      <c r="J433" s="12" t="b">
        <f t="shared" si="13"/>
        <v>1</v>
      </c>
    </row>
    <row r="434" spans="1:10" s="12" customFormat="1" x14ac:dyDescent="0.25">
      <c r="A434" s="12" t="str">
        <f t="shared" si="14"/>
        <v>Residential_Building Shell_Rim/Band Joist Insulation (Fossil Fuel Heat)_100000</v>
      </c>
      <c r="B434" t="s">
        <v>162</v>
      </c>
      <c r="C434" t="s">
        <v>167</v>
      </c>
      <c r="D434" t="s">
        <v>185</v>
      </c>
      <c r="E434" s="102">
        <v>100000</v>
      </c>
      <c r="F434" s="105">
        <v>100000</v>
      </c>
      <c r="H434" s="12" t="s">
        <v>478</v>
      </c>
      <c r="I434" s="12" t="s">
        <v>479</v>
      </c>
      <c r="J434" s="12" t="b">
        <f t="shared" si="13"/>
        <v>0</v>
      </c>
    </row>
    <row r="435" spans="1:10" s="12" customFormat="1" x14ac:dyDescent="0.25">
      <c r="A435" s="12" t="str">
        <f t="shared" si="14"/>
        <v>Residential_Building Shell_Rim/Band Joist Insulation (Fossil Fuel Heat)_Delta_Therms</v>
      </c>
      <c r="B435" t="s">
        <v>162</v>
      </c>
      <c r="C435" t="s">
        <v>167</v>
      </c>
      <c r="D435" t="s">
        <v>185</v>
      </c>
      <c r="E435" s="114" t="s">
        <v>354</v>
      </c>
      <c r="F435" s="116" t="e">
        <f xml:space="preserve"> ((1/ F424 - 1/ F425) *F426 * (1 - F427) * F428 * F429 * F430 * F431) / (F432 * F434)</f>
        <v>#DIV/0!</v>
      </c>
      <c r="H435" s="12" t="s">
        <v>478</v>
      </c>
      <c r="I435" s="12" t="s">
        <v>479</v>
      </c>
      <c r="J435" s="12" t="b">
        <f t="shared" si="13"/>
        <v>1</v>
      </c>
    </row>
    <row r="436" spans="1:10" s="12" customFormat="1" x14ac:dyDescent="0.25">
      <c r="A436" s="12" t="str">
        <f t="shared" si="14"/>
        <v>Residential_Building Shell_Rim/Band Joist Insulation (Fossil Fuel Heat)_Delta_Therms_Mid-Life_Adj</v>
      </c>
      <c r="B436" t="s">
        <v>162</v>
      </c>
      <c r="C436" t="s">
        <v>167</v>
      </c>
      <c r="D436" t="s">
        <v>185</v>
      </c>
      <c r="E436" s="114" t="s">
        <v>473</v>
      </c>
      <c r="F436" s="116" t="e">
        <f xml:space="preserve"> ((1/ F424 - 1/ F425) *F426 * (1 - F427) * F428 * F429 * F430 * F431) / (F433 * F434)</f>
        <v>#DIV/0!</v>
      </c>
      <c r="H436" s="12" t="s">
        <v>478</v>
      </c>
      <c r="I436" s="12" t="s">
        <v>479</v>
      </c>
      <c r="J436" s="12" t="b">
        <f t="shared" si="13"/>
        <v>1</v>
      </c>
    </row>
    <row r="437" spans="1:10" s="12" customFormat="1" x14ac:dyDescent="0.25">
      <c r="A437" s="12" t="str">
        <f t="shared" si="14"/>
        <v>Residential_Building Shell_Rim/Band Joist Insulation (Fossil Fuel Heat)_Remaining Year kWh</v>
      </c>
      <c r="B437" t="s">
        <v>162</v>
      </c>
      <c r="C437" t="s">
        <v>167</v>
      </c>
      <c r="D437" t="s">
        <v>185</v>
      </c>
      <c r="E437" s="111" t="s">
        <v>447</v>
      </c>
      <c r="F437" s="101" t="e">
        <f>F399+F412+F418</f>
        <v>#DIV/0!</v>
      </c>
      <c r="H437" s="12" t="s">
        <v>478</v>
      </c>
      <c r="I437" s="12" t="s">
        <v>479</v>
      </c>
      <c r="J437" s="12" t="b">
        <f t="shared" si="13"/>
        <v>1</v>
      </c>
    </row>
    <row r="438" spans="1:10" s="12" customFormat="1" x14ac:dyDescent="0.25">
      <c r="A438" s="12" t="str">
        <f t="shared" si="14"/>
        <v>Residential_Building Shell_Rim/Band Joist Insulation (Fossil Fuel Heat)_kWh Saved per Unit</v>
      </c>
      <c r="B438" t="s">
        <v>162</v>
      </c>
      <c r="C438" t="s">
        <v>167</v>
      </c>
      <c r="D438" t="s">
        <v>185</v>
      </c>
      <c r="E438" s="111" t="s">
        <v>280</v>
      </c>
      <c r="F438" s="101" t="e">
        <f>F400+F413+F419</f>
        <v>#DIV/0!</v>
      </c>
      <c r="H438" s="12" t="s">
        <v>478</v>
      </c>
      <c r="I438" s="12" t="s">
        <v>479</v>
      </c>
      <c r="J438" s="12" t="b">
        <f t="shared" si="13"/>
        <v>1</v>
      </c>
    </row>
    <row r="439" spans="1:10" s="12" customFormat="1" x14ac:dyDescent="0.25">
      <c r="A439" s="12" t="str">
        <f t="shared" si="14"/>
        <v>Residential_Building Shell_Rim/Band Joist Insulation (Fossil Fuel Heat)_Remaining Year kW</v>
      </c>
      <c r="B439" t="s">
        <v>162</v>
      </c>
      <c r="C439" t="s">
        <v>167</v>
      </c>
      <c r="D439" t="s">
        <v>185</v>
      </c>
      <c r="E439" s="111" t="s">
        <v>448</v>
      </c>
      <c r="F439" s="101" t="e">
        <f>F422</f>
        <v>#DIV/0!</v>
      </c>
      <c r="H439" s="12" t="s">
        <v>478</v>
      </c>
      <c r="I439" s="12" t="s">
        <v>479</v>
      </c>
      <c r="J439" s="12" t="b">
        <f t="shared" si="13"/>
        <v>1</v>
      </c>
    </row>
    <row r="440" spans="1:10" s="12" customFormat="1" x14ac:dyDescent="0.25">
      <c r="A440" s="12" t="str">
        <f t="shared" si="14"/>
        <v>Residential_Building Shell_Rim/Band Joist Insulation (Fossil Fuel Heat)_Coincident Peak kW Saved per Unit</v>
      </c>
      <c r="B440" t="s">
        <v>162</v>
      </c>
      <c r="C440" t="s">
        <v>167</v>
      </c>
      <c r="D440" t="s">
        <v>185</v>
      </c>
      <c r="E440" s="111" t="s">
        <v>281</v>
      </c>
      <c r="F440" s="101" t="e">
        <f>F423</f>
        <v>#DIV/0!</v>
      </c>
      <c r="H440" s="12" t="s">
        <v>478</v>
      </c>
      <c r="I440" s="12" t="s">
        <v>479</v>
      </c>
      <c r="J440" s="12" t="b">
        <f t="shared" si="13"/>
        <v>1</v>
      </c>
    </row>
    <row r="441" spans="1:10" s="12" customFormat="1" x14ac:dyDescent="0.25">
      <c r="A441" s="12" t="str">
        <f t="shared" si="14"/>
        <v>Residential_Building Shell_Rim/Band Joist Insulation (Fossil Fuel Heat)_Remaining Year Therms</v>
      </c>
      <c r="B441" t="s">
        <v>162</v>
      </c>
      <c r="C441" t="s">
        <v>167</v>
      </c>
      <c r="D441" t="s">
        <v>185</v>
      </c>
      <c r="E441" s="111" t="s">
        <v>449</v>
      </c>
      <c r="F441" s="101" t="e">
        <f>F435</f>
        <v>#DIV/0!</v>
      </c>
      <c r="G441" s="12" t="s">
        <v>533</v>
      </c>
      <c r="H441" s="12" t="s">
        <v>478</v>
      </c>
      <c r="I441" s="12" t="s">
        <v>479</v>
      </c>
      <c r="J441" s="12" t="b">
        <f t="shared" si="13"/>
        <v>1</v>
      </c>
    </row>
    <row r="442" spans="1:10" s="12" customFormat="1" x14ac:dyDescent="0.25">
      <c r="A442" s="12" t="str">
        <f t="shared" si="14"/>
        <v>Residential_Building Shell_Rim/Band Joist Insulation (Fossil Fuel Heat)_Therms Saved per Unit</v>
      </c>
      <c r="B442" t="s">
        <v>162</v>
      </c>
      <c r="C442" t="s">
        <v>167</v>
      </c>
      <c r="D442" t="s">
        <v>185</v>
      </c>
      <c r="E442" s="111" t="s">
        <v>376</v>
      </c>
      <c r="F442" s="101" t="e">
        <f>F436</f>
        <v>#DIV/0!</v>
      </c>
      <c r="G442" s="12" t="s">
        <v>533</v>
      </c>
      <c r="H442" s="12" t="s">
        <v>478</v>
      </c>
      <c r="I442" s="12" t="s">
        <v>479</v>
      </c>
      <c r="J442" s="12" t="b">
        <f t="shared" si="13"/>
        <v>1</v>
      </c>
    </row>
    <row r="443" spans="1:10" s="12" customFormat="1" x14ac:dyDescent="0.25">
      <c r="A443" s="12" t="str">
        <f t="shared" si="14"/>
        <v>Residential_Building Shell_Rim/Band Joist Insulation (Fossil Fuel Heat)_Remaining Life</v>
      </c>
      <c r="B443" t="s">
        <v>162</v>
      </c>
      <c r="C443" t="s">
        <v>167</v>
      </c>
      <c r="D443" t="s">
        <v>185</v>
      </c>
      <c r="E443" s="111" t="s">
        <v>450</v>
      </c>
      <c r="F443" s="101">
        <v>10</v>
      </c>
      <c r="H443" s="12" t="s">
        <v>478</v>
      </c>
      <c r="I443" s="12" t="s">
        <v>479</v>
      </c>
      <c r="J443" s="12" t="b">
        <f t="shared" si="13"/>
        <v>0</v>
      </c>
    </row>
    <row r="444" spans="1:10" s="12" customFormat="1" x14ac:dyDescent="0.25">
      <c r="A444" s="12" t="str">
        <f t="shared" si="14"/>
        <v>Residential_Building Shell_Rim/Band Joist Insulation (Fossil Fuel Heat)_Lifetime (years)</v>
      </c>
      <c r="B444" t="s">
        <v>162</v>
      </c>
      <c r="C444" t="s">
        <v>167</v>
      </c>
      <c r="D444" t="s">
        <v>185</v>
      </c>
      <c r="E444" s="111" t="s">
        <v>284</v>
      </c>
      <c r="F444" s="101">
        <v>20</v>
      </c>
      <c r="H444" s="12" t="s">
        <v>478</v>
      </c>
      <c r="I444" s="12" t="s">
        <v>479</v>
      </c>
      <c r="J444" s="12" t="b">
        <f t="shared" si="13"/>
        <v>0</v>
      </c>
    </row>
    <row r="445" spans="1:10" s="12" customFormat="1" x14ac:dyDescent="0.25">
      <c r="A445" s="12" t="str">
        <f t="shared" ref="A445:A506" si="15">B445&amp;"_"&amp;C445&amp;"_"&amp;D445&amp;"_"&amp;E445</f>
        <v>Residential_Building Shell_Rim/Band Joist Insulation (Fossil Fuel Heat)_Incremental Cost</v>
      </c>
      <c r="B445" t="s">
        <v>162</v>
      </c>
      <c r="C445" t="s">
        <v>167</v>
      </c>
      <c r="D445" t="s">
        <v>185</v>
      </c>
      <c r="E445" s="111" t="s">
        <v>285</v>
      </c>
      <c r="F445" s="100">
        <f>1*F389</f>
        <v>0</v>
      </c>
      <c r="G445" s="12" t="s">
        <v>451</v>
      </c>
      <c r="H445" s="12" t="s">
        <v>478</v>
      </c>
      <c r="I445" s="12" t="s">
        <v>479</v>
      </c>
      <c r="J445" s="12" t="b">
        <f t="shared" si="13"/>
        <v>1</v>
      </c>
    </row>
    <row r="446" spans="1:10" s="12" customFormat="1" x14ac:dyDescent="0.25">
      <c r="A446" s="12" t="str">
        <f t="shared" si="15"/>
        <v>Residential_Building Shell_Rim/Band Joist Insulation (Fossil Fuel Heat)_BTU Impact_New_Fossil Fuel</v>
      </c>
      <c r="B446" t="s">
        <v>162</v>
      </c>
      <c r="C446" t="s">
        <v>167</v>
      </c>
      <c r="D446" t="s">
        <v>185</v>
      </c>
      <c r="E446" s="111" t="s">
        <v>290</v>
      </c>
      <c r="F446" s="99" t="e">
        <f>-F435*100000</f>
        <v>#DIV/0!</v>
      </c>
      <c r="H446" s="12" t="s">
        <v>478</v>
      </c>
      <c r="I446" s="12" t="s">
        <v>479</v>
      </c>
      <c r="J446" s="12" t="b">
        <f t="shared" si="13"/>
        <v>1</v>
      </c>
    </row>
    <row r="447" spans="1:10" s="12" customFormat="1" x14ac:dyDescent="0.25">
      <c r="A447" s="12" t="str">
        <f t="shared" si="15"/>
        <v>Residential_Building Shell_Rim/Band Joist Insulation (Fossil Fuel Heat)_BTU Impact_New_Winter Electricity</v>
      </c>
      <c r="B447" t="s">
        <v>162</v>
      </c>
      <c r="C447" t="s">
        <v>167</v>
      </c>
      <c r="D447" t="s">
        <v>185</v>
      </c>
      <c r="E447" s="111" t="s">
        <v>291</v>
      </c>
      <c r="F447" s="99" t="e">
        <f>-F418*3412</f>
        <v>#DIV/0!</v>
      </c>
      <c r="H447" s="12" t="s">
        <v>478</v>
      </c>
      <c r="I447" s="12" t="s">
        <v>479</v>
      </c>
      <c r="J447" s="12" t="b">
        <f t="shared" si="13"/>
        <v>1</v>
      </c>
    </row>
    <row r="448" spans="1:10" s="12" customFormat="1" x14ac:dyDescent="0.25">
      <c r="A448" s="12" t="str">
        <f t="shared" si="15"/>
        <v>Residential_Building Shell_Rim/Band Joist Insulation (Fossil Fuel Heat)_BTU Impact_New_Summer Electricity</v>
      </c>
      <c r="B448" t="s">
        <v>162</v>
      </c>
      <c r="C448" t="s">
        <v>167</v>
      </c>
      <c r="D448" t="s">
        <v>185</v>
      </c>
      <c r="E448" s="111" t="s">
        <v>292</v>
      </c>
      <c r="F448" s="99" t="e">
        <f>-F399*3412</f>
        <v>#DIV/0!</v>
      </c>
      <c r="H448" s="12" t="s">
        <v>478</v>
      </c>
      <c r="I448" s="12" t="s">
        <v>479</v>
      </c>
      <c r="J448" s="12" t="b">
        <f t="shared" si="13"/>
        <v>1</v>
      </c>
    </row>
    <row r="449" spans="1:10" s="12" customFormat="1" x14ac:dyDescent="0.25">
      <c r="A449" s="12" t="str">
        <f t="shared" si="15"/>
        <v>Residential_Building Shell_Rim/Band Joist Insulation (Fossil Fuel Heat)_</v>
      </c>
      <c r="B449" t="s">
        <v>162</v>
      </c>
      <c r="C449" t="s">
        <v>167</v>
      </c>
      <c r="D449" t="s">
        <v>185</v>
      </c>
      <c r="E449" s="112"/>
      <c r="F449"/>
      <c r="H449" s="12" t="s">
        <v>478</v>
      </c>
      <c r="I449" s="12" t="s">
        <v>479</v>
      </c>
      <c r="J449" s="12" t="b">
        <f t="shared" si="13"/>
        <v>0</v>
      </c>
    </row>
    <row r="450" spans="1:10" s="12" customFormat="1" x14ac:dyDescent="0.25">
      <c r="A450" s="12" t="str">
        <f t="shared" si="15"/>
        <v>Residential_Building Shell_Basement Sidewall Insulation (Fossil Fuel Heat)_R_old_AG</v>
      </c>
      <c r="B450" t="s">
        <v>162</v>
      </c>
      <c r="C450" t="s">
        <v>167</v>
      </c>
      <c r="D450" t="s">
        <v>186</v>
      </c>
      <c r="E450" s="102" t="s">
        <v>487</v>
      </c>
      <c r="F450" s="105">
        <f>Dashboard_EE!$O$21</f>
        <v>1</v>
      </c>
      <c r="G450" s="12" t="s">
        <v>344</v>
      </c>
      <c r="H450" s="12" t="s">
        <v>488</v>
      </c>
      <c r="I450" s="12" t="s">
        <v>489</v>
      </c>
      <c r="J450" s="12" t="b">
        <f t="shared" si="13"/>
        <v>1</v>
      </c>
    </row>
    <row r="451" spans="1:10" s="12" customFormat="1" x14ac:dyDescent="0.25">
      <c r="A451" s="12" t="str">
        <f t="shared" si="15"/>
        <v>Residential_Building Shell_Basement Sidewall Insulation (Fossil Fuel Heat)_R_added</v>
      </c>
      <c r="B451" t="s">
        <v>162</v>
      </c>
      <c r="C451" t="s">
        <v>167</v>
      </c>
      <c r="D451" t="s">
        <v>186</v>
      </c>
      <c r="E451" s="102" t="s">
        <v>490</v>
      </c>
      <c r="F451" s="105">
        <f>Dashboard_EE!$P$21</f>
        <v>0</v>
      </c>
      <c r="G451" s="12" t="s">
        <v>491</v>
      </c>
      <c r="H451" s="12" t="s">
        <v>488</v>
      </c>
      <c r="I451" s="12" t="s">
        <v>489</v>
      </c>
      <c r="J451" s="12" t="b">
        <f t="shared" si="13"/>
        <v>1</v>
      </c>
    </row>
    <row r="452" spans="1:10" s="12" customFormat="1" x14ac:dyDescent="0.25">
      <c r="A452" s="12" t="str">
        <f t="shared" si="15"/>
        <v>Residential_Building Shell_Basement Sidewall Insulation (Fossil Fuel Heat)_R_old_AG</v>
      </c>
      <c r="B452" t="s">
        <v>162</v>
      </c>
      <c r="C452" t="s">
        <v>167</v>
      </c>
      <c r="D452" t="s">
        <v>186</v>
      </c>
      <c r="E452" s="102" t="s">
        <v>487</v>
      </c>
      <c r="F452" s="105">
        <f>Dashboard_EE!$O$21</f>
        <v>1</v>
      </c>
      <c r="G452" s="12" t="s">
        <v>344</v>
      </c>
      <c r="H452" s="12" t="s">
        <v>488</v>
      </c>
      <c r="I452" s="12" t="s">
        <v>489</v>
      </c>
      <c r="J452" s="12" t="b">
        <f t="shared" si="13"/>
        <v>1</v>
      </c>
    </row>
    <row r="453" spans="1:10" s="12" customFormat="1" x14ac:dyDescent="0.25">
      <c r="A453" s="12" t="str">
        <f t="shared" si="15"/>
        <v>Residential_Building Shell_Basement Sidewall Insulation (Fossil Fuel Heat)_L_basement_wall_total</v>
      </c>
      <c r="B453" t="s">
        <v>162</v>
      </c>
      <c r="C453" t="s">
        <v>167</v>
      </c>
      <c r="D453" t="s">
        <v>186</v>
      </c>
      <c r="E453" s="114" t="s">
        <v>492</v>
      </c>
      <c r="F453" s="116">
        <f>Dashboard_EE!$O$10</f>
        <v>0</v>
      </c>
      <c r="G453" s="12" t="s">
        <v>414</v>
      </c>
      <c r="H453" s="12" t="s">
        <v>488</v>
      </c>
      <c r="I453" s="12" t="s">
        <v>489</v>
      </c>
      <c r="J453" s="12" t="b">
        <f t="shared" si="13"/>
        <v>1</v>
      </c>
    </row>
    <row r="454" spans="1:10" s="12" customFormat="1" x14ac:dyDescent="0.25">
      <c r="A454" s="12" t="str">
        <f t="shared" si="15"/>
        <v>Residential_Building Shell_Basement Sidewall Insulation (Fossil Fuel Heat)_H_basement_wall_AG</v>
      </c>
      <c r="B454" t="s">
        <v>162</v>
      </c>
      <c r="C454" t="s">
        <v>167</v>
      </c>
      <c r="D454" t="s">
        <v>186</v>
      </c>
      <c r="E454" s="114" t="s">
        <v>493</v>
      </c>
      <c r="F454" s="116">
        <f>Dashboard_EE!$O$11</f>
        <v>1</v>
      </c>
      <c r="G454" s="12" t="s">
        <v>491</v>
      </c>
      <c r="H454" s="12" t="s">
        <v>488</v>
      </c>
      <c r="I454" s="12" t="s">
        <v>489</v>
      </c>
      <c r="J454" s="12" t="b">
        <f t="shared" si="13"/>
        <v>1</v>
      </c>
    </row>
    <row r="455" spans="1:10" s="12" customFormat="1" x14ac:dyDescent="0.25">
      <c r="A455" s="12" t="str">
        <f t="shared" si="15"/>
        <v>Residential_Building Shell_Basement Sidewall Insulation (Fossil Fuel Heat)_Framing_factor</v>
      </c>
      <c r="B455" t="s">
        <v>162</v>
      </c>
      <c r="C455" t="s">
        <v>167</v>
      </c>
      <c r="D455" t="s">
        <v>186</v>
      </c>
      <c r="E455" s="102" t="s">
        <v>494</v>
      </c>
      <c r="F455" s="105">
        <v>0.25</v>
      </c>
      <c r="G455" s="12" t="s">
        <v>495</v>
      </c>
      <c r="H455" s="12" t="s">
        <v>488</v>
      </c>
      <c r="I455" s="12" t="s">
        <v>489</v>
      </c>
      <c r="J455" s="12" t="b">
        <f t="shared" ref="J455:J518" si="16">_xlfn.ISFORMULA(F455)</f>
        <v>0</v>
      </c>
    </row>
    <row r="456" spans="1:10" s="12" customFormat="1" x14ac:dyDescent="0.25">
      <c r="A456" s="12" t="str">
        <f t="shared" si="15"/>
        <v>Residential_Building Shell_Basement Sidewall Insulation (Fossil Fuel Heat)_24</v>
      </c>
      <c r="B456" t="s">
        <v>162</v>
      </c>
      <c r="C456" t="s">
        <v>167</v>
      </c>
      <c r="D456" t="s">
        <v>186</v>
      </c>
      <c r="E456" s="102">
        <v>24</v>
      </c>
      <c r="F456" s="105">
        <v>24</v>
      </c>
      <c r="H456" s="12" t="s">
        <v>488</v>
      </c>
      <c r="I456" s="12" t="s">
        <v>489</v>
      </c>
      <c r="J456" s="12" t="b">
        <f t="shared" si="16"/>
        <v>0</v>
      </c>
    </row>
    <row r="457" spans="1:10" s="12" customFormat="1" x14ac:dyDescent="0.25">
      <c r="A457" s="12" t="str">
        <f t="shared" si="15"/>
        <v>Residential_Building Shell_Basement Sidewall Insulation (Fossil Fuel Heat)_CDD</v>
      </c>
      <c r="B457" t="s">
        <v>162</v>
      </c>
      <c r="C457" t="s">
        <v>167</v>
      </c>
      <c r="D457" t="s">
        <v>186</v>
      </c>
      <c r="E457" s="102" t="s">
        <v>421</v>
      </c>
      <c r="F457" s="105" t="e">
        <f>INDEX('CZ Inputs'!G:G,MATCH(A457&amp;"_"&amp;Dashboard_EE!$K$3,'CZ Inputs'!A:A,0))</f>
        <v>#N/A</v>
      </c>
      <c r="G457" s="12" t="s">
        <v>483</v>
      </c>
      <c r="H457" s="12" t="s">
        <v>488</v>
      </c>
      <c r="I457" s="12" t="s">
        <v>489</v>
      </c>
      <c r="J457" s="12" t="b">
        <f t="shared" si="16"/>
        <v>1</v>
      </c>
    </row>
    <row r="458" spans="1:10" s="12" customFormat="1" x14ac:dyDescent="0.25">
      <c r="A458" s="12" t="str">
        <f t="shared" si="15"/>
        <v>Residential_Building Shell_Basement Sidewall Insulation (Fossil Fuel Heat)_DUA</v>
      </c>
      <c r="B458" t="s">
        <v>162</v>
      </c>
      <c r="C458" t="s">
        <v>167</v>
      </c>
      <c r="D458" t="s">
        <v>186</v>
      </c>
      <c r="E458" s="102" t="s">
        <v>423</v>
      </c>
      <c r="F458" s="105">
        <v>0.75</v>
      </c>
      <c r="H458" s="12" t="s">
        <v>488</v>
      </c>
      <c r="I458" s="12" t="s">
        <v>489</v>
      </c>
      <c r="J458" s="12" t="b">
        <f t="shared" si="16"/>
        <v>0</v>
      </c>
    </row>
    <row r="459" spans="1:10" s="12" customFormat="1" x14ac:dyDescent="0.25">
      <c r="A459" s="12" t="str">
        <f t="shared" si="15"/>
        <v>Residential_Building Shell_Basement Sidewall Insulation (Fossil Fuel Heat)_1000</v>
      </c>
      <c r="B459" t="s">
        <v>162</v>
      </c>
      <c r="C459" t="s">
        <v>167</v>
      </c>
      <c r="D459" t="s">
        <v>186</v>
      </c>
      <c r="E459" s="102">
        <v>1000</v>
      </c>
      <c r="F459" s="105">
        <v>1000</v>
      </c>
      <c r="H459" s="12" t="s">
        <v>488</v>
      </c>
      <c r="I459" s="12" t="s">
        <v>489</v>
      </c>
      <c r="J459" s="12" t="b">
        <f t="shared" si="16"/>
        <v>0</v>
      </c>
    </row>
    <row r="460" spans="1:10" s="12" customFormat="1" x14ac:dyDescent="0.25">
      <c r="A460" s="12" t="str">
        <f t="shared" si="15"/>
        <v>Residential_Building Shell_Basement Sidewall Insulation (Fossil Fuel Heat)_ηCool</v>
      </c>
      <c r="B460" t="s">
        <v>162</v>
      </c>
      <c r="C460" t="s">
        <v>167</v>
      </c>
      <c r="D460" t="s">
        <v>186</v>
      </c>
      <c r="E460" s="114" t="s">
        <v>424</v>
      </c>
      <c r="F460" s="116">
        <f>Dashboard_EE!$K$13</f>
        <v>0</v>
      </c>
      <c r="G460" s="12" t="s">
        <v>240</v>
      </c>
      <c r="H460" s="12" t="s">
        <v>488</v>
      </c>
      <c r="I460" s="12" t="s">
        <v>489</v>
      </c>
      <c r="J460" s="12" t="b">
        <f t="shared" si="16"/>
        <v>1</v>
      </c>
    </row>
    <row r="461" spans="1:10" s="12" customFormat="1" x14ac:dyDescent="0.25">
      <c r="A461" s="12" t="str">
        <f t="shared" si="15"/>
        <v>Residential_Building Shell_Basement Sidewall Insulation (Fossil Fuel Heat)_ηCool_Mid-Life_Adj</v>
      </c>
      <c r="B461" t="s">
        <v>162</v>
      </c>
      <c r="C461" t="s">
        <v>167</v>
      </c>
      <c r="D461" t="s">
        <v>186</v>
      </c>
      <c r="E461" s="114" t="s">
        <v>425</v>
      </c>
      <c r="F461" s="116">
        <f>Dashboard_EE!$K$13</f>
        <v>0</v>
      </c>
      <c r="G461" s="12" t="s">
        <v>240</v>
      </c>
      <c r="H461" s="12" t="s">
        <v>488</v>
      </c>
      <c r="I461" s="12" t="s">
        <v>489</v>
      </c>
      <c r="J461" s="12" t="b">
        <f t="shared" si="16"/>
        <v>1</v>
      </c>
    </row>
    <row r="462" spans="1:10" s="12" customFormat="1" x14ac:dyDescent="0.25">
      <c r="A462" s="12" t="str">
        <f t="shared" si="15"/>
        <v>Residential_Building Shell_Basement Sidewall Insulation (Fossil Fuel Heat)_ADJBasementCool</v>
      </c>
      <c r="B462" t="s">
        <v>162</v>
      </c>
      <c r="C462" t="s">
        <v>167</v>
      </c>
      <c r="D462" t="s">
        <v>186</v>
      </c>
      <c r="E462" s="102" t="s">
        <v>484</v>
      </c>
      <c r="F462" s="105">
        <v>0.75</v>
      </c>
      <c r="H462" s="12" t="s">
        <v>488</v>
      </c>
      <c r="I462" s="12" t="s">
        <v>489</v>
      </c>
      <c r="J462" s="12" t="b">
        <f t="shared" si="16"/>
        <v>0</v>
      </c>
    </row>
    <row r="463" spans="1:10" s="12" customFormat="1" x14ac:dyDescent="0.25">
      <c r="A463" s="12" t="str">
        <f t="shared" si="15"/>
        <v>Residential_Building Shell_Basement Sidewall Insulation (Fossil Fuel Heat)_%Cool</v>
      </c>
      <c r="B463" t="s">
        <v>162</v>
      </c>
      <c r="C463" t="s">
        <v>167</v>
      </c>
      <c r="D463" t="s">
        <v>186</v>
      </c>
      <c r="E463" s="114" t="s">
        <v>397</v>
      </c>
      <c r="F463" s="116">
        <f>IF(Dashboard_EE!$K$14="Yes",1,0)</f>
        <v>0</v>
      </c>
      <c r="G463" s="12" t="s">
        <v>344</v>
      </c>
      <c r="H463" s="12" t="s">
        <v>488</v>
      </c>
      <c r="I463" s="12" t="s">
        <v>489</v>
      </c>
      <c r="J463" s="12" t="b">
        <f t="shared" si="16"/>
        <v>1</v>
      </c>
    </row>
    <row r="464" spans="1:10" s="12" customFormat="1" x14ac:dyDescent="0.25">
      <c r="A464" s="12" t="str">
        <f t="shared" si="15"/>
        <v>Residential_Building Shell_Basement Sidewall Insulation (Fossil Fuel Heat)_Delta_kWh_cooling</v>
      </c>
      <c r="B464" t="s">
        <v>162</v>
      </c>
      <c r="C464" t="s">
        <v>167</v>
      </c>
      <c r="D464" t="s">
        <v>186</v>
      </c>
      <c r="E464" s="114" t="s">
        <v>430</v>
      </c>
      <c r="F464" s="116" t="e">
        <f xml:space="preserve"> ((((1/ F450 - 1/ (F451 + F452)) * F453 * F454 * (1 - F455)) * F456 * F457 * F458) / (F459 * F460)) * F462 * F463</f>
        <v>#N/A</v>
      </c>
      <c r="H464" s="12" t="s">
        <v>488</v>
      </c>
      <c r="I464" s="12" t="s">
        <v>489</v>
      </c>
      <c r="J464" s="12" t="b">
        <f t="shared" si="16"/>
        <v>1</v>
      </c>
    </row>
    <row r="465" spans="1:10" s="12" customFormat="1" x14ac:dyDescent="0.25">
      <c r="A465" s="12" t="str">
        <f t="shared" si="15"/>
        <v>Residential_Building Shell_Basement Sidewall Insulation (Fossil Fuel Heat)_Delta_kWh_cooling_Mid-Life_Adj</v>
      </c>
      <c r="B465" t="s">
        <v>162</v>
      </c>
      <c r="C465" t="s">
        <v>167</v>
      </c>
      <c r="D465" t="s">
        <v>186</v>
      </c>
      <c r="E465" s="114" t="s">
        <v>431</v>
      </c>
      <c r="F465" s="116" t="e">
        <f xml:space="preserve"> ((((1/ F450 - 1/ (F451 + F452)) * F453 * F454 * (1 - F455)) * F456 * F457 * F458) / (F459 * F461)) * F462 * F463</f>
        <v>#N/A</v>
      </c>
      <c r="H465" s="12" t="s">
        <v>488</v>
      </c>
      <c r="I465" s="12" t="s">
        <v>489</v>
      </c>
      <c r="J465" s="12" t="b">
        <f t="shared" si="16"/>
        <v>1</v>
      </c>
    </row>
    <row r="466" spans="1:10" s="12" customFormat="1" x14ac:dyDescent="0.25">
      <c r="A466" s="12" t="str">
        <f t="shared" si="15"/>
        <v>Residential_Building Shell_Basement Sidewall Insulation (Fossil Fuel Heat)_R_old_AG</v>
      </c>
      <c r="B466" t="s">
        <v>162</v>
      </c>
      <c r="C466" t="s">
        <v>167</v>
      </c>
      <c r="D466" t="s">
        <v>186</v>
      </c>
      <c r="E466" s="102" t="s">
        <v>487</v>
      </c>
      <c r="F466" s="105">
        <f>Dashboard_EE!$O$21</f>
        <v>1</v>
      </c>
      <c r="G466" s="12" t="s">
        <v>344</v>
      </c>
      <c r="H466" s="12" t="s">
        <v>488</v>
      </c>
      <c r="I466" s="12" t="s">
        <v>489</v>
      </c>
      <c r="J466" s="12" t="b">
        <f t="shared" si="16"/>
        <v>1</v>
      </c>
    </row>
    <row r="467" spans="1:10" s="12" customFormat="1" x14ac:dyDescent="0.25">
      <c r="A467" s="12" t="str">
        <f t="shared" si="15"/>
        <v>Residential_Building Shell_Basement Sidewall Insulation (Fossil Fuel Heat)_R_added</v>
      </c>
      <c r="B467" t="s">
        <v>162</v>
      </c>
      <c r="C467" t="s">
        <v>167</v>
      </c>
      <c r="D467" t="s">
        <v>186</v>
      </c>
      <c r="E467" s="102" t="s">
        <v>490</v>
      </c>
      <c r="F467" s="105">
        <f>Dashboard_EE!$P$21</f>
        <v>0</v>
      </c>
      <c r="G467" s="12" t="s">
        <v>491</v>
      </c>
      <c r="H467" s="12" t="s">
        <v>488</v>
      </c>
      <c r="I467" s="12" t="s">
        <v>489</v>
      </c>
      <c r="J467" s="12" t="b">
        <f t="shared" si="16"/>
        <v>1</v>
      </c>
    </row>
    <row r="468" spans="1:10" s="12" customFormat="1" x14ac:dyDescent="0.25">
      <c r="A468" s="12" t="str">
        <f t="shared" si="15"/>
        <v>Residential_Building Shell_Basement Sidewall Insulation (Fossil Fuel Heat)_R_old_AG</v>
      </c>
      <c r="B468" t="s">
        <v>162</v>
      </c>
      <c r="C468" t="s">
        <v>167</v>
      </c>
      <c r="D468" t="s">
        <v>186</v>
      </c>
      <c r="E468" s="102" t="s">
        <v>487</v>
      </c>
      <c r="F468" s="105">
        <f>Dashboard_EE!$O$21</f>
        <v>1</v>
      </c>
      <c r="G468" s="12" t="s">
        <v>344</v>
      </c>
      <c r="H468" s="12" t="s">
        <v>488</v>
      </c>
      <c r="I468" s="12" t="s">
        <v>489</v>
      </c>
      <c r="J468" s="12" t="b">
        <f t="shared" si="16"/>
        <v>1</v>
      </c>
    </row>
    <row r="469" spans="1:10" s="12" customFormat="1" x14ac:dyDescent="0.25">
      <c r="A469" s="12" t="str">
        <f t="shared" si="15"/>
        <v>Residential_Building Shell_Basement Sidewall Insulation (Fossil Fuel Heat)_L_basement_wall_total</v>
      </c>
      <c r="B469" t="s">
        <v>162</v>
      </c>
      <c r="C469" t="s">
        <v>167</v>
      </c>
      <c r="D469" t="s">
        <v>186</v>
      </c>
      <c r="E469" s="114" t="s">
        <v>492</v>
      </c>
      <c r="F469" s="116">
        <f>Dashboard_EE!$O$10</f>
        <v>0</v>
      </c>
      <c r="G469" s="12" t="s">
        <v>414</v>
      </c>
      <c r="H469" s="12" t="s">
        <v>488</v>
      </c>
      <c r="I469" s="12" t="s">
        <v>489</v>
      </c>
      <c r="J469" s="12" t="b">
        <f t="shared" si="16"/>
        <v>1</v>
      </c>
    </row>
    <row r="470" spans="1:10" s="12" customFormat="1" x14ac:dyDescent="0.25">
      <c r="A470" s="12" t="str">
        <f t="shared" si="15"/>
        <v>Residential_Building Shell_Basement Sidewall Insulation (Fossil Fuel Heat)_H_basement_wall_AG</v>
      </c>
      <c r="B470" t="s">
        <v>162</v>
      </c>
      <c r="C470" t="s">
        <v>167</v>
      </c>
      <c r="D470" t="s">
        <v>186</v>
      </c>
      <c r="E470" s="114" t="s">
        <v>493</v>
      </c>
      <c r="F470" s="116">
        <f>Dashboard_EE!$O$11</f>
        <v>1</v>
      </c>
      <c r="G470" s="12" t="s">
        <v>491</v>
      </c>
      <c r="H470" s="12" t="s">
        <v>488</v>
      </c>
      <c r="I470" s="12" t="s">
        <v>489</v>
      </c>
      <c r="J470" s="12" t="b">
        <f t="shared" si="16"/>
        <v>1</v>
      </c>
    </row>
    <row r="471" spans="1:10" s="12" customFormat="1" x14ac:dyDescent="0.25">
      <c r="A471" s="12" t="str">
        <f t="shared" si="15"/>
        <v>Residential_Building Shell_Basement Sidewall Insulation (Fossil Fuel Heat)_Framing_factor</v>
      </c>
      <c r="B471" t="s">
        <v>162</v>
      </c>
      <c r="C471" t="s">
        <v>167</v>
      </c>
      <c r="D471" t="s">
        <v>186</v>
      </c>
      <c r="E471" s="102" t="s">
        <v>494</v>
      </c>
      <c r="F471" s="105">
        <v>0.25</v>
      </c>
      <c r="G471" s="12" t="s">
        <v>495</v>
      </c>
      <c r="H471" s="12" t="s">
        <v>488</v>
      </c>
      <c r="I471" s="12" t="s">
        <v>489</v>
      </c>
      <c r="J471" s="12" t="b">
        <f t="shared" si="16"/>
        <v>0</v>
      </c>
    </row>
    <row r="472" spans="1:10" s="12" customFormat="1" x14ac:dyDescent="0.25">
      <c r="A472" s="12" t="str">
        <f t="shared" si="15"/>
        <v>Residential_Building Shell_Basement Sidewall Insulation (Fossil Fuel Heat)_R_old_BG</v>
      </c>
      <c r="B472" t="s">
        <v>162</v>
      </c>
      <c r="C472" t="s">
        <v>167</v>
      </c>
      <c r="D472" t="s">
        <v>186</v>
      </c>
      <c r="E472" s="102" t="s">
        <v>496</v>
      </c>
      <c r="F472" s="105">
        <v>7.42</v>
      </c>
      <c r="G472" s="12" t="s">
        <v>497</v>
      </c>
      <c r="H472" s="12" t="s">
        <v>488</v>
      </c>
      <c r="I472" s="12" t="s">
        <v>489</v>
      </c>
      <c r="J472" s="12" t="b">
        <f t="shared" si="16"/>
        <v>0</v>
      </c>
    </row>
    <row r="473" spans="1:10" s="12" customFormat="1" x14ac:dyDescent="0.25">
      <c r="A473" s="12" t="str">
        <f t="shared" si="15"/>
        <v>Residential_Building Shell_Basement Sidewall Insulation (Fossil Fuel Heat)_R_added</v>
      </c>
      <c r="B473" t="s">
        <v>162</v>
      </c>
      <c r="C473" t="s">
        <v>167</v>
      </c>
      <c r="D473" t="s">
        <v>186</v>
      </c>
      <c r="E473" s="102" t="s">
        <v>490</v>
      </c>
      <c r="F473" s="105">
        <f>Dashboard_EE!$P$21</f>
        <v>0</v>
      </c>
      <c r="G473" s="12" t="s">
        <v>491</v>
      </c>
      <c r="H473" s="12" t="s">
        <v>488</v>
      </c>
      <c r="I473" s="12" t="s">
        <v>489</v>
      </c>
      <c r="J473" s="12" t="b">
        <f t="shared" si="16"/>
        <v>1</v>
      </c>
    </row>
    <row r="474" spans="1:10" s="12" customFormat="1" x14ac:dyDescent="0.25">
      <c r="A474" s="12" t="str">
        <f t="shared" si="15"/>
        <v>Residential_Building Shell_Basement Sidewall Insulation (Fossil Fuel Heat)_R_old_BG</v>
      </c>
      <c r="B474" t="s">
        <v>162</v>
      </c>
      <c r="C474" t="s">
        <v>167</v>
      </c>
      <c r="D474" t="s">
        <v>186</v>
      </c>
      <c r="E474" s="102" t="s">
        <v>496</v>
      </c>
      <c r="F474" s="105">
        <v>7.42</v>
      </c>
      <c r="G474" s="12" t="s">
        <v>497</v>
      </c>
      <c r="H474" s="12" t="s">
        <v>488</v>
      </c>
      <c r="I474" s="12" t="s">
        <v>489</v>
      </c>
      <c r="J474" s="12" t="b">
        <f t="shared" si="16"/>
        <v>0</v>
      </c>
    </row>
    <row r="475" spans="1:10" s="12" customFormat="1" x14ac:dyDescent="0.25">
      <c r="A475" s="12" t="str">
        <f t="shared" si="15"/>
        <v>Residential_Building Shell_Basement Sidewall Insulation (Fossil Fuel Heat)_L_basement_wall_total</v>
      </c>
      <c r="B475" t="s">
        <v>162</v>
      </c>
      <c r="C475" t="s">
        <v>167</v>
      </c>
      <c r="D475" t="s">
        <v>186</v>
      </c>
      <c r="E475" s="114" t="s">
        <v>492</v>
      </c>
      <c r="F475" s="116">
        <f>Dashboard_EE!$O$10</f>
        <v>0</v>
      </c>
      <c r="G475" s="12" t="s">
        <v>414</v>
      </c>
      <c r="H475" s="12" t="s">
        <v>488</v>
      </c>
      <c r="I475" s="12" t="s">
        <v>489</v>
      </c>
      <c r="J475" s="12" t="b">
        <f t="shared" si="16"/>
        <v>1</v>
      </c>
    </row>
    <row r="476" spans="1:10" s="12" customFormat="1" x14ac:dyDescent="0.25">
      <c r="A476" s="12" t="str">
        <f t="shared" si="15"/>
        <v>Residential_Building Shell_Basement Sidewall Insulation (Fossil Fuel Heat)_H_basement_wall_total</v>
      </c>
      <c r="B476" t="s">
        <v>162</v>
      </c>
      <c r="C476" t="s">
        <v>167</v>
      </c>
      <c r="D476" t="s">
        <v>186</v>
      </c>
      <c r="E476" s="114" t="s">
        <v>498</v>
      </c>
      <c r="F476" s="116">
        <f>Dashboard_EE!$O$12</f>
        <v>3</v>
      </c>
      <c r="G476" s="12" t="s">
        <v>491</v>
      </c>
      <c r="H476" s="12" t="s">
        <v>488</v>
      </c>
      <c r="I476" s="12" t="s">
        <v>489</v>
      </c>
      <c r="J476" s="12" t="b">
        <f t="shared" si="16"/>
        <v>1</v>
      </c>
    </row>
    <row r="477" spans="1:10" s="12" customFormat="1" x14ac:dyDescent="0.25">
      <c r="A477" s="12" t="str">
        <f t="shared" si="15"/>
        <v>Residential_Building Shell_Basement Sidewall Insulation (Fossil Fuel Heat)_H_basement_wall_AG</v>
      </c>
      <c r="B477" t="s">
        <v>162</v>
      </c>
      <c r="C477" t="s">
        <v>167</v>
      </c>
      <c r="D477" t="s">
        <v>186</v>
      </c>
      <c r="E477" s="114" t="s">
        <v>493</v>
      </c>
      <c r="F477" s="116">
        <f>Dashboard_EE!$O$11</f>
        <v>1</v>
      </c>
      <c r="G477" s="12" t="s">
        <v>491</v>
      </c>
      <c r="H477" s="12" t="s">
        <v>488</v>
      </c>
      <c r="I477" s="12" t="s">
        <v>489</v>
      </c>
      <c r="J477" s="12" t="b">
        <f t="shared" si="16"/>
        <v>1</v>
      </c>
    </row>
    <row r="478" spans="1:10" s="12" customFormat="1" x14ac:dyDescent="0.25">
      <c r="A478" s="12" t="str">
        <f t="shared" si="15"/>
        <v>Residential_Building Shell_Basement Sidewall Insulation (Fossil Fuel Heat)_Framing_factor</v>
      </c>
      <c r="B478" t="s">
        <v>162</v>
      </c>
      <c r="C478" t="s">
        <v>167</v>
      </c>
      <c r="D478" t="s">
        <v>186</v>
      </c>
      <c r="E478" s="102" t="s">
        <v>494</v>
      </c>
      <c r="F478" s="105">
        <v>0.25</v>
      </c>
      <c r="G478" s="12" t="s">
        <v>495</v>
      </c>
      <c r="H478" s="12" t="s">
        <v>488</v>
      </c>
      <c r="I478" s="12" t="s">
        <v>489</v>
      </c>
      <c r="J478" s="12" t="b">
        <f t="shared" si="16"/>
        <v>0</v>
      </c>
    </row>
    <row r="479" spans="1:10" s="12" customFormat="1" x14ac:dyDescent="0.25">
      <c r="A479" s="12" t="str">
        <f t="shared" si="15"/>
        <v>Residential_Building Shell_Basement Sidewall Insulation (Fossil Fuel Heat)_24</v>
      </c>
      <c r="B479" t="s">
        <v>162</v>
      </c>
      <c r="C479" t="s">
        <v>167</v>
      </c>
      <c r="D479" t="s">
        <v>186</v>
      </c>
      <c r="E479" s="102">
        <v>24</v>
      </c>
      <c r="F479" s="105">
        <v>24</v>
      </c>
      <c r="H479" s="12" t="s">
        <v>488</v>
      </c>
      <c r="I479" s="12" t="s">
        <v>489</v>
      </c>
      <c r="J479" s="12" t="b">
        <f t="shared" si="16"/>
        <v>0</v>
      </c>
    </row>
    <row r="480" spans="1:10" s="12" customFormat="1" x14ac:dyDescent="0.25">
      <c r="A480" s="12" t="str">
        <f t="shared" si="15"/>
        <v>Residential_Building Shell_Basement Sidewall Insulation (Fossil Fuel Heat)_HDD</v>
      </c>
      <c r="B480" t="s">
        <v>162</v>
      </c>
      <c r="C480" t="s">
        <v>167</v>
      </c>
      <c r="D480" t="s">
        <v>186</v>
      </c>
      <c r="E480" s="102" t="s">
        <v>433</v>
      </c>
      <c r="F480" s="105" t="e">
        <f>INDEX('CZ Inputs'!G:G,MATCH(A480&amp;"_"&amp;Dashboard_EE!$K$3,'CZ Inputs'!A:A,0))</f>
        <v>#N/A</v>
      </c>
      <c r="G480" s="12" t="s">
        <v>483</v>
      </c>
      <c r="H480" s="12" t="s">
        <v>488</v>
      </c>
      <c r="I480" s="12" t="s">
        <v>489</v>
      </c>
      <c r="J480" s="12" t="b">
        <f t="shared" si="16"/>
        <v>1</v>
      </c>
    </row>
    <row r="481" spans="1:10" s="12" customFormat="1" x14ac:dyDescent="0.25">
      <c r="A481" s="12" t="str">
        <f t="shared" si="15"/>
        <v>Residential_Building Shell_Basement Sidewall Insulation (Fossil Fuel Heat)_3412</v>
      </c>
      <c r="B481" t="s">
        <v>162</v>
      </c>
      <c r="C481" t="s">
        <v>167</v>
      </c>
      <c r="D481" t="s">
        <v>186</v>
      </c>
      <c r="E481" s="102">
        <v>3412</v>
      </c>
      <c r="F481" s="105">
        <v>3412</v>
      </c>
      <c r="H481" s="12" t="s">
        <v>488</v>
      </c>
      <c r="I481" s="12" t="s">
        <v>489</v>
      </c>
      <c r="J481" s="12" t="b">
        <f t="shared" si="16"/>
        <v>0</v>
      </c>
    </row>
    <row r="482" spans="1:10" s="12" customFormat="1" x14ac:dyDescent="0.25">
      <c r="A482" s="12" t="str">
        <f t="shared" si="15"/>
        <v>Residential_Building Shell_Basement Sidewall Insulation (Fossil Fuel Heat)_ηHeat</v>
      </c>
      <c r="B482" t="s">
        <v>162</v>
      </c>
      <c r="C482" t="s">
        <v>167</v>
      </c>
      <c r="D482" t="s">
        <v>186</v>
      </c>
      <c r="E482" s="114" t="s">
        <v>434</v>
      </c>
      <c r="F482" s="116">
        <f>Dashboard_EE!$K$6</f>
        <v>0</v>
      </c>
      <c r="G482" s="12" t="s">
        <v>240</v>
      </c>
      <c r="H482" s="12" t="s">
        <v>488</v>
      </c>
      <c r="I482" s="12" t="s">
        <v>489</v>
      </c>
      <c r="J482" s="12" t="b">
        <f t="shared" si="16"/>
        <v>1</v>
      </c>
    </row>
    <row r="483" spans="1:10" s="12" customFormat="1" x14ac:dyDescent="0.25">
      <c r="A483" s="12" t="str">
        <f t="shared" si="15"/>
        <v>Residential_Building Shell_Basement Sidewall Insulation (Fossil Fuel Heat)_ηHeat_Mid-Life_Adj</v>
      </c>
      <c r="B483" t="s">
        <v>162</v>
      </c>
      <c r="C483" t="s">
        <v>167</v>
      </c>
      <c r="D483" t="s">
        <v>186</v>
      </c>
      <c r="E483" s="114" t="s">
        <v>435</v>
      </c>
      <c r="F483" s="116">
        <f>Dashboard_EE!$K$6</f>
        <v>0</v>
      </c>
      <c r="G483" s="12" t="s">
        <v>240</v>
      </c>
      <c r="H483" s="12" t="s">
        <v>488</v>
      </c>
      <c r="I483" s="12" t="s">
        <v>489</v>
      </c>
      <c r="J483" s="12" t="b">
        <f t="shared" si="16"/>
        <v>1</v>
      </c>
    </row>
    <row r="484" spans="1:10" s="12" customFormat="1" x14ac:dyDescent="0.25">
      <c r="A484" s="12" t="str">
        <f t="shared" si="15"/>
        <v>Residential_Building Shell_Basement Sidewall Insulation (Fossil Fuel Heat)_ADJBasementHeat</v>
      </c>
      <c r="B484" t="s">
        <v>162</v>
      </c>
      <c r="C484" t="s">
        <v>167</v>
      </c>
      <c r="D484" t="s">
        <v>186</v>
      </c>
      <c r="E484" s="102" t="s">
        <v>485</v>
      </c>
      <c r="F484" s="105">
        <v>0.63</v>
      </c>
      <c r="H484" s="12" t="s">
        <v>488</v>
      </c>
      <c r="I484" s="12" t="s">
        <v>489</v>
      </c>
      <c r="J484" s="12" t="b">
        <f t="shared" si="16"/>
        <v>0</v>
      </c>
    </row>
    <row r="485" spans="1:10" s="12" customFormat="1" x14ac:dyDescent="0.25">
      <c r="A485" s="12" t="str">
        <f t="shared" si="15"/>
        <v>Residential_Building Shell_Basement Sidewall Insulation (Fossil Fuel Heat)_%ElectricHeat</v>
      </c>
      <c r="B485" t="s">
        <v>162</v>
      </c>
      <c r="C485" t="s">
        <v>167</v>
      </c>
      <c r="D485" t="s">
        <v>186</v>
      </c>
      <c r="E485" s="102" t="s">
        <v>402</v>
      </c>
      <c r="F485" s="105">
        <v>0</v>
      </c>
      <c r="G485" s="12" t="s">
        <v>533</v>
      </c>
      <c r="H485" s="12" t="s">
        <v>488</v>
      </c>
      <c r="I485" s="12" t="s">
        <v>489</v>
      </c>
      <c r="J485" s="12" t="b">
        <f t="shared" si="16"/>
        <v>0</v>
      </c>
    </row>
    <row r="486" spans="1:10" s="12" customFormat="1" x14ac:dyDescent="0.25">
      <c r="A486" s="12" t="str">
        <f t="shared" si="15"/>
        <v>Residential_Building Shell_Basement Sidewall Insulation (Fossil Fuel Heat)_Delta_kWh_heatingElectric</v>
      </c>
      <c r="B486" t="s">
        <v>162</v>
      </c>
      <c r="C486" t="s">
        <v>167</v>
      </c>
      <c r="D486" t="s">
        <v>186</v>
      </c>
      <c r="E486" s="114" t="s">
        <v>437</v>
      </c>
      <c r="F486" s="116" t="e">
        <f xml:space="preserve"> ((((1/ F466 - 1/ (F467 + F468)) * F469 * F470 * (1 - F471)) + (((1/ F472 - 1/ (F473 + F474)) * F475 * (F476 - F477) * (1 - F478))) * F479 * F480) / (F481 * F482)) * F484 * F485</f>
        <v>#N/A</v>
      </c>
      <c r="H486" s="12" t="s">
        <v>488</v>
      </c>
      <c r="I486" s="12" t="s">
        <v>489</v>
      </c>
      <c r="J486" s="12" t="b">
        <f t="shared" si="16"/>
        <v>1</v>
      </c>
    </row>
    <row r="487" spans="1:10" s="12" customFormat="1" x14ac:dyDescent="0.25">
      <c r="A487" s="12" t="str">
        <f t="shared" si="15"/>
        <v>Residential_Building Shell_Basement Sidewall Insulation (Fossil Fuel Heat)_Delta_kWh_heatingElectric_Mid-Life_Adj</v>
      </c>
      <c r="B487" t="s">
        <v>162</v>
      </c>
      <c r="C487" t="s">
        <v>167</v>
      </c>
      <c r="D487" t="s">
        <v>186</v>
      </c>
      <c r="E487" s="114" t="s">
        <v>438</v>
      </c>
      <c r="F487" s="116" t="e">
        <f xml:space="preserve"> ((((1/ F466 - 1/ (F467 + F468)) * F469 * F470 * (1 - F471)) + (((1/ F472 - 1/ (F473 + F474)) * F475 * (F476 - F477) * (1 - F478))) * F479 * F480) / (F481 * F483)) * F484 * F485</f>
        <v>#N/A</v>
      </c>
      <c r="H487" s="12" t="s">
        <v>488</v>
      </c>
      <c r="I487" s="12" t="s">
        <v>489</v>
      </c>
      <c r="J487" s="12" t="b">
        <f t="shared" si="16"/>
        <v>1</v>
      </c>
    </row>
    <row r="488" spans="1:10" s="12" customFormat="1" x14ac:dyDescent="0.25">
      <c r="A488" s="12" t="str">
        <f t="shared" si="15"/>
        <v>Residential_Building Shell_Basement Sidewall Insulation (Fossil Fuel Heat)_Delta_Therms</v>
      </c>
      <c r="B488" t="s">
        <v>162</v>
      </c>
      <c r="C488" t="s">
        <v>167</v>
      </c>
      <c r="D488" t="s">
        <v>186</v>
      </c>
      <c r="E488" s="114" t="s">
        <v>354</v>
      </c>
      <c r="F488" s="116" t="e">
        <f>F518</f>
        <v>#N/A</v>
      </c>
      <c r="H488" s="12" t="s">
        <v>488</v>
      </c>
      <c r="I488" s="12" t="s">
        <v>489</v>
      </c>
      <c r="J488" s="12" t="b">
        <f t="shared" si="16"/>
        <v>1</v>
      </c>
    </row>
    <row r="489" spans="1:10" s="12" customFormat="1" x14ac:dyDescent="0.25">
      <c r="A489" s="12" t="str">
        <f t="shared" si="15"/>
        <v>Residential_Building Shell_Basement Sidewall Insulation (Fossil Fuel Heat)_Delta_Therms_Mid-Life_Adj</v>
      </c>
      <c r="B489" t="s">
        <v>162</v>
      </c>
      <c r="C489" t="s">
        <v>167</v>
      </c>
      <c r="D489" t="s">
        <v>186</v>
      </c>
      <c r="E489" s="114" t="s">
        <v>473</v>
      </c>
      <c r="F489" s="116" t="e">
        <f>F519</f>
        <v>#N/A</v>
      </c>
      <c r="H489" s="12" t="s">
        <v>488</v>
      </c>
      <c r="I489" s="12" t="s">
        <v>489</v>
      </c>
      <c r="J489" s="12" t="b">
        <f t="shared" si="16"/>
        <v>1</v>
      </c>
    </row>
    <row r="490" spans="1:10" s="12" customFormat="1" x14ac:dyDescent="0.25">
      <c r="A490" s="12" t="str">
        <f t="shared" si="15"/>
        <v>Residential_Building Shell_Basement Sidewall Insulation (Fossil Fuel Heat)_Fe</v>
      </c>
      <c r="B490" t="s">
        <v>162</v>
      </c>
      <c r="C490" t="s">
        <v>167</v>
      </c>
      <c r="D490" t="s">
        <v>186</v>
      </c>
      <c r="E490" s="102" t="s">
        <v>251</v>
      </c>
      <c r="F490" s="105">
        <v>3.1399999999999997E-2</v>
      </c>
      <c r="H490" s="12" t="s">
        <v>488</v>
      </c>
      <c r="I490" s="12" t="s">
        <v>489</v>
      </c>
      <c r="J490" s="12" t="b">
        <f t="shared" si="16"/>
        <v>0</v>
      </c>
    </row>
    <row r="491" spans="1:10" s="12" customFormat="1" x14ac:dyDescent="0.25">
      <c r="A491" s="12" t="str">
        <f t="shared" si="15"/>
        <v>Residential_Building Shell_Basement Sidewall Insulation (Fossil Fuel Heat)_29.3</v>
      </c>
      <c r="B491" t="s">
        <v>162</v>
      </c>
      <c r="C491" t="s">
        <v>167</v>
      </c>
      <c r="D491" t="s">
        <v>186</v>
      </c>
      <c r="E491" s="102">
        <v>29.3</v>
      </c>
      <c r="F491" s="105">
        <v>29.3</v>
      </c>
      <c r="H491" s="12" t="s">
        <v>488</v>
      </c>
      <c r="I491" s="12" t="s">
        <v>489</v>
      </c>
      <c r="J491" s="12" t="b">
        <f t="shared" si="16"/>
        <v>0</v>
      </c>
    </row>
    <row r="492" spans="1:10" s="12" customFormat="1" x14ac:dyDescent="0.25">
      <c r="A492" s="12" t="str">
        <f t="shared" si="15"/>
        <v>Residential_Building Shell_Basement Sidewall Insulation (Fossil Fuel Heat)_Delta_kWh_heatingGas</v>
      </c>
      <c r="B492" t="s">
        <v>162</v>
      </c>
      <c r="C492" t="s">
        <v>167</v>
      </c>
      <c r="D492" t="s">
        <v>186</v>
      </c>
      <c r="E492" s="114" t="s">
        <v>440</v>
      </c>
      <c r="F492" s="116" t="e">
        <f>F488*F490*F491</f>
        <v>#N/A</v>
      </c>
      <c r="H492" s="12" t="s">
        <v>488</v>
      </c>
      <c r="I492" s="12" t="s">
        <v>489</v>
      </c>
      <c r="J492" s="12" t="b">
        <f t="shared" si="16"/>
        <v>1</v>
      </c>
    </row>
    <row r="493" spans="1:10" s="12" customFormat="1" x14ac:dyDescent="0.25">
      <c r="A493" s="12" t="str">
        <f t="shared" si="15"/>
        <v>Residential_Building Shell_Basement Sidewall Insulation (Fossil Fuel Heat)_Delta_kWh_heatingGas_Mid-Life_Adj</v>
      </c>
      <c r="B493" t="s">
        <v>162</v>
      </c>
      <c r="C493" t="s">
        <v>167</v>
      </c>
      <c r="D493" t="s">
        <v>186</v>
      </c>
      <c r="E493" s="114" t="s">
        <v>441</v>
      </c>
      <c r="F493" s="116" t="e">
        <f>F489*F490*F491</f>
        <v>#N/A</v>
      </c>
      <c r="H493" s="12" t="s">
        <v>488</v>
      </c>
      <c r="I493" s="12" t="s">
        <v>489</v>
      </c>
      <c r="J493" s="12" t="b">
        <f t="shared" si="16"/>
        <v>1</v>
      </c>
    </row>
    <row r="494" spans="1:10" s="12" customFormat="1" x14ac:dyDescent="0.25">
      <c r="A494" s="12" t="str">
        <f t="shared" si="15"/>
        <v>Residential_Building Shell_Basement Sidewall Insulation (Fossil Fuel Heat)_FLH_cooling</v>
      </c>
      <c r="B494" t="s">
        <v>162</v>
      </c>
      <c r="C494" t="s">
        <v>167</v>
      </c>
      <c r="D494" t="s">
        <v>186</v>
      </c>
      <c r="E494" s="102" t="s">
        <v>442</v>
      </c>
      <c r="F494" s="105" t="e">
        <f>INDEX('CZ Inputs'!G:G,MATCH(A494&amp;"_"&amp;Dashboard_EE!$K$3,'CZ Inputs'!A:A,0))</f>
        <v>#N/A</v>
      </c>
      <c r="G494" s="12" t="s">
        <v>483</v>
      </c>
      <c r="H494" s="12" t="s">
        <v>488</v>
      </c>
      <c r="I494" s="12" t="s">
        <v>489</v>
      </c>
      <c r="J494" s="12" t="b">
        <f t="shared" si="16"/>
        <v>1</v>
      </c>
    </row>
    <row r="495" spans="1:10" s="12" customFormat="1" x14ac:dyDescent="0.25">
      <c r="A495" s="12" t="str">
        <f t="shared" si="15"/>
        <v>Residential_Building Shell_Basement Sidewall Insulation (Fossil Fuel Heat)_CF</v>
      </c>
      <c r="B495" t="s">
        <v>162</v>
      </c>
      <c r="C495" t="s">
        <v>167</v>
      </c>
      <c r="D495" t="s">
        <v>186</v>
      </c>
      <c r="E495" s="102" t="s">
        <v>277</v>
      </c>
      <c r="F495" s="105">
        <v>0.68</v>
      </c>
      <c r="G495" s="12" t="s">
        <v>319</v>
      </c>
      <c r="H495" s="12" t="s">
        <v>488</v>
      </c>
      <c r="I495" s="12" t="s">
        <v>489</v>
      </c>
      <c r="J495" s="12" t="b">
        <f t="shared" si="16"/>
        <v>0</v>
      </c>
    </row>
    <row r="496" spans="1:10" s="12" customFormat="1" x14ac:dyDescent="0.25">
      <c r="A496" s="12" t="str">
        <f t="shared" si="15"/>
        <v>Residential_Building Shell_Basement Sidewall Insulation (Fossil Fuel Heat)_Delta_kW</v>
      </c>
      <c r="B496" t="s">
        <v>162</v>
      </c>
      <c r="C496" t="s">
        <v>167</v>
      </c>
      <c r="D496" t="s">
        <v>186</v>
      </c>
      <c r="E496" s="114" t="s">
        <v>279</v>
      </c>
      <c r="F496" s="116" t="e">
        <f>(F464/F494)*F495</f>
        <v>#N/A</v>
      </c>
      <c r="H496" s="12" t="s">
        <v>488</v>
      </c>
      <c r="I496" s="12" t="s">
        <v>489</v>
      </c>
      <c r="J496" s="12" t="b">
        <f t="shared" si="16"/>
        <v>1</v>
      </c>
    </row>
    <row r="497" spans="1:10" s="12" customFormat="1" x14ac:dyDescent="0.25">
      <c r="A497" s="12" t="str">
        <f t="shared" si="15"/>
        <v>Residential_Building Shell_Basement Sidewall Insulation (Fossil Fuel Heat)_Delta_kW_Mid-Life_Adj</v>
      </c>
      <c r="B497" t="s">
        <v>162</v>
      </c>
      <c r="C497" t="s">
        <v>167</v>
      </c>
      <c r="D497" t="s">
        <v>186</v>
      </c>
      <c r="E497" s="114" t="s">
        <v>443</v>
      </c>
      <c r="F497" s="116" t="e">
        <f>(F465/F494)*F495</f>
        <v>#N/A</v>
      </c>
      <c r="H497" s="12" t="s">
        <v>488</v>
      </c>
      <c r="I497" s="12" t="s">
        <v>489</v>
      </c>
      <c r="J497" s="12" t="b">
        <f t="shared" si="16"/>
        <v>1</v>
      </c>
    </row>
    <row r="498" spans="1:10" s="12" customFormat="1" x14ac:dyDescent="0.25">
      <c r="A498" s="12" t="str">
        <f t="shared" si="15"/>
        <v>Residential_Building Shell_Basement Sidewall Insulation (Fossil Fuel Heat)_R_old_AG</v>
      </c>
      <c r="B498" t="s">
        <v>162</v>
      </c>
      <c r="C498" t="s">
        <v>167</v>
      </c>
      <c r="D498" t="s">
        <v>186</v>
      </c>
      <c r="E498" s="102" t="s">
        <v>487</v>
      </c>
      <c r="F498" s="105">
        <f>Dashboard_EE!$O$21</f>
        <v>1</v>
      </c>
      <c r="G498" s="12" t="s">
        <v>344</v>
      </c>
      <c r="H498" s="12" t="s">
        <v>488</v>
      </c>
      <c r="I498" s="12" t="s">
        <v>489</v>
      </c>
      <c r="J498" s="12" t="b">
        <f t="shared" si="16"/>
        <v>1</v>
      </c>
    </row>
    <row r="499" spans="1:10" s="12" customFormat="1" x14ac:dyDescent="0.25">
      <c r="A499" s="12" t="str">
        <f t="shared" si="15"/>
        <v>Residential_Building Shell_Basement Sidewall Insulation (Fossil Fuel Heat)_R_added</v>
      </c>
      <c r="B499" t="s">
        <v>162</v>
      </c>
      <c r="C499" t="s">
        <v>167</v>
      </c>
      <c r="D499" t="s">
        <v>186</v>
      </c>
      <c r="E499" s="102" t="s">
        <v>490</v>
      </c>
      <c r="F499" s="105">
        <f>Dashboard_EE!$P$21</f>
        <v>0</v>
      </c>
      <c r="G499" s="12" t="s">
        <v>491</v>
      </c>
      <c r="H499" s="12" t="s">
        <v>488</v>
      </c>
      <c r="I499" s="12" t="s">
        <v>489</v>
      </c>
      <c r="J499" s="12" t="b">
        <f t="shared" si="16"/>
        <v>1</v>
      </c>
    </row>
    <row r="500" spans="1:10" s="12" customFormat="1" x14ac:dyDescent="0.25">
      <c r="A500" s="12" t="str">
        <f t="shared" si="15"/>
        <v>Residential_Building Shell_Basement Sidewall Insulation (Fossil Fuel Heat)_R_old_AG</v>
      </c>
      <c r="B500" t="s">
        <v>162</v>
      </c>
      <c r="C500" t="s">
        <v>167</v>
      </c>
      <c r="D500" t="s">
        <v>186</v>
      </c>
      <c r="E500" s="102" t="s">
        <v>487</v>
      </c>
      <c r="F500" s="105">
        <f>Dashboard_EE!$O$21</f>
        <v>1</v>
      </c>
      <c r="G500" s="12" t="s">
        <v>344</v>
      </c>
      <c r="H500" s="12" t="s">
        <v>488</v>
      </c>
      <c r="I500" s="12" t="s">
        <v>489</v>
      </c>
      <c r="J500" s="12" t="b">
        <f t="shared" si="16"/>
        <v>1</v>
      </c>
    </row>
    <row r="501" spans="1:10" s="12" customFormat="1" x14ac:dyDescent="0.25">
      <c r="A501" s="12" t="str">
        <f t="shared" si="15"/>
        <v>Residential_Building Shell_Basement Sidewall Insulation (Fossil Fuel Heat)_L_basement_wall_total</v>
      </c>
      <c r="B501" t="s">
        <v>162</v>
      </c>
      <c r="C501" t="s">
        <v>167</v>
      </c>
      <c r="D501" t="s">
        <v>186</v>
      </c>
      <c r="E501" s="114" t="s">
        <v>492</v>
      </c>
      <c r="F501" s="116">
        <f>Dashboard_EE!$O$10</f>
        <v>0</v>
      </c>
      <c r="G501" s="12" t="s">
        <v>414</v>
      </c>
      <c r="H501" s="12" t="s">
        <v>488</v>
      </c>
      <c r="I501" s="12" t="s">
        <v>489</v>
      </c>
      <c r="J501" s="12" t="b">
        <f t="shared" si="16"/>
        <v>1</v>
      </c>
    </row>
    <row r="502" spans="1:10" s="12" customFormat="1" x14ac:dyDescent="0.25">
      <c r="A502" s="12" t="str">
        <f t="shared" si="15"/>
        <v>Residential_Building Shell_Basement Sidewall Insulation (Fossil Fuel Heat)_H_basement_wall_AG</v>
      </c>
      <c r="B502" t="s">
        <v>162</v>
      </c>
      <c r="C502" t="s">
        <v>167</v>
      </c>
      <c r="D502" t="s">
        <v>186</v>
      </c>
      <c r="E502" s="114" t="s">
        <v>493</v>
      </c>
      <c r="F502" s="116">
        <f>Dashboard_EE!$O$11</f>
        <v>1</v>
      </c>
      <c r="G502" s="12" t="s">
        <v>491</v>
      </c>
      <c r="H502" s="12" t="s">
        <v>488</v>
      </c>
      <c r="I502" s="12" t="s">
        <v>489</v>
      </c>
      <c r="J502" s="12" t="b">
        <f t="shared" si="16"/>
        <v>1</v>
      </c>
    </row>
    <row r="503" spans="1:10" s="12" customFormat="1" x14ac:dyDescent="0.25">
      <c r="A503" s="12" t="str">
        <f t="shared" si="15"/>
        <v>Residential_Building Shell_Basement Sidewall Insulation (Fossil Fuel Heat)_Framing_factor</v>
      </c>
      <c r="B503" t="s">
        <v>162</v>
      </c>
      <c r="C503" t="s">
        <v>167</v>
      </c>
      <c r="D503" t="s">
        <v>186</v>
      </c>
      <c r="E503" s="102" t="s">
        <v>494</v>
      </c>
      <c r="F503" s="105">
        <v>0.25</v>
      </c>
      <c r="G503" s="12" t="s">
        <v>495</v>
      </c>
      <c r="H503" s="12" t="s">
        <v>488</v>
      </c>
      <c r="I503" s="12" t="s">
        <v>489</v>
      </c>
      <c r="J503" s="12" t="b">
        <f t="shared" si="16"/>
        <v>0</v>
      </c>
    </row>
    <row r="504" spans="1:10" s="12" customFormat="1" x14ac:dyDescent="0.25">
      <c r="A504" s="12" t="str">
        <f t="shared" si="15"/>
        <v>Residential_Building Shell_Basement Sidewall Insulation (Fossil Fuel Heat)_R_old_BG</v>
      </c>
      <c r="B504" t="s">
        <v>162</v>
      </c>
      <c r="C504" t="s">
        <v>167</v>
      </c>
      <c r="D504" t="s">
        <v>186</v>
      </c>
      <c r="E504" s="102" t="s">
        <v>496</v>
      </c>
      <c r="F504" s="105">
        <v>7.42</v>
      </c>
      <c r="G504" s="12" t="s">
        <v>497</v>
      </c>
      <c r="H504" s="12" t="s">
        <v>488</v>
      </c>
      <c r="I504" s="12" t="s">
        <v>489</v>
      </c>
      <c r="J504" s="12" t="b">
        <f t="shared" si="16"/>
        <v>0</v>
      </c>
    </row>
    <row r="505" spans="1:10" s="12" customFormat="1" x14ac:dyDescent="0.25">
      <c r="A505" s="12" t="str">
        <f t="shared" si="15"/>
        <v>Residential_Building Shell_Basement Sidewall Insulation (Fossil Fuel Heat)_R_added</v>
      </c>
      <c r="B505" t="s">
        <v>162</v>
      </c>
      <c r="C505" t="s">
        <v>167</v>
      </c>
      <c r="D505" t="s">
        <v>186</v>
      </c>
      <c r="E505" s="102" t="s">
        <v>490</v>
      </c>
      <c r="F505" s="105">
        <f>Dashboard_EE!$P$21</f>
        <v>0</v>
      </c>
      <c r="G505" s="12" t="s">
        <v>491</v>
      </c>
      <c r="H505" s="12" t="s">
        <v>488</v>
      </c>
      <c r="I505" s="12" t="s">
        <v>489</v>
      </c>
      <c r="J505" s="12" t="b">
        <f t="shared" si="16"/>
        <v>1</v>
      </c>
    </row>
    <row r="506" spans="1:10" s="12" customFormat="1" x14ac:dyDescent="0.25">
      <c r="A506" s="12" t="str">
        <f t="shared" si="15"/>
        <v>Residential_Building Shell_Basement Sidewall Insulation (Fossil Fuel Heat)_R_old_BG</v>
      </c>
      <c r="B506" t="s">
        <v>162</v>
      </c>
      <c r="C506" t="s">
        <v>167</v>
      </c>
      <c r="D506" t="s">
        <v>186</v>
      </c>
      <c r="E506" s="102" t="s">
        <v>496</v>
      </c>
      <c r="F506" s="105">
        <v>7.42</v>
      </c>
      <c r="G506" s="12" t="s">
        <v>497</v>
      </c>
      <c r="H506" s="12" t="s">
        <v>488</v>
      </c>
      <c r="I506" s="12" t="s">
        <v>489</v>
      </c>
      <c r="J506" s="12" t="b">
        <f t="shared" si="16"/>
        <v>0</v>
      </c>
    </row>
    <row r="507" spans="1:10" s="12" customFormat="1" x14ac:dyDescent="0.25">
      <c r="A507" s="12" t="str">
        <f t="shared" ref="A507:A546" si="17">B507&amp;"_"&amp;C507&amp;"_"&amp;D507&amp;"_"&amp;E507</f>
        <v>Residential_Building Shell_Basement Sidewall Insulation (Fossil Fuel Heat)_L_basement_wall_total</v>
      </c>
      <c r="B507" t="s">
        <v>162</v>
      </c>
      <c r="C507" t="s">
        <v>167</v>
      </c>
      <c r="D507" t="s">
        <v>186</v>
      </c>
      <c r="E507" s="114" t="s">
        <v>492</v>
      </c>
      <c r="F507" s="116">
        <f>Dashboard_EE!$O$10</f>
        <v>0</v>
      </c>
      <c r="G507" s="12" t="s">
        <v>414</v>
      </c>
      <c r="H507" s="12" t="s">
        <v>488</v>
      </c>
      <c r="I507" s="12" t="s">
        <v>489</v>
      </c>
      <c r="J507" s="12" t="b">
        <f t="shared" si="16"/>
        <v>1</v>
      </c>
    </row>
    <row r="508" spans="1:10" s="12" customFormat="1" x14ac:dyDescent="0.25">
      <c r="A508" s="12" t="str">
        <f t="shared" si="17"/>
        <v>Residential_Building Shell_Basement Sidewall Insulation (Fossil Fuel Heat)_H_basement_wall_total</v>
      </c>
      <c r="B508" t="s">
        <v>162</v>
      </c>
      <c r="C508" t="s">
        <v>167</v>
      </c>
      <c r="D508" t="s">
        <v>186</v>
      </c>
      <c r="E508" s="114" t="s">
        <v>498</v>
      </c>
      <c r="F508" s="116">
        <f>Dashboard_EE!$O$12</f>
        <v>3</v>
      </c>
      <c r="G508" s="12" t="s">
        <v>491</v>
      </c>
      <c r="H508" s="12" t="s">
        <v>488</v>
      </c>
      <c r="I508" s="12" t="s">
        <v>489</v>
      </c>
      <c r="J508" s="12" t="b">
        <f t="shared" si="16"/>
        <v>1</v>
      </c>
    </row>
    <row r="509" spans="1:10" s="12" customFormat="1" x14ac:dyDescent="0.25">
      <c r="A509" s="12" t="str">
        <f t="shared" si="17"/>
        <v>Residential_Building Shell_Basement Sidewall Insulation (Fossil Fuel Heat)_H_basement_wall_AG</v>
      </c>
      <c r="B509" t="s">
        <v>162</v>
      </c>
      <c r="C509" t="s">
        <v>167</v>
      </c>
      <c r="D509" t="s">
        <v>186</v>
      </c>
      <c r="E509" s="114" t="s">
        <v>493</v>
      </c>
      <c r="F509" s="116">
        <f>Dashboard_EE!$O$11</f>
        <v>1</v>
      </c>
      <c r="G509" s="12" t="s">
        <v>491</v>
      </c>
      <c r="H509" s="12" t="s">
        <v>488</v>
      </c>
      <c r="I509" s="12" t="s">
        <v>489</v>
      </c>
      <c r="J509" s="12" t="b">
        <f t="shared" si="16"/>
        <v>1</v>
      </c>
    </row>
    <row r="510" spans="1:10" s="12" customFormat="1" x14ac:dyDescent="0.25">
      <c r="A510" s="12" t="str">
        <f t="shared" si="17"/>
        <v>Residential_Building Shell_Basement Sidewall Insulation (Fossil Fuel Heat)_Framing_factor</v>
      </c>
      <c r="B510" t="s">
        <v>162</v>
      </c>
      <c r="C510" t="s">
        <v>167</v>
      </c>
      <c r="D510" t="s">
        <v>186</v>
      </c>
      <c r="E510" s="102" t="s">
        <v>494</v>
      </c>
      <c r="F510" s="105">
        <v>0.25</v>
      </c>
      <c r="G510" s="12" t="s">
        <v>495</v>
      </c>
      <c r="H510" s="12" t="s">
        <v>488</v>
      </c>
      <c r="I510" s="12" t="s">
        <v>489</v>
      </c>
      <c r="J510" s="12" t="b">
        <f t="shared" si="16"/>
        <v>0</v>
      </c>
    </row>
    <row r="511" spans="1:10" s="12" customFormat="1" x14ac:dyDescent="0.25">
      <c r="A511" s="12" t="str">
        <f t="shared" si="17"/>
        <v>Residential_Building Shell_Basement Sidewall Insulation (Fossil Fuel Heat)_24</v>
      </c>
      <c r="B511" t="s">
        <v>162</v>
      </c>
      <c r="C511" t="s">
        <v>167</v>
      </c>
      <c r="D511" t="s">
        <v>186</v>
      </c>
      <c r="E511" s="102">
        <v>24</v>
      </c>
      <c r="F511" s="105">
        <v>24</v>
      </c>
      <c r="H511" s="12" t="s">
        <v>488</v>
      </c>
      <c r="I511" s="12" t="s">
        <v>489</v>
      </c>
      <c r="J511" s="12" t="b">
        <f t="shared" si="16"/>
        <v>0</v>
      </c>
    </row>
    <row r="512" spans="1:10" s="12" customFormat="1" x14ac:dyDescent="0.25">
      <c r="A512" s="12" t="str">
        <f t="shared" si="17"/>
        <v>Residential_Building Shell_Basement Sidewall Insulation (Fossil Fuel Heat)_HDD</v>
      </c>
      <c r="B512" t="s">
        <v>162</v>
      </c>
      <c r="C512" t="s">
        <v>167</v>
      </c>
      <c r="D512" t="s">
        <v>186</v>
      </c>
      <c r="E512" s="102" t="s">
        <v>433</v>
      </c>
      <c r="F512" s="105" t="e">
        <f>INDEX('CZ Inputs'!G:G,MATCH(A512&amp;"_"&amp;Dashboard_EE!$K$3,'CZ Inputs'!A:A,0))</f>
        <v>#N/A</v>
      </c>
      <c r="G512" s="12" t="s">
        <v>483</v>
      </c>
      <c r="H512" s="12" t="s">
        <v>488</v>
      </c>
      <c r="I512" s="12" t="s">
        <v>489</v>
      </c>
      <c r="J512" s="12" t="b">
        <f t="shared" si="16"/>
        <v>1</v>
      </c>
    </row>
    <row r="513" spans="1:10" s="12" customFormat="1" x14ac:dyDescent="0.25">
      <c r="A513" s="12" t="str">
        <f t="shared" si="17"/>
        <v>Residential_Building Shell_Basement Sidewall Insulation (Fossil Fuel Heat)_ηHeat</v>
      </c>
      <c r="B513" t="s">
        <v>162</v>
      </c>
      <c r="C513" t="s">
        <v>167</v>
      </c>
      <c r="D513" t="s">
        <v>186</v>
      </c>
      <c r="E513" s="114" t="s">
        <v>434</v>
      </c>
      <c r="F513" s="116">
        <f>Dashboard_EE!$K$8</f>
        <v>0</v>
      </c>
      <c r="G513" s="12" t="s">
        <v>240</v>
      </c>
      <c r="H513" s="12" t="s">
        <v>488</v>
      </c>
      <c r="I513" s="12" t="s">
        <v>489</v>
      </c>
      <c r="J513" s="12" t="b">
        <f t="shared" si="16"/>
        <v>1</v>
      </c>
    </row>
    <row r="514" spans="1:10" s="12" customFormat="1" x14ac:dyDescent="0.25">
      <c r="A514" s="12" t="str">
        <f t="shared" si="17"/>
        <v>Residential_Building Shell_Basement Sidewall Insulation (Fossil Fuel Heat)_ηHeat_Mid-Life_Adj</v>
      </c>
      <c r="B514" t="s">
        <v>162</v>
      </c>
      <c r="C514" t="s">
        <v>167</v>
      </c>
      <c r="D514" t="s">
        <v>186</v>
      </c>
      <c r="E514" s="114" t="s">
        <v>435</v>
      </c>
      <c r="F514" s="116">
        <f>Dashboard_EE!$K$8</f>
        <v>0</v>
      </c>
      <c r="G514" s="12" t="s">
        <v>240</v>
      </c>
      <c r="H514" s="12" t="s">
        <v>488</v>
      </c>
      <c r="I514" s="12" t="s">
        <v>489</v>
      </c>
      <c r="J514" s="12" t="b">
        <f t="shared" si="16"/>
        <v>1</v>
      </c>
    </row>
    <row r="515" spans="1:10" s="12" customFormat="1" x14ac:dyDescent="0.25">
      <c r="A515" s="12" t="str">
        <f t="shared" si="17"/>
        <v>Residential_Building Shell_Basement Sidewall Insulation (Fossil Fuel Heat)_100000</v>
      </c>
      <c r="B515" t="s">
        <v>162</v>
      </c>
      <c r="C515" t="s">
        <v>167</v>
      </c>
      <c r="D515" t="s">
        <v>186</v>
      </c>
      <c r="E515" s="102">
        <v>100000</v>
      </c>
      <c r="F515" s="105">
        <v>100000</v>
      </c>
      <c r="H515" s="12" t="s">
        <v>488</v>
      </c>
      <c r="I515" s="12" t="s">
        <v>489</v>
      </c>
      <c r="J515" s="12" t="b">
        <f t="shared" si="16"/>
        <v>0</v>
      </c>
    </row>
    <row r="516" spans="1:10" s="12" customFormat="1" x14ac:dyDescent="0.25">
      <c r="A516" s="12" t="str">
        <f t="shared" si="17"/>
        <v>Residential_Building Shell_Basement Sidewall Insulation (Fossil Fuel Heat)_ADJBasementHeat</v>
      </c>
      <c r="B516" t="s">
        <v>162</v>
      </c>
      <c r="C516" t="s">
        <v>167</v>
      </c>
      <c r="D516" t="s">
        <v>186</v>
      </c>
      <c r="E516" s="102" t="s">
        <v>485</v>
      </c>
      <c r="F516" s="105">
        <v>0.6</v>
      </c>
      <c r="H516" s="12" t="s">
        <v>488</v>
      </c>
      <c r="I516" s="12" t="s">
        <v>489</v>
      </c>
      <c r="J516" s="12" t="b">
        <f t="shared" si="16"/>
        <v>0</v>
      </c>
    </row>
    <row r="517" spans="1:10" s="12" customFormat="1" x14ac:dyDescent="0.25">
      <c r="A517" s="12" t="str">
        <f t="shared" si="17"/>
        <v>Residential_Building Shell_Basement Sidewall Insulation (Fossil Fuel Heat)_%GasHeat</v>
      </c>
      <c r="B517" t="s">
        <v>162</v>
      </c>
      <c r="C517" t="s">
        <v>167</v>
      </c>
      <c r="D517" t="s">
        <v>186</v>
      </c>
      <c r="E517" s="102" t="s">
        <v>463</v>
      </c>
      <c r="F517" s="105">
        <v>1</v>
      </c>
      <c r="G517" s="12" t="s">
        <v>533</v>
      </c>
      <c r="H517" s="12" t="s">
        <v>488</v>
      </c>
      <c r="I517" s="12" t="s">
        <v>489</v>
      </c>
      <c r="J517" s="12" t="b">
        <f t="shared" si="16"/>
        <v>0</v>
      </c>
    </row>
    <row r="518" spans="1:10" s="12" customFormat="1" x14ac:dyDescent="0.25">
      <c r="A518" s="12" t="str">
        <f t="shared" si="17"/>
        <v>Residential_Building Shell_Basement Sidewall Insulation (Fossil Fuel Heat)_Delta_Therms</v>
      </c>
      <c r="B518" t="s">
        <v>162</v>
      </c>
      <c r="C518" t="s">
        <v>167</v>
      </c>
      <c r="D518" t="s">
        <v>186</v>
      </c>
      <c r="E518" s="114" t="s">
        <v>354</v>
      </c>
      <c r="F518" s="116" t="e">
        <f xml:space="preserve"> (((((1/ F498 - 1/ (F499 + F500)) * F501 * F502 * (1 - F503)) + ((1/ F504 - 1/ (F505 + F506)) * F507 * (F508 - F509) * (1 - F510))) * F511 * F512) / (F513 * F515)) * F516 * F517</f>
        <v>#N/A</v>
      </c>
      <c r="H518" s="12" t="s">
        <v>488</v>
      </c>
      <c r="I518" s="12" t="s">
        <v>489</v>
      </c>
      <c r="J518" s="12" t="b">
        <f t="shared" si="16"/>
        <v>1</v>
      </c>
    </row>
    <row r="519" spans="1:10" s="12" customFormat="1" x14ac:dyDescent="0.25">
      <c r="A519" s="12" t="str">
        <f t="shared" si="17"/>
        <v>Residential_Building Shell_Basement Sidewall Insulation (Fossil Fuel Heat)_Delta_Therms_Mid-Life_Adj</v>
      </c>
      <c r="B519" t="s">
        <v>162</v>
      </c>
      <c r="C519" t="s">
        <v>167</v>
      </c>
      <c r="D519" t="s">
        <v>186</v>
      </c>
      <c r="E519" s="114" t="s">
        <v>473</v>
      </c>
      <c r="F519" s="116" t="e">
        <f xml:space="preserve"> (((((1/ F498 - 1/ (F499 + F500)) * F501 * F502 * (1 - F503)) + ((1/ F504 - 1/ (F505 + F506)) * F507 * (F508 - F509) * (1 - F510))) * F511 * F512) / (F514 * F515)) * F516 * F517</f>
        <v>#N/A</v>
      </c>
      <c r="H519" s="12" t="s">
        <v>488</v>
      </c>
      <c r="I519" s="12" t="s">
        <v>489</v>
      </c>
      <c r="J519" s="12" t="b">
        <f t="shared" ref="J519:J533" si="18">_xlfn.ISFORMULA(F519)</f>
        <v>1</v>
      </c>
    </row>
    <row r="520" spans="1:10" s="12" customFormat="1" x14ac:dyDescent="0.25">
      <c r="A520" s="12" t="str">
        <f t="shared" si="17"/>
        <v>Residential_Building Shell_Basement Sidewall Insulation (Fossil Fuel Heat)_Remaining Year kWh</v>
      </c>
      <c r="B520" t="s">
        <v>162</v>
      </c>
      <c r="C520" t="s">
        <v>167</v>
      </c>
      <c r="D520" t="s">
        <v>186</v>
      </c>
      <c r="E520" s="111" t="s">
        <v>447</v>
      </c>
      <c r="F520" s="101" t="e">
        <f>F464+F486+F492</f>
        <v>#N/A</v>
      </c>
      <c r="H520" s="12" t="s">
        <v>488</v>
      </c>
      <c r="I520" s="12" t="s">
        <v>489</v>
      </c>
      <c r="J520" s="12" t="b">
        <f t="shared" si="18"/>
        <v>1</v>
      </c>
    </row>
    <row r="521" spans="1:10" s="12" customFormat="1" x14ac:dyDescent="0.25">
      <c r="A521" s="12" t="str">
        <f t="shared" si="17"/>
        <v>Residential_Building Shell_Basement Sidewall Insulation (Fossil Fuel Heat)_kWh Saved per Unit</v>
      </c>
      <c r="B521" t="s">
        <v>162</v>
      </c>
      <c r="C521" t="s">
        <v>167</v>
      </c>
      <c r="D521" t="s">
        <v>186</v>
      </c>
      <c r="E521" s="111" t="s">
        <v>280</v>
      </c>
      <c r="F521" s="101" t="e">
        <f>F465+F487+F493</f>
        <v>#N/A</v>
      </c>
      <c r="H521" s="12" t="s">
        <v>488</v>
      </c>
      <c r="I521" s="12" t="s">
        <v>489</v>
      </c>
      <c r="J521" s="12" t="b">
        <f t="shared" si="18"/>
        <v>1</v>
      </c>
    </row>
    <row r="522" spans="1:10" s="12" customFormat="1" x14ac:dyDescent="0.25">
      <c r="A522" s="12" t="str">
        <f t="shared" si="17"/>
        <v>Residential_Building Shell_Basement Sidewall Insulation (Fossil Fuel Heat)_Remaining Year kW</v>
      </c>
      <c r="B522" t="s">
        <v>162</v>
      </c>
      <c r="C522" t="s">
        <v>167</v>
      </c>
      <c r="D522" t="s">
        <v>186</v>
      </c>
      <c r="E522" s="111" t="s">
        <v>448</v>
      </c>
      <c r="F522" s="101" t="e">
        <f>F496</f>
        <v>#N/A</v>
      </c>
      <c r="H522" s="12" t="s">
        <v>488</v>
      </c>
      <c r="I522" s="12" t="s">
        <v>489</v>
      </c>
      <c r="J522" s="12" t="b">
        <f t="shared" si="18"/>
        <v>1</v>
      </c>
    </row>
    <row r="523" spans="1:10" s="12" customFormat="1" x14ac:dyDescent="0.25">
      <c r="A523" s="12" t="str">
        <f t="shared" si="17"/>
        <v>Residential_Building Shell_Basement Sidewall Insulation (Fossil Fuel Heat)_Coincident Peak kW Saved per Unit</v>
      </c>
      <c r="B523" t="s">
        <v>162</v>
      </c>
      <c r="C523" t="s">
        <v>167</v>
      </c>
      <c r="D523" t="s">
        <v>186</v>
      </c>
      <c r="E523" s="111" t="s">
        <v>281</v>
      </c>
      <c r="F523" s="101" t="e">
        <f>F497</f>
        <v>#N/A</v>
      </c>
      <c r="H523" s="12" t="s">
        <v>488</v>
      </c>
      <c r="I523" s="12" t="s">
        <v>489</v>
      </c>
      <c r="J523" s="12" t="b">
        <f t="shared" si="18"/>
        <v>1</v>
      </c>
    </row>
    <row r="524" spans="1:10" s="12" customFormat="1" x14ac:dyDescent="0.25">
      <c r="A524" s="12" t="str">
        <f t="shared" si="17"/>
        <v>Residential_Building Shell_Basement Sidewall Insulation (Fossil Fuel Heat)_Remaining Year Therms</v>
      </c>
      <c r="B524" t="s">
        <v>162</v>
      </c>
      <c r="C524" t="s">
        <v>167</v>
      </c>
      <c r="D524" t="s">
        <v>186</v>
      </c>
      <c r="E524" s="111" t="s">
        <v>449</v>
      </c>
      <c r="F524" s="101" t="e">
        <f>F518</f>
        <v>#N/A</v>
      </c>
      <c r="G524" s="12" t="s">
        <v>533</v>
      </c>
      <c r="H524" s="12" t="s">
        <v>488</v>
      </c>
      <c r="I524" s="12" t="s">
        <v>489</v>
      </c>
      <c r="J524" s="12" t="b">
        <f t="shared" si="18"/>
        <v>1</v>
      </c>
    </row>
    <row r="525" spans="1:10" s="12" customFormat="1" x14ac:dyDescent="0.25">
      <c r="A525" s="12" t="str">
        <f t="shared" si="17"/>
        <v>Residential_Building Shell_Basement Sidewall Insulation (Fossil Fuel Heat)_Therms Saved per Unit</v>
      </c>
      <c r="B525" t="s">
        <v>162</v>
      </c>
      <c r="C525" t="s">
        <v>167</v>
      </c>
      <c r="D525" t="s">
        <v>186</v>
      </c>
      <c r="E525" s="111" t="s">
        <v>376</v>
      </c>
      <c r="F525" s="101" t="e">
        <f>F519</f>
        <v>#N/A</v>
      </c>
      <c r="G525" s="12" t="s">
        <v>533</v>
      </c>
      <c r="H525" s="12" t="s">
        <v>488</v>
      </c>
      <c r="I525" s="12" t="s">
        <v>489</v>
      </c>
      <c r="J525" s="12" t="b">
        <f t="shared" si="18"/>
        <v>1</v>
      </c>
    </row>
    <row r="526" spans="1:10" s="12" customFormat="1" x14ac:dyDescent="0.25">
      <c r="A526" s="12" t="str">
        <f t="shared" si="17"/>
        <v>Residential_Building Shell_Basement Sidewall Insulation (Fossil Fuel Heat)_Remaining Life</v>
      </c>
      <c r="B526" t="s">
        <v>162</v>
      </c>
      <c r="C526" t="s">
        <v>167</v>
      </c>
      <c r="D526" t="s">
        <v>186</v>
      </c>
      <c r="E526" s="111" t="s">
        <v>450</v>
      </c>
      <c r="F526" s="101">
        <v>10</v>
      </c>
      <c r="H526" s="12" t="s">
        <v>488</v>
      </c>
      <c r="I526" s="12" t="s">
        <v>489</v>
      </c>
      <c r="J526" s="12" t="b">
        <f t="shared" si="18"/>
        <v>0</v>
      </c>
    </row>
    <row r="527" spans="1:10" s="12" customFormat="1" x14ac:dyDescent="0.25">
      <c r="A527" s="12" t="str">
        <f t="shared" si="17"/>
        <v>Residential_Building Shell_Basement Sidewall Insulation (Fossil Fuel Heat)_Lifetime (years)</v>
      </c>
      <c r="B527" t="s">
        <v>162</v>
      </c>
      <c r="C527" t="s">
        <v>167</v>
      </c>
      <c r="D527" t="s">
        <v>186</v>
      </c>
      <c r="E527" s="111" t="s">
        <v>284</v>
      </c>
      <c r="F527" s="101">
        <v>30</v>
      </c>
      <c r="H527" s="12" t="s">
        <v>488</v>
      </c>
      <c r="I527" s="12" t="s">
        <v>489</v>
      </c>
      <c r="J527" s="12" t="b">
        <f t="shared" si="18"/>
        <v>0</v>
      </c>
    </row>
    <row r="528" spans="1:10" s="12" customFormat="1" x14ac:dyDescent="0.25">
      <c r="A528" s="12" t="str">
        <f t="shared" si="17"/>
        <v>Residential_Building Shell_Basement Sidewall Insulation (Fossil Fuel Heat)_Incremental Cost</v>
      </c>
      <c r="B528" t="s">
        <v>162</v>
      </c>
      <c r="C528" t="s">
        <v>167</v>
      </c>
      <c r="D528" t="s">
        <v>186</v>
      </c>
      <c r="E528" s="111" t="s">
        <v>285</v>
      </c>
      <c r="F528" s="100">
        <f>2*F453</f>
        <v>0</v>
      </c>
      <c r="G528" s="12" t="s">
        <v>451</v>
      </c>
      <c r="H528" s="12" t="s">
        <v>488</v>
      </c>
      <c r="I528" s="12" t="s">
        <v>489</v>
      </c>
      <c r="J528" s="12" t="b">
        <f t="shared" si="18"/>
        <v>1</v>
      </c>
    </row>
    <row r="529" spans="1:10" s="12" customFormat="1" x14ac:dyDescent="0.25">
      <c r="A529" s="12" t="str">
        <f t="shared" si="17"/>
        <v>Residential_Building Shell_Basement Sidewall Insulation (Fossil Fuel Heat)_BTU Impact_New_Fossil Fuel</v>
      </c>
      <c r="B529" t="s">
        <v>162</v>
      </c>
      <c r="C529" t="s">
        <v>167</v>
      </c>
      <c r="D529" t="s">
        <v>186</v>
      </c>
      <c r="E529" s="111" t="s">
        <v>290</v>
      </c>
      <c r="F529" s="99" t="e">
        <f>-F518*100000</f>
        <v>#N/A</v>
      </c>
      <c r="H529" s="12" t="s">
        <v>488</v>
      </c>
      <c r="I529" s="12" t="s">
        <v>489</v>
      </c>
      <c r="J529" s="12" t="b">
        <f t="shared" si="18"/>
        <v>1</v>
      </c>
    </row>
    <row r="530" spans="1:10" s="12" customFormat="1" x14ac:dyDescent="0.25">
      <c r="A530" s="12" t="str">
        <f t="shared" si="17"/>
        <v>Residential_Building Shell_Basement Sidewall Insulation (Fossil Fuel Heat)_BTU Impact_New_Winter Electricity</v>
      </c>
      <c r="B530" t="s">
        <v>162</v>
      </c>
      <c r="C530" t="s">
        <v>167</v>
      </c>
      <c r="D530" t="s">
        <v>186</v>
      </c>
      <c r="E530" s="111" t="s">
        <v>291</v>
      </c>
      <c r="F530" s="99" t="e">
        <f>-F492*3412</f>
        <v>#N/A</v>
      </c>
      <c r="H530" s="12" t="s">
        <v>488</v>
      </c>
      <c r="I530" s="12" t="s">
        <v>489</v>
      </c>
      <c r="J530" s="12" t="b">
        <f t="shared" si="18"/>
        <v>1</v>
      </c>
    </row>
    <row r="531" spans="1:10" s="12" customFormat="1" x14ac:dyDescent="0.25">
      <c r="A531" s="12" t="str">
        <f t="shared" si="17"/>
        <v>Residential_Building Shell_Basement Sidewall Insulation (Fossil Fuel Heat)_BTU Impact_New_Summer Electricity</v>
      </c>
      <c r="B531" t="s">
        <v>162</v>
      </c>
      <c r="C531" t="s">
        <v>167</v>
      </c>
      <c r="D531" t="s">
        <v>186</v>
      </c>
      <c r="E531" s="111" t="s">
        <v>292</v>
      </c>
      <c r="F531" s="99" t="e">
        <f>-F464*3412</f>
        <v>#N/A</v>
      </c>
      <c r="H531" s="12" t="s">
        <v>488</v>
      </c>
      <c r="I531" s="12" t="s">
        <v>489</v>
      </c>
      <c r="J531" s="12" t="b">
        <f t="shared" si="18"/>
        <v>1</v>
      </c>
    </row>
    <row r="532" spans="1:10" s="12" customFormat="1" x14ac:dyDescent="0.25">
      <c r="A532" s="12" t="str">
        <f t="shared" si="17"/>
        <v>Residential_Building Shell_Basement Sidewall Insulation (Fossil Fuel Heat)_</v>
      </c>
      <c r="B532" t="s">
        <v>162</v>
      </c>
      <c r="C532" t="s">
        <v>167</v>
      </c>
      <c r="D532" t="s">
        <v>186</v>
      </c>
      <c r="E532" s="112"/>
      <c r="F532"/>
      <c r="H532" s="12" t="s">
        <v>488</v>
      </c>
      <c r="I532" s="12" t="s">
        <v>489</v>
      </c>
      <c r="J532" s="12" t="b">
        <f t="shared" si="18"/>
        <v>0</v>
      </c>
    </row>
    <row r="533" spans="1:10" x14ac:dyDescent="0.25">
      <c r="A533" s="12" t="str">
        <f t="shared" si="17"/>
        <v>Residential_HVAC_Gas High Efficiency Furnace_EFLH</v>
      </c>
      <c r="B533" t="s">
        <v>162</v>
      </c>
      <c r="C533" t="s">
        <v>163</v>
      </c>
      <c r="D533" t="s">
        <v>501</v>
      </c>
      <c r="E533" s="181" t="s">
        <v>234</v>
      </c>
      <c r="F533" s="185" t="e">
        <f>INDEX('CZ Inputs'!$G:$G,MATCH($A533&amp;"_"&amp;Dashboard_EE!$K$3,'CZ Inputs'!$A:$A,0))</f>
        <v>#N/A</v>
      </c>
      <c r="H533" s="12" t="s">
        <v>499</v>
      </c>
      <c r="I533" s="12" t="s">
        <v>500</v>
      </c>
      <c r="J533" s="12" t="b">
        <f t="shared" si="18"/>
        <v>1</v>
      </c>
    </row>
    <row r="534" spans="1:10" x14ac:dyDescent="0.25">
      <c r="A534" s="12" t="str">
        <f t="shared" si="17"/>
        <v>Residential_HVAC_Gas High Efficiency Furnace_CAPInput</v>
      </c>
      <c r="B534" t="s">
        <v>162</v>
      </c>
      <c r="C534" t="s">
        <v>163</v>
      </c>
      <c r="D534" t="s">
        <v>501</v>
      </c>
      <c r="E534" s="181" t="s">
        <v>502</v>
      </c>
      <c r="F534" s="182">
        <f>Dashboard_EE!$K$9</f>
        <v>0</v>
      </c>
      <c r="H534" s="12" t="s">
        <v>499</v>
      </c>
      <c r="I534" s="12" t="s">
        <v>500</v>
      </c>
      <c r="J534" s="12" t="b">
        <f t="shared" ref="J534:J547" si="19">_xlfn.ISFORMULA(F534)</f>
        <v>1</v>
      </c>
    </row>
    <row r="535" spans="1:10" x14ac:dyDescent="0.25">
      <c r="A535" s="12" t="str">
        <f t="shared" si="17"/>
        <v>Residential_HVAC_Gas High Efficiency Furnace_Derating_eff</v>
      </c>
      <c r="B535" t="s">
        <v>162</v>
      </c>
      <c r="C535" t="s">
        <v>163</v>
      </c>
      <c r="D535" t="s">
        <v>501</v>
      </c>
      <c r="E535" s="180" t="s">
        <v>534</v>
      </c>
      <c r="F535" s="163">
        <v>6.4000000000000001E-2</v>
      </c>
      <c r="H535" s="12" t="s">
        <v>499</v>
      </c>
      <c r="I535" s="12" t="s">
        <v>500</v>
      </c>
      <c r="J535" s="12" t="b">
        <f t="shared" si="19"/>
        <v>0</v>
      </c>
    </row>
    <row r="536" spans="1:10" x14ac:dyDescent="0.25">
      <c r="A536" s="12" t="str">
        <f t="shared" si="17"/>
        <v>Residential_HVAC_Gas High Efficiency Furnace_AFUE_eff</v>
      </c>
      <c r="B536" t="s">
        <v>162</v>
      </c>
      <c r="C536" t="s">
        <v>163</v>
      </c>
      <c r="D536" t="s">
        <v>501</v>
      </c>
      <c r="E536" s="181" t="s">
        <v>535</v>
      </c>
      <c r="F536" s="182">
        <f>Dashboard_EE!$K$7</f>
        <v>0</v>
      </c>
      <c r="H536" s="12" t="s">
        <v>499</v>
      </c>
      <c r="I536" s="12" t="s">
        <v>500</v>
      </c>
      <c r="J536" s="12" t="b">
        <f t="shared" si="19"/>
        <v>1</v>
      </c>
    </row>
    <row r="537" spans="1:10" x14ac:dyDescent="0.25">
      <c r="A537" s="12" t="str">
        <f t="shared" si="17"/>
        <v>Residential_HVAC_Gas High Efficiency Furnace_Derating_eff</v>
      </c>
      <c r="B537" t="s">
        <v>162</v>
      </c>
      <c r="C537" t="s">
        <v>163</v>
      </c>
      <c r="D537" t="s">
        <v>501</v>
      </c>
      <c r="E537" s="180" t="s">
        <v>534</v>
      </c>
      <c r="F537" s="163">
        <v>6.4000000000000001E-2</v>
      </c>
      <c r="H537" s="12" t="s">
        <v>499</v>
      </c>
      <c r="I537" s="12" t="s">
        <v>500</v>
      </c>
      <c r="J537" s="12" t="b">
        <f t="shared" si="19"/>
        <v>0</v>
      </c>
    </row>
    <row r="538" spans="1:10" x14ac:dyDescent="0.25">
      <c r="A538" s="12" t="str">
        <f t="shared" si="17"/>
        <v>Residential_HVAC_Gas High Efficiency Furnace_AFUE_base</v>
      </c>
      <c r="B538" t="s">
        <v>162</v>
      </c>
      <c r="C538" t="s">
        <v>163</v>
      </c>
      <c r="D538" t="s">
        <v>501</v>
      </c>
      <c r="E538" s="181" t="s">
        <v>536</v>
      </c>
      <c r="F538" s="182">
        <f>Dashboard_EE!$K$8</f>
        <v>0</v>
      </c>
      <c r="H538" s="12" t="s">
        <v>499</v>
      </c>
      <c r="I538" s="12" t="s">
        <v>500</v>
      </c>
      <c r="J538" s="12" t="b">
        <f t="shared" si="19"/>
        <v>1</v>
      </c>
    </row>
    <row r="539" spans="1:10" x14ac:dyDescent="0.25">
      <c r="A539" s="12" t="str">
        <f t="shared" si="17"/>
        <v>Residential_HVAC_Gas High Efficiency Furnace_Derating_base</v>
      </c>
      <c r="B539" t="s">
        <v>162</v>
      </c>
      <c r="C539" t="s">
        <v>163</v>
      </c>
      <c r="D539" t="s">
        <v>501</v>
      </c>
      <c r="E539" s="180" t="s">
        <v>537</v>
      </c>
      <c r="F539" s="163">
        <v>6.4000000000000001E-2</v>
      </c>
      <c r="H539" s="12" t="s">
        <v>499</v>
      </c>
      <c r="I539" s="12" t="s">
        <v>500</v>
      </c>
      <c r="J539" s="12" t="b">
        <f t="shared" si="19"/>
        <v>0</v>
      </c>
    </row>
    <row r="540" spans="1:10" x14ac:dyDescent="0.25">
      <c r="A540" s="12" t="str">
        <f t="shared" si="17"/>
        <v>Residential_HVAC_Gas High Efficiency Furnace_100000</v>
      </c>
      <c r="B540" t="s">
        <v>162</v>
      </c>
      <c r="C540" t="s">
        <v>163</v>
      </c>
      <c r="D540" t="s">
        <v>501</v>
      </c>
      <c r="E540" s="180">
        <v>100000</v>
      </c>
      <c r="F540" s="163">
        <v>100000</v>
      </c>
      <c r="H540" s="12" t="s">
        <v>499</v>
      </c>
      <c r="I540" s="12" t="s">
        <v>500</v>
      </c>
      <c r="J540" s="12" t="b">
        <f t="shared" si="19"/>
        <v>0</v>
      </c>
    </row>
    <row r="541" spans="1:10" x14ac:dyDescent="0.25">
      <c r="A541" s="12" t="str">
        <f t="shared" si="17"/>
        <v>Residential_HVAC_Gas High Efficiency Furnace_Delta_Therms</v>
      </c>
      <c r="B541" t="s">
        <v>162</v>
      </c>
      <c r="C541" t="s">
        <v>163</v>
      </c>
      <c r="D541" t="s">
        <v>501</v>
      </c>
      <c r="E541" s="181" t="s">
        <v>354</v>
      </c>
      <c r="F541" s="182" t="e">
        <f>(((F533*F534)/(1-F535))*((F536*(1-F537))/(F538*(1-F539))-1))/F540</f>
        <v>#N/A</v>
      </c>
      <c r="H541" s="12" t="s">
        <v>499</v>
      </c>
      <c r="I541" s="12" t="s">
        <v>500</v>
      </c>
      <c r="J541" s="12" t="b">
        <f t="shared" si="19"/>
        <v>1</v>
      </c>
    </row>
    <row r="542" spans="1:10" x14ac:dyDescent="0.25">
      <c r="A542" s="12" t="str">
        <f t="shared" si="17"/>
        <v>Residential_HVAC_Gas High Efficiency Furnace_BTU Impact_New_Fossil Fuel</v>
      </c>
      <c r="B542" t="s">
        <v>162</v>
      </c>
      <c r="C542" t="s">
        <v>163</v>
      </c>
      <c r="D542" t="s">
        <v>501</v>
      </c>
      <c r="E542" s="183" t="s">
        <v>290</v>
      </c>
      <c r="F542" s="184" t="e">
        <f>-F541*100000</f>
        <v>#N/A</v>
      </c>
      <c r="H542" s="12" t="s">
        <v>499</v>
      </c>
      <c r="I542" s="12" t="s">
        <v>500</v>
      </c>
      <c r="J542" s="12" t="b">
        <f t="shared" si="19"/>
        <v>1</v>
      </c>
    </row>
    <row r="543" spans="1:10" x14ac:dyDescent="0.25">
      <c r="A543" s="12" t="str">
        <f t="shared" si="17"/>
        <v>Residential_HVAC_Gas High Efficiency Furnace_BTU Impact_New_Winter Electricity</v>
      </c>
      <c r="B543" t="s">
        <v>162</v>
      </c>
      <c r="C543" t="s">
        <v>163</v>
      </c>
      <c r="D543" t="s">
        <v>501</v>
      </c>
      <c r="E543" s="183" t="s">
        <v>291</v>
      </c>
      <c r="F543" s="184">
        <v>0</v>
      </c>
      <c r="H543" s="12" t="s">
        <v>499</v>
      </c>
      <c r="I543" s="12" t="s">
        <v>500</v>
      </c>
      <c r="J543" s="12" t="b">
        <f t="shared" si="19"/>
        <v>0</v>
      </c>
    </row>
    <row r="544" spans="1:10" x14ac:dyDescent="0.25">
      <c r="A544" s="12" t="str">
        <f t="shared" si="17"/>
        <v>Residential_HVAC_Gas High Efficiency Furnace_BTU Impact_New_Summer Electricity</v>
      </c>
      <c r="B544" t="s">
        <v>162</v>
      </c>
      <c r="C544" t="s">
        <v>163</v>
      </c>
      <c r="D544" t="s">
        <v>501</v>
      </c>
      <c r="E544" s="183" t="s">
        <v>292</v>
      </c>
      <c r="F544" s="184">
        <v>0</v>
      </c>
      <c r="H544" s="12" t="s">
        <v>499</v>
      </c>
      <c r="I544" s="12" t="s">
        <v>500</v>
      </c>
      <c r="J544" s="12" t="b">
        <f t="shared" si="19"/>
        <v>0</v>
      </c>
    </row>
    <row r="545" spans="1:10" x14ac:dyDescent="0.25">
      <c r="A545" s="12" t="str">
        <f t="shared" si="17"/>
        <v>Residential_HVAC_Gas High Efficiency Furnace_Incremental Cost</v>
      </c>
      <c r="B545" t="s">
        <v>162</v>
      </c>
      <c r="C545" t="s">
        <v>163</v>
      </c>
      <c r="D545" t="s">
        <v>501</v>
      </c>
      <c r="E545" s="111" t="s">
        <v>285</v>
      </c>
      <c r="F545" s="218">
        <v>4354</v>
      </c>
      <c r="H545" s="12" t="s">
        <v>499</v>
      </c>
      <c r="I545" s="12" t="s">
        <v>500</v>
      </c>
      <c r="J545" s="12" t="b">
        <f t="shared" si="19"/>
        <v>0</v>
      </c>
    </row>
    <row r="546" spans="1:10" x14ac:dyDescent="0.25">
      <c r="A546" s="12" t="str">
        <f t="shared" si="17"/>
        <v>Residential_HVAC_Gas High Efficiency Furnace_</v>
      </c>
      <c r="B546" t="s">
        <v>162</v>
      </c>
      <c r="C546" t="s">
        <v>163</v>
      </c>
      <c r="D546" t="s">
        <v>501</v>
      </c>
      <c r="H546" s="12" t="s">
        <v>499</v>
      </c>
      <c r="I546" s="12" t="s">
        <v>500</v>
      </c>
      <c r="J546" s="12" t="b">
        <f t="shared" si="19"/>
        <v>0</v>
      </c>
    </row>
    <row r="547" spans="1:10" x14ac:dyDescent="0.25">
      <c r="A547" s="12" t="str">
        <f t="shared" ref="A547:A557" si="20">B547&amp;"_"&amp;C547&amp;"_"&amp;D547&amp;"_"&amp;E547</f>
        <v>Residential_HVAC_Gas High Efficiency Boiler_EFLH</v>
      </c>
      <c r="B547" t="s">
        <v>162</v>
      </c>
      <c r="C547" t="s">
        <v>163</v>
      </c>
      <c r="D547" t="s">
        <v>512</v>
      </c>
      <c r="E547" s="181" t="s">
        <v>234</v>
      </c>
      <c r="F547" s="185" t="e">
        <f>INDEX('CZ Inputs'!$G:$G,MATCH($A547&amp;"_"&amp;Dashboard_EE!$K$3,'CZ Inputs'!$A:$A,0))</f>
        <v>#N/A</v>
      </c>
      <c r="H547" s="12" t="s">
        <v>510</v>
      </c>
      <c r="I547" s="12" t="s">
        <v>511</v>
      </c>
      <c r="J547" s="12" t="b">
        <f t="shared" si="19"/>
        <v>1</v>
      </c>
    </row>
    <row r="548" spans="1:10" x14ac:dyDescent="0.25">
      <c r="A548" s="12" t="str">
        <f t="shared" si="20"/>
        <v>Residential_HVAC_Gas High Efficiency Boiler_CAPInput</v>
      </c>
      <c r="B548" t="s">
        <v>162</v>
      </c>
      <c r="C548" t="s">
        <v>163</v>
      </c>
      <c r="D548" t="s">
        <v>512</v>
      </c>
      <c r="E548" s="181" t="s">
        <v>502</v>
      </c>
      <c r="F548" s="182">
        <f>Dashboard_EE!$K$9</f>
        <v>0</v>
      </c>
      <c r="H548" s="12" t="s">
        <v>510</v>
      </c>
      <c r="I548" s="12" t="s">
        <v>511</v>
      </c>
      <c r="J548" s="12" t="b">
        <f t="shared" ref="J548:J558" si="21">_xlfn.ISFORMULA(F548)</f>
        <v>1</v>
      </c>
    </row>
    <row r="549" spans="1:10" x14ac:dyDescent="0.25">
      <c r="A549" s="12" t="str">
        <f t="shared" si="20"/>
        <v>Residential_HVAC_Gas High Efficiency Boiler_AFUE_eff</v>
      </c>
      <c r="B549" t="s">
        <v>162</v>
      </c>
      <c r="C549" t="s">
        <v>163</v>
      </c>
      <c r="D549" t="s">
        <v>512</v>
      </c>
      <c r="E549" s="181" t="s">
        <v>535</v>
      </c>
      <c r="F549" s="182">
        <f>Dashboard_EE!$K$7</f>
        <v>0</v>
      </c>
      <c r="H549" s="12" t="s">
        <v>510</v>
      </c>
      <c r="I549" s="12" t="s">
        <v>511</v>
      </c>
      <c r="J549" s="12" t="b">
        <f t="shared" si="21"/>
        <v>1</v>
      </c>
    </row>
    <row r="550" spans="1:10" x14ac:dyDescent="0.25">
      <c r="A550" s="12" t="str">
        <f t="shared" si="20"/>
        <v>Residential_HVAC_Gas High Efficiency Boiler_AFUE_base</v>
      </c>
      <c r="B550" t="s">
        <v>162</v>
      </c>
      <c r="C550" t="s">
        <v>163</v>
      </c>
      <c r="D550" t="s">
        <v>512</v>
      </c>
      <c r="E550" s="181" t="s">
        <v>536</v>
      </c>
      <c r="F550" s="182">
        <f>Dashboard_EE!$K$8</f>
        <v>0</v>
      </c>
      <c r="H550" s="12" t="s">
        <v>510</v>
      </c>
      <c r="I550" s="12" t="s">
        <v>511</v>
      </c>
      <c r="J550" s="12" t="b">
        <f t="shared" si="21"/>
        <v>1</v>
      </c>
    </row>
    <row r="551" spans="1:10" x14ac:dyDescent="0.25">
      <c r="A551" s="12" t="str">
        <f t="shared" si="20"/>
        <v>Residential_HVAC_Gas High Efficiency Boiler_100000</v>
      </c>
      <c r="B551" t="s">
        <v>162</v>
      </c>
      <c r="C551" t="s">
        <v>163</v>
      </c>
      <c r="D551" t="s">
        <v>512</v>
      </c>
      <c r="E551" s="180">
        <v>100000</v>
      </c>
      <c r="F551" s="30">
        <v>100000</v>
      </c>
      <c r="H551" s="12" t="s">
        <v>510</v>
      </c>
      <c r="I551" s="12" t="s">
        <v>511</v>
      </c>
      <c r="J551" s="12" t="b">
        <f t="shared" si="21"/>
        <v>0</v>
      </c>
    </row>
    <row r="552" spans="1:10" x14ac:dyDescent="0.25">
      <c r="A552" s="12" t="str">
        <f t="shared" si="20"/>
        <v>Residential_HVAC_Gas High Efficiency Boiler_Delta_Therms</v>
      </c>
      <c r="B552" t="s">
        <v>162</v>
      </c>
      <c r="C552" t="s">
        <v>163</v>
      </c>
      <c r="D552" t="s">
        <v>512</v>
      </c>
      <c r="E552" s="181" t="s">
        <v>354</v>
      </c>
      <c r="F552" s="182" t="e">
        <f xml:space="preserve"> ( F547 * F548 * ( F549 / F550 -1)) / F551</f>
        <v>#N/A</v>
      </c>
      <c r="H552" s="12" t="s">
        <v>510</v>
      </c>
      <c r="I552" s="12" t="s">
        <v>511</v>
      </c>
      <c r="J552" s="12" t="b">
        <f t="shared" si="21"/>
        <v>1</v>
      </c>
    </row>
    <row r="553" spans="1:10" x14ac:dyDescent="0.25">
      <c r="A553" s="12" t="str">
        <f t="shared" si="20"/>
        <v>Residential_HVAC_Gas High Efficiency Boiler_BTU Impact_New_Fossil Fuel</v>
      </c>
      <c r="B553" t="s">
        <v>162</v>
      </c>
      <c r="C553" t="s">
        <v>163</v>
      </c>
      <c r="D553" t="s">
        <v>512</v>
      </c>
      <c r="E553" s="183" t="s">
        <v>290</v>
      </c>
      <c r="F553" s="184" t="e">
        <f>-F552*100000</f>
        <v>#N/A</v>
      </c>
      <c r="H553" s="12" t="s">
        <v>510</v>
      </c>
      <c r="I553" s="12" t="s">
        <v>511</v>
      </c>
      <c r="J553" s="12" t="b">
        <f t="shared" si="21"/>
        <v>1</v>
      </c>
    </row>
    <row r="554" spans="1:10" x14ac:dyDescent="0.25">
      <c r="A554" s="12" t="str">
        <f t="shared" si="20"/>
        <v>Residential_HVAC_Gas High Efficiency Boiler_BTU Impact_New_Winter Electricity</v>
      </c>
      <c r="B554" t="s">
        <v>162</v>
      </c>
      <c r="C554" t="s">
        <v>163</v>
      </c>
      <c r="D554" t="s">
        <v>512</v>
      </c>
      <c r="E554" s="183" t="s">
        <v>291</v>
      </c>
      <c r="F554" s="184">
        <v>0</v>
      </c>
      <c r="H554" s="12" t="s">
        <v>510</v>
      </c>
      <c r="I554" s="12" t="s">
        <v>511</v>
      </c>
      <c r="J554" s="12" t="b">
        <f t="shared" si="21"/>
        <v>0</v>
      </c>
    </row>
    <row r="555" spans="1:10" x14ac:dyDescent="0.25">
      <c r="A555" s="12" t="str">
        <f t="shared" si="20"/>
        <v>Residential_HVAC_Gas High Efficiency Boiler_BTU Impact_New_Summer Electricity</v>
      </c>
      <c r="B555" t="s">
        <v>162</v>
      </c>
      <c r="C555" t="s">
        <v>163</v>
      </c>
      <c r="D555" t="s">
        <v>512</v>
      </c>
      <c r="E555" s="183" t="s">
        <v>292</v>
      </c>
      <c r="F555" s="184">
        <v>0</v>
      </c>
      <c r="H555" s="12" t="s">
        <v>510</v>
      </c>
      <c r="I555" s="12" t="s">
        <v>511</v>
      </c>
      <c r="J555" s="12" t="b">
        <f t="shared" si="21"/>
        <v>0</v>
      </c>
    </row>
    <row r="556" spans="1:10" x14ac:dyDescent="0.25">
      <c r="A556" s="12" t="str">
        <f t="shared" si="20"/>
        <v>Residential_HVAC_Gas High Efficiency Boiler_Incremental Cost</v>
      </c>
      <c r="B556" t="s">
        <v>162</v>
      </c>
      <c r="C556" t="s">
        <v>163</v>
      </c>
      <c r="D556" t="s">
        <v>512</v>
      </c>
      <c r="E556" s="111" t="s">
        <v>285</v>
      </c>
      <c r="F556" s="218">
        <v>6073</v>
      </c>
      <c r="H556" s="12" t="s">
        <v>510</v>
      </c>
      <c r="I556" s="12" t="s">
        <v>511</v>
      </c>
      <c r="J556" s="12" t="b">
        <f t="shared" si="21"/>
        <v>0</v>
      </c>
    </row>
    <row r="557" spans="1:10" x14ac:dyDescent="0.25">
      <c r="A557" s="12" t="str">
        <f t="shared" si="20"/>
        <v>Residential_HVAC_Gas High Efficiency Boiler_</v>
      </c>
      <c r="B557" t="s">
        <v>162</v>
      </c>
      <c r="C557" t="s">
        <v>163</v>
      </c>
      <c r="D557" t="s">
        <v>512</v>
      </c>
      <c r="H557" s="12" t="s">
        <v>510</v>
      </c>
      <c r="I557" s="12" t="s">
        <v>511</v>
      </c>
      <c r="J557" s="12" t="b">
        <f t="shared" si="21"/>
        <v>0</v>
      </c>
    </row>
    <row r="558" spans="1:10" x14ac:dyDescent="0.25">
      <c r="A558" s="12" t="str">
        <f t="shared" ref="A558:A586" si="22">B558&amp;"_"&amp;C558&amp;"_"&amp;D558&amp;"_"&amp;E558</f>
        <v>Residential_Hot Water_Gas Water Heater_UEFBASE</v>
      </c>
      <c r="B558" t="s">
        <v>162</v>
      </c>
      <c r="C558" t="s">
        <v>165</v>
      </c>
      <c r="D558" t="s">
        <v>538</v>
      </c>
      <c r="E558" s="180" t="s">
        <v>332</v>
      </c>
      <c r="F558" s="163">
        <v>0.56299999999999994</v>
      </c>
      <c r="G558" s="12" t="s">
        <v>539</v>
      </c>
      <c r="H558" s="12" t="s">
        <v>540</v>
      </c>
      <c r="I558" s="12" t="s">
        <v>541</v>
      </c>
      <c r="J558" s="12" t="b">
        <f t="shared" si="21"/>
        <v>0</v>
      </c>
    </row>
    <row r="559" spans="1:10" x14ac:dyDescent="0.25">
      <c r="A559" s="12" t="str">
        <f t="shared" si="22"/>
        <v>Residential_Hot Water_Gas Water Heater_UEFEFFICIENT</v>
      </c>
      <c r="B559" t="s">
        <v>162</v>
      </c>
      <c r="C559" t="s">
        <v>165</v>
      </c>
      <c r="D559" t="s">
        <v>538</v>
      </c>
      <c r="E559" s="180" t="s">
        <v>336</v>
      </c>
      <c r="F559" s="163">
        <v>0.81</v>
      </c>
      <c r="G559" s="12" t="s">
        <v>542</v>
      </c>
      <c r="H559" s="12" t="s">
        <v>540</v>
      </c>
      <c r="I559" s="12" t="s">
        <v>541</v>
      </c>
      <c r="J559" s="12" t="b">
        <f t="shared" ref="J559:J573" si="23">_xlfn.ISFORMULA(F559)</f>
        <v>0</v>
      </c>
    </row>
    <row r="560" spans="1:10" x14ac:dyDescent="0.25">
      <c r="A560" s="12" t="str">
        <f t="shared" si="22"/>
        <v>Residential_Hot Water_Gas Water Heater_GPD</v>
      </c>
      <c r="B560" t="s">
        <v>162</v>
      </c>
      <c r="C560" t="s">
        <v>165</v>
      </c>
      <c r="D560" t="s">
        <v>538</v>
      </c>
      <c r="E560" s="180" t="s">
        <v>325</v>
      </c>
      <c r="F560" s="163">
        <v>17.600000000000001</v>
      </c>
      <c r="H560" s="12" t="s">
        <v>540</v>
      </c>
      <c r="I560" s="12" t="s">
        <v>541</v>
      </c>
      <c r="J560" s="12" t="b">
        <f t="shared" si="23"/>
        <v>0</v>
      </c>
    </row>
    <row r="561" spans="1:10" x14ac:dyDescent="0.25">
      <c r="A561" s="12" t="str">
        <f t="shared" si="22"/>
        <v>Residential_Hot Water_Gas Water Heater_Household</v>
      </c>
      <c r="B561" t="s">
        <v>162</v>
      </c>
      <c r="C561" t="s">
        <v>165</v>
      </c>
      <c r="D561" t="s">
        <v>538</v>
      </c>
      <c r="E561" s="180" t="s">
        <v>326</v>
      </c>
      <c r="F561" s="217">
        <v>2.67</v>
      </c>
      <c r="G561" s="12" t="s">
        <v>543</v>
      </c>
      <c r="H561" s="12" t="s">
        <v>540</v>
      </c>
      <c r="I561" s="12" t="s">
        <v>541</v>
      </c>
      <c r="J561" s="12" t="b">
        <f t="shared" si="23"/>
        <v>0</v>
      </c>
    </row>
    <row r="562" spans="1:10" x14ac:dyDescent="0.25">
      <c r="A562" s="12" t="str">
        <f t="shared" si="22"/>
        <v>Residential_Hot Water_Gas Water Heater_365.25</v>
      </c>
      <c r="B562" t="s">
        <v>162</v>
      </c>
      <c r="C562" t="s">
        <v>165</v>
      </c>
      <c r="D562" t="s">
        <v>538</v>
      </c>
      <c r="E562" s="180">
        <v>365.25</v>
      </c>
      <c r="F562" s="163">
        <v>365.25</v>
      </c>
      <c r="H562" s="12" t="s">
        <v>540</v>
      </c>
      <c r="I562" s="12" t="s">
        <v>541</v>
      </c>
      <c r="J562" s="12" t="b">
        <f t="shared" si="23"/>
        <v>0</v>
      </c>
    </row>
    <row r="563" spans="1:10" x14ac:dyDescent="0.25">
      <c r="A563" s="12" t="str">
        <f t="shared" si="22"/>
        <v>Residential_Hot Water_Gas Water Heater_γWater</v>
      </c>
      <c r="B563" t="s">
        <v>162</v>
      </c>
      <c r="C563" t="s">
        <v>165</v>
      </c>
      <c r="D563" t="s">
        <v>538</v>
      </c>
      <c r="E563" s="180" t="s">
        <v>338</v>
      </c>
      <c r="F563" s="163">
        <v>8.33</v>
      </c>
      <c r="H563" s="12" t="s">
        <v>540</v>
      </c>
      <c r="I563" s="12" t="s">
        <v>541</v>
      </c>
      <c r="J563" s="12" t="b">
        <f t="shared" si="23"/>
        <v>0</v>
      </c>
    </row>
    <row r="564" spans="1:10" x14ac:dyDescent="0.25">
      <c r="A564" s="12" t="str">
        <f t="shared" si="22"/>
        <v>Residential_Hot Water_Gas Water Heater_TOUT</v>
      </c>
      <c r="B564" t="s">
        <v>162</v>
      </c>
      <c r="C564" t="s">
        <v>165</v>
      </c>
      <c r="D564" t="s">
        <v>538</v>
      </c>
      <c r="E564" s="180" t="s">
        <v>339</v>
      </c>
      <c r="F564" s="163">
        <v>125</v>
      </c>
      <c r="H564" s="12" t="s">
        <v>540</v>
      </c>
      <c r="I564" s="12" t="s">
        <v>541</v>
      </c>
      <c r="J564" s="12" t="b">
        <f t="shared" si="23"/>
        <v>0</v>
      </c>
    </row>
    <row r="565" spans="1:10" x14ac:dyDescent="0.25">
      <c r="A565" s="12" t="str">
        <f t="shared" si="22"/>
        <v>Residential_Hot Water_Gas Water Heater_TIN</v>
      </c>
      <c r="B565" t="s">
        <v>162</v>
      </c>
      <c r="C565" t="s">
        <v>165</v>
      </c>
      <c r="D565" t="s">
        <v>538</v>
      </c>
      <c r="E565" s="180" t="s">
        <v>340</v>
      </c>
      <c r="F565" s="163">
        <v>50.7</v>
      </c>
      <c r="H565" s="12" t="s">
        <v>540</v>
      </c>
      <c r="I565" s="12" t="s">
        <v>541</v>
      </c>
      <c r="J565" s="12" t="b">
        <f t="shared" si="23"/>
        <v>0</v>
      </c>
    </row>
    <row r="566" spans="1:10" x14ac:dyDescent="0.25">
      <c r="A566" s="12" t="str">
        <f t="shared" si="22"/>
        <v>Residential_Hot Water_Gas Water Heater_100000</v>
      </c>
      <c r="B566" t="s">
        <v>162</v>
      </c>
      <c r="C566" t="s">
        <v>165</v>
      </c>
      <c r="D566" t="s">
        <v>538</v>
      </c>
      <c r="E566" s="180">
        <v>100000</v>
      </c>
      <c r="F566" s="163">
        <v>100000</v>
      </c>
      <c r="H566" s="12" t="s">
        <v>540</v>
      </c>
      <c r="I566" s="12" t="s">
        <v>541</v>
      </c>
      <c r="J566" s="12" t="b">
        <f t="shared" si="23"/>
        <v>0</v>
      </c>
    </row>
    <row r="567" spans="1:10" x14ac:dyDescent="0.25">
      <c r="A567" s="12" t="str">
        <f t="shared" si="22"/>
        <v>Residential_Hot Water_Gas Water Heater_Delta_Therms</v>
      </c>
      <c r="B567" t="s">
        <v>162</v>
      </c>
      <c r="C567" t="s">
        <v>165</v>
      </c>
      <c r="D567" t="s">
        <v>538</v>
      </c>
      <c r="E567" s="181" t="s">
        <v>354</v>
      </c>
      <c r="F567" s="182">
        <f>(1/ F558 - 1/ F559 ) * ( F560 * F561 * F562 * F563 * ( F564 - F565 ) * 1)/ F566</f>
        <v>57.537568969085477</v>
      </c>
      <c r="H567" s="12" t="s">
        <v>540</v>
      </c>
      <c r="I567" s="12" t="s">
        <v>541</v>
      </c>
      <c r="J567" s="12" t="b">
        <f t="shared" si="23"/>
        <v>1</v>
      </c>
    </row>
    <row r="568" spans="1:10" x14ac:dyDescent="0.25">
      <c r="A568" s="12" t="str">
        <f t="shared" si="22"/>
        <v>Residential_Hot Water_Gas Water Heater_BTU Impact_New_Fossil Fuel</v>
      </c>
      <c r="B568" t="s">
        <v>162</v>
      </c>
      <c r="C568" t="s">
        <v>165</v>
      </c>
      <c r="D568" t="s">
        <v>538</v>
      </c>
      <c r="E568" s="183" t="s">
        <v>290</v>
      </c>
      <c r="F568" s="186">
        <f>-F567*100000</f>
        <v>-5753756.8969085477</v>
      </c>
      <c r="H568" s="12" t="s">
        <v>540</v>
      </c>
      <c r="I568" s="12" t="s">
        <v>541</v>
      </c>
      <c r="J568" s="12" t="b">
        <f t="shared" si="23"/>
        <v>1</v>
      </c>
    </row>
    <row r="569" spans="1:10" x14ac:dyDescent="0.25">
      <c r="A569" s="12" t="str">
        <f t="shared" si="22"/>
        <v>Residential_Hot Water_Gas Water Heater_BTU Impact_New_Winter Electricity</v>
      </c>
      <c r="B569" t="s">
        <v>162</v>
      </c>
      <c r="C569" t="s">
        <v>165</v>
      </c>
      <c r="D569" t="s">
        <v>538</v>
      </c>
      <c r="E569" s="183" t="s">
        <v>291</v>
      </c>
      <c r="F569" s="186">
        <v>0</v>
      </c>
      <c r="H569" s="12" t="s">
        <v>540</v>
      </c>
      <c r="I569" s="12" t="s">
        <v>541</v>
      </c>
      <c r="J569" s="12" t="b">
        <f t="shared" si="23"/>
        <v>0</v>
      </c>
    </row>
    <row r="570" spans="1:10" x14ac:dyDescent="0.25">
      <c r="A570" s="12" t="str">
        <f t="shared" si="22"/>
        <v>Residential_Hot Water_Gas Water Heater_BTU Impact_New_Summer Electricity</v>
      </c>
      <c r="B570" t="s">
        <v>162</v>
      </c>
      <c r="C570" t="s">
        <v>165</v>
      </c>
      <c r="D570" t="s">
        <v>538</v>
      </c>
      <c r="E570" s="183" t="s">
        <v>292</v>
      </c>
      <c r="F570" s="186">
        <v>0</v>
      </c>
      <c r="H570" s="12" t="s">
        <v>540</v>
      </c>
      <c r="I570" s="12" t="s">
        <v>541</v>
      </c>
      <c r="J570" s="12" t="b">
        <f t="shared" si="23"/>
        <v>0</v>
      </c>
    </row>
    <row r="571" spans="1:10" x14ac:dyDescent="0.25">
      <c r="A571" s="12" t="str">
        <f t="shared" si="22"/>
        <v>Residential_Hot Water_Gas Water Heater_Incremental Cost</v>
      </c>
      <c r="B571" t="s">
        <v>162</v>
      </c>
      <c r="C571" t="s">
        <v>165</v>
      </c>
      <c r="D571" t="s">
        <v>538</v>
      </c>
      <c r="E571" s="111" t="s">
        <v>285</v>
      </c>
      <c r="F571" s="235">
        <v>1968</v>
      </c>
      <c r="G571" s="12" t="s">
        <v>542</v>
      </c>
      <c r="H571" s="12" t="s">
        <v>540</v>
      </c>
      <c r="I571" s="12" t="s">
        <v>541</v>
      </c>
      <c r="J571" s="12" t="b">
        <f t="shared" si="23"/>
        <v>0</v>
      </c>
    </row>
    <row r="572" spans="1:10" x14ac:dyDescent="0.25">
      <c r="A572" s="12" t="str">
        <f t="shared" si="22"/>
        <v>Residential_Hot Water_Gas Water Heater_</v>
      </c>
      <c r="B572" t="s">
        <v>162</v>
      </c>
      <c r="C572" t="s">
        <v>165</v>
      </c>
      <c r="D572" t="s">
        <v>538</v>
      </c>
      <c r="H572" s="12" t="s">
        <v>540</v>
      </c>
      <c r="I572" s="12" t="s">
        <v>541</v>
      </c>
      <c r="J572" s="12" t="b">
        <f t="shared" si="23"/>
        <v>0</v>
      </c>
    </row>
    <row r="573" spans="1:10" x14ac:dyDescent="0.25">
      <c r="A573" s="12" t="str">
        <f t="shared" si="22"/>
        <v>Residential_Appliances_ENERGY STAR Clothes Dryer_Load</v>
      </c>
      <c r="B573" t="s">
        <v>162</v>
      </c>
      <c r="C573" t="s">
        <v>166</v>
      </c>
      <c r="D573" t="s">
        <v>544</v>
      </c>
      <c r="E573" s="180" t="s">
        <v>356</v>
      </c>
      <c r="F573" s="30">
        <v>8.4499999999999993</v>
      </c>
      <c r="G573" s="12" t="s">
        <v>357</v>
      </c>
      <c r="H573" s="12" t="s">
        <v>358</v>
      </c>
      <c r="I573" s="12" t="s">
        <v>359</v>
      </c>
      <c r="J573" s="12" t="b">
        <f t="shared" si="23"/>
        <v>0</v>
      </c>
    </row>
    <row r="574" spans="1:10" x14ac:dyDescent="0.25">
      <c r="A574" s="12" t="str">
        <f t="shared" si="22"/>
        <v>Residential_Appliances_ENERGY STAR Clothes Dryer_CEFbase</v>
      </c>
      <c r="B574" t="s">
        <v>162</v>
      </c>
      <c r="C574" t="s">
        <v>166</v>
      </c>
      <c r="D574" t="s">
        <v>544</v>
      </c>
      <c r="E574" s="180" t="s">
        <v>360</v>
      </c>
      <c r="F574" s="30">
        <v>2.84</v>
      </c>
      <c r="G574" s="12" t="s">
        <v>545</v>
      </c>
      <c r="H574" s="12" t="s">
        <v>358</v>
      </c>
      <c r="I574" s="12" t="s">
        <v>359</v>
      </c>
      <c r="J574" s="12" t="b">
        <f t="shared" ref="J574:J586" si="24">_xlfn.ISFORMULA(F574)</f>
        <v>0</v>
      </c>
    </row>
    <row r="575" spans="1:10" x14ac:dyDescent="0.25">
      <c r="A575" s="12" t="str">
        <f t="shared" ref="A575" si="25">B575&amp;"_"&amp;C575&amp;"_"&amp;D575&amp;"_"&amp;E575</f>
        <v>Residential_Appliances_ENERGY STAR Clothes Dryer_IQAdj</v>
      </c>
      <c r="B575" t="s">
        <v>162</v>
      </c>
      <c r="C575" t="s">
        <v>166</v>
      </c>
      <c r="D575" t="s">
        <v>544</v>
      </c>
      <c r="E575" s="180" t="s">
        <v>371</v>
      </c>
      <c r="F575" s="234">
        <f>IF(Dashboard_EE!$K$17="Yes",1.033,1)</f>
        <v>1.0329999999999999</v>
      </c>
      <c r="H575" s="12" t="s">
        <v>358</v>
      </c>
      <c r="I575" s="12" t="s">
        <v>359</v>
      </c>
      <c r="J575" s="12" t="b">
        <f t="shared" ref="J575" si="26">_xlfn.ISFORMULA(F575)</f>
        <v>1</v>
      </c>
    </row>
    <row r="576" spans="1:10" x14ac:dyDescent="0.25">
      <c r="A576" s="12" t="str">
        <f t="shared" si="22"/>
        <v>Residential_Appliances_ENERGY STAR Clothes Dryer_Load</v>
      </c>
      <c r="B576" t="s">
        <v>162</v>
      </c>
      <c r="C576" t="s">
        <v>166</v>
      </c>
      <c r="D576" t="s">
        <v>544</v>
      </c>
      <c r="E576" s="180" t="s">
        <v>356</v>
      </c>
      <c r="F576" s="30">
        <v>8.4499999999999993</v>
      </c>
      <c r="G576" s="12" t="s">
        <v>357</v>
      </c>
      <c r="H576" s="12" t="s">
        <v>358</v>
      </c>
      <c r="I576" s="12" t="s">
        <v>359</v>
      </c>
      <c r="J576" s="12" t="b">
        <f t="shared" si="24"/>
        <v>0</v>
      </c>
    </row>
    <row r="577" spans="1:10" x14ac:dyDescent="0.25">
      <c r="A577" s="12" t="str">
        <f t="shared" si="22"/>
        <v>Residential_Appliances_ENERGY STAR Clothes Dryer_CEFeff</v>
      </c>
      <c r="B577" t="s">
        <v>162</v>
      </c>
      <c r="C577" t="s">
        <v>166</v>
      </c>
      <c r="D577" t="s">
        <v>544</v>
      </c>
      <c r="E577" s="180" t="s">
        <v>362</v>
      </c>
      <c r="F577" s="30">
        <v>3.48</v>
      </c>
      <c r="G577" s="12" t="s">
        <v>546</v>
      </c>
      <c r="H577" s="12" t="s">
        <v>358</v>
      </c>
      <c r="I577" s="12" t="s">
        <v>359</v>
      </c>
      <c r="J577" s="12" t="b">
        <f t="shared" si="24"/>
        <v>0</v>
      </c>
    </row>
    <row r="578" spans="1:10" x14ac:dyDescent="0.25">
      <c r="A578" s="12" t="str">
        <f t="shared" si="22"/>
        <v>Residential_Appliances_ENERGY STAR Clothes Dryer_Ncycles</v>
      </c>
      <c r="B578" t="s">
        <v>162</v>
      </c>
      <c r="C578" t="s">
        <v>166</v>
      </c>
      <c r="D578" t="s">
        <v>544</v>
      </c>
      <c r="E578" s="180" t="s">
        <v>364</v>
      </c>
      <c r="F578" s="219">
        <v>259</v>
      </c>
      <c r="G578" s="12" t="s">
        <v>344</v>
      </c>
      <c r="H578" s="12" t="s">
        <v>358</v>
      </c>
      <c r="I578" s="12" t="s">
        <v>359</v>
      </c>
      <c r="J578" s="12" t="b">
        <f t="shared" si="24"/>
        <v>0</v>
      </c>
    </row>
    <row r="579" spans="1:10" x14ac:dyDescent="0.25">
      <c r="A579" s="12" t="str">
        <f t="shared" si="22"/>
        <v>Residential_Appliances_ENERGY STAR Clothes Dryer_Therm_convert</v>
      </c>
      <c r="B579" t="s">
        <v>162</v>
      </c>
      <c r="C579" t="s">
        <v>166</v>
      </c>
      <c r="D579" t="s">
        <v>544</v>
      </c>
      <c r="E579" s="180" t="s">
        <v>372</v>
      </c>
      <c r="F579" s="30">
        <v>3.4119999999999998E-2</v>
      </c>
      <c r="H579" s="12" t="s">
        <v>358</v>
      </c>
      <c r="I579" s="12" t="s">
        <v>359</v>
      </c>
      <c r="J579" s="12" t="b">
        <f t="shared" si="24"/>
        <v>0</v>
      </c>
    </row>
    <row r="580" spans="1:10" x14ac:dyDescent="0.25">
      <c r="A580" s="12" t="str">
        <f t="shared" si="22"/>
        <v>Residential_Appliances_ENERGY STAR Clothes Dryer_%Gas</v>
      </c>
      <c r="B580" t="s">
        <v>162</v>
      </c>
      <c r="C580" t="s">
        <v>166</v>
      </c>
      <c r="D580" t="s">
        <v>544</v>
      </c>
      <c r="E580" s="180" t="s">
        <v>373</v>
      </c>
      <c r="F580" s="30">
        <v>0.84</v>
      </c>
      <c r="H580" s="12" t="s">
        <v>358</v>
      </c>
      <c r="I580" s="12" t="s">
        <v>359</v>
      </c>
      <c r="J580" s="12" t="b">
        <f t="shared" si="24"/>
        <v>0</v>
      </c>
    </row>
    <row r="581" spans="1:10" x14ac:dyDescent="0.25">
      <c r="A581" s="12" t="str">
        <f t="shared" si="22"/>
        <v>Residential_Appliances_ENERGY STAR Clothes Dryer_Delta_Therms</v>
      </c>
      <c r="B581" t="s">
        <v>162</v>
      </c>
      <c r="C581" t="s">
        <v>166</v>
      </c>
      <c r="D581" t="s">
        <v>544</v>
      </c>
      <c r="E581" s="181" t="s">
        <v>354</v>
      </c>
      <c r="F581" s="182">
        <f xml:space="preserve"> ( (F573 / F574 * F575) - F576 / F577 ) * F578 * F579 * F580</f>
        <v>4.7907345044303025</v>
      </c>
      <c r="H581" s="12" t="s">
        <v>358</v>
      </c>
      <c r="I581" s="12" t="s">
        <v>359</v>
      </c>
      <c r="J581" s="12" t="b">
        <f t="shared" si="24"/>
        <v>1</v>
      </c>
    </row>
    <row r="582" spans="1:10" x14ac:dyDescent="0.25">
      <c r="A582" s="12" t="str">
        <f t="shared" si="22"/>
        <v>Residential_Appliances_ENERGY STAR Clothes Dryer_BTU Impact_New_Fossil Fuel</v>
      </c>
      <c r="B582" t="s">
        <v>162</v>
      </c>
      <c r="C582" t="s">
        <v>166</v>
      </c>
      <c r="D582" t="s">
        <v>544</v>
      </c>
      <c r="E582" s="183" t="s">
        <v>290</v>
      </c>
      <c r="F582" s="186">
        <f>-F581*100000</f>
        <v>-479073.45044303022</v>
      </c>
      <c r="H582" s="12" t="s">
        <v>358</v>
      </c>
      <c r="I582" s="12" t="s">
        <v>359</v>
      </c>
      <c r="J582" s="12" t="b">
        <f t="shared" si="24"/>
        <v>1</v>
      </c>
    </row>
    <row r="583" spans="1:10" x14ac:dyDescent="0.25">
      <c r="A583" s="12" t="str">
        <f t="shared" si="22"/>
        <v>Residential_Appliances_ENERGY STAR Clothes Dryer_BTU Impact_New_Winter Electricity</v>
      </c>
      <c r="B583" t="s">
        <v>162</v>
      </c>
      <c r="C583" t="s">
        <v>166</v>
      </c>
      <c r="D583" t="s">
        <v>544</v>
      </c>
      <c r="E583" s="183" t="s">
        <v>291</v>
      </c>
      <c r="F583" s="186">
        <v>0</v>
      </c>
      <c r="H583" s="12" t="s">
        <v>358</v>
      </c>
      <c r="I583" s="12" t="s">
        <v>359</v>
      </c>
      <c r="J583" s="12" t="b">
        <f t="shared" si="24"/>
        <v>0</v>
      </c>
    </row>
    <row r="584" spans="1:10" x14ac:dyDescent="0.25">
      <c r="A584" s="12" t="str">
        <f t="shared" si="22"/>
        <v>Residential_Appliances_ENERGY STAR Clothes Dryer_BTU Impact_New_Summer Electricity</v>
      </c>
      <c r="B584" t="s">
        <v>162</v>
      </c>
      <c r="C584" t="s">
        <v>166</v>
      </c>
      <c r="D584" t="s">
        <v>544</v>
      </c>
      <c r="E584" s="183" t="s">
        <v>292</v>
      </c>
      <c r="F584" s="186">
        <v>0</v>
      </c>
      <c r="H584" s="12" t="s">
        <v>358</v>
      </c>
      <c r="I584" s="12" t="s">
        <v>359</v>
      </c>
      <c r="J584" s="12" t="b">
        <f t="shared" si="24"/>
        <v>0</v>
      </c>
    </row>
    <row r="585" spans="1:10" x14ac:dyDescent="0.25">
      <c r="A585" s="12" t="str">
        <f t="shared" si="22"/>
        <v>Residential_Appliances_ENERGY STAR Clothes Dryer_Incremental Cost</v>
      </c>
      <c r="B585" t="s">
        <v>162</v>
      </c>
      <c r="C585" t="s">
        <v>166</v>
      </c>
      <c r="D585" t="s">
        <v>544</v>
      </c>
      <c r="E585" s="111" t="s">
        <v>285</v>
      </c>
      <c r="F585" s="100">
        <f>IF(Dashboard_EE!$K$17="Yes",246,152)</f>
        <v>246</v>
      </c>
      <c r="G585" s="12" t="s">
        <v>377</v>
      </c>
      <c r="H585" s="12" t="s">
        <v>358</v>
      </c>
      <c r="I585" s="12" t="s">
        <v>359</v>
      </c>
      <c r="J585" s="12" t="b">
        <f t="shared" si="24"/>
        <v>1</v>
      </c>
    </row>
    <row r="586" spans="1:10" x14ac:dyDescent="0.25">
      <c r="A586" s="12" t="str">
        <f t="shared" si="22"/>
        <v>Residential_Appliances_ENERGY STAR Clothes Dryer_</v>
      </c>
      <c r="B586" t="s">
        <v>162</v>
      </c>
      <c r="C586" t="s">
        <v>166</v>
      </c>
      <c r="D586" t="s">
        <v>544</v>
      </c>
      <c r="H586" s="12" t="s">
        <v>358</v>
      </c>
      <c r="I586" s="12" t="s">
        <v>359</v>
      </c>
      <c r="J586" s="12" t="b">
        <f t="shared" si="24"/>
        <v>0</v>
      </c>
    </row>
  </sheetData>
  <autoFilter ref="A1:J586" xr:uid="{28DC8B96-8763-4BD5-9755-2F94298FFA8A}"/>
  <pageMargins left="0.7" right="0.7" top="0.75" bottom="0.75" header="0.3" footer="0.3"/>
  <pageSetup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65C77-816D-4CFF-80A6-F21617BB9B83}">
  <sheetPr>
    <tabColor rgb="FFFFC000"/>
  </sheetPr>
  <dimension ref="A1:G25"/>
  <sheetViews>
    <sheetView topLeftCell="A4" zoomScaleNormal="100" workbookViewId="0">
      <selection activeCell="A25" sqref="A25"/>
    </sheetView>
  </sheetViews>
  <sheetFormatPr defaultRowHeight="15" x14ac:dyDescent="0.25"/>
  <cols>
    <col min="1" max="7" width="31.5703125" customWidth="1"/>
  </cols>
  <sheetData>
    <row r="1" spans="1:7" x14ac:dyDescent="0.25">
      <c r="A1" s="1" t="s">
        <v>515</v>
      </c>
      <c r="B1" s="1" t="s">
        <v>148</v>
      </c>
      <c r="C1" s="1" t="s">
        <v>140</v>
      </c>
    </row>
    <row r="2" spans="1:7" x14ac:dyDescent="0.25">
      <c r="A2" t="s">
        <v>79</v>
      </c>
      <c r="B2" t="s">
        <v>126</v>
      </c>
      <c r="C2" t="s">
        <v>143</v>
      </c>
    </row>
    <row r="3" spans="1:7" x14ac:dyDescent="0.25">
      <c r="A3" t="s">
        <v>176</v>
      </c>
      <c r="B3" t="s">
        <v>108</v>
      </c>
      <c r="C3" t="s">
        <v>516</v>
      </c>
    </row>
    <row r="7" spans="1:7" x14ac:dyDescent="0.25">
      <c r="A7" s="1" t="s">
        <v>149</v>
      </c>
      <c r="B7" s="1" t="s">
        <v>501</v>
      </c>
      <c r="C7" s="1" t="s">
        <v>512</v>
      </c>
      <c r="D7" s="1" t="s">
        <v>164</v>
      </c>
      <c r="E7" s="1" t="s">
        <v>538</v>
      </c>
      <c r="F7" s="1" t="s">
        <v>544</v>
      </c>
      <c r="G7" s="1" t="s">
        <v>78</v>
      </c>
    </row>
    <row r="8" spans="1:7" x14ac:dyDescent="0.25">
      <c r="A8" t="s">
        <v>517</v>
      </c>
      <c r="B8" t="s">
        <v>501</v>
      </c>
      <c r="C8" t="s">
        <v>512</v>
      </c>
      <c r="D8" t="s">
        <v>164</v>
      </c>
      <c r="E8" t="s">
        <v>538</v>
      </c>
      <c r="F8" t="s">
        <v>544</v>
      </c>
      <c r="G8" t="s">
        <v>179</v>
      </c>
    </row>
    <row r="9" spans="1:7" x14ac:dyDescent="0.25">
      <c r="A9" t="s">
        <v>518</v>
      </c>
      <c r="B9" t="s">
        <v>164</v>
      </c>
      <c r="C9" t="s">
        <v>164</v>
      </c>
      <c r="D9" t="s">
        <v>164</v>
      </c>
      <c r="E9" t="s">
        <v>164</v>
      </c>
      <c r="F9" t="s">
        <v>164</v>
      </c>
      <c r="G9" t="s">
        <v>180</v>
      </c>
    </row>
    <row r="10" spans="1:7" x14ac:dyDescent="0.25">
      <c r="G10" t="s">
        <v>181</v>
      </c>
    </row>
    <row r="11" spans="1:7" x14ac:dyDescent="0.25">
      <c r="A11" t="s">
        <v>147</v>
      </c>
      <c r="B11" t="s">
        <v>54</v>
      </c>
      <c r="C11" t="s">
        <v>293</v>
      </c>
      <c r="D11" t="s">
        <v>164</v>
      </c>
      <c r="E11" t="s">
        <v>519</v>
      </c>
      <c r="F11" t="s">
        <v>520</v>
      </c>
      <c r="G11" t="s">
        <v>182</v>
      </c>
    </row>
    <row r="12" spans="1:7" x14ac:dyDescent="0.25">
      <c r="G12" t="s">
        <v>183</v>
      </c>
    </row>
    <row r="13" spans="1:7" x14ac:dyDescent="0.25">
      <c r="G13" t="s">
        <v>184</v>
      </c>
    </row>
    <row r="14" spans="1:7" x14ac:dyDescent="0.25">
      <c r="A14" s="1" t="s">
        <v>522</v>
      </c>
      <c r="B14" s="1" t="s">
        <v>523</v>
      </c>
      <c r="C14" s="1" t="s">
        <v>524</v>
      </c>
      <c r="D14" s="1" t="s">
        <v>525</v>
      </c>
      <c r="G14" t="s">
        <v>185</v>
      </c>
    </row>
    <row r="15" spans="1:7" x14ac:dyDescent="0.25">
      <c r="A15" t="s">
        <v>126</v>
      </c>
      <c r="B15" t="s">
        <v>526</v>
      </c>
      <c r="C15" s="53">
        <v>91452</v>
      </c>
      <c r="D15" s="98">
        <f>138.63/10^6</f>
        <v>1.3862999999999999E-4</v>
      </c>
      <c r="G15" t="s">
        <v>186</v>
      </c>
    </row>
    <row r="16" spans="1:7" x14ac:dyDescent="0.25">
      <c r="A16" t="s">
        <v>108</v>
      </c>
      <c r="B16" t="s">
        <v>527</v>
      </c>
      <c r="C16" s="53">
        <v>1000000</v>
      </c>
      <c r="D16" s="98">
        <f>116.65/10^6</f>
        <v>1.1665E-4</v>
      </c>
      <c r="G16" t="s">
        <v>164</v>
      </c>
    </row>
    <row r="17" spans="1:4" x14ac:dyDescent="0.25">
      <c r="A17" t="s">
        <v>129</v>
      </c>
      <c r="B17" t="s">
        <v>526</v>
      </c>
      <c r="C17" s="53">
        <v>138500</v>
      </c>
      <c r="D17" s="98">
        <f>163.45/10^6</f>
        <v>1.6344999999999999E-4</v>
      </c>
    </row>
    <row r="18" spans="1:4" x14ac:dyDescent="0.25">
      <c r="A18" t="s">
        <v>161</v>
      </c>
      <c r="B18" t="s">
        <v>528</v>
      </c>
      <c r="C18" s="53">
        <v>3412</v>
      </c>
      <c r="D18" s="98">
        <v>4.1970915951283159E-4</v>
      </c>
    </row>
    <row r="21" spans="1:4" x14ac:dyDescent="0.25">
      <c r="A21" s="1" t="s">
        <v>529</v>
      </c>
      <c r="B21" s="1" t="s">
        <v>530</v>
      </c>
    </row>
    <row r="22" spans="1:4" x14ac:dyDescent="0.25">
      <c r="A22" t="s">
        <v>90</v>
      </c>
      <c r="B22" t="s">
        <v>95</v>
      </c>
    </row>
    <row r="25" spans="1:4" x14ac:dyDescent="0.25">
      <c r="A25" s="1" t="s">
        <v>529</v>
      </c>
    </row>
  </sheetData>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B7CBE97E93744C8427EF9BAD615668" ma:contentTypeVersion="6" ma:contentTypeDescription="Create a new document." ma:contentTypeScope="" ma:versionID="cd36d245d1688aa4e0d469f2094ac0a6">
  <xsd:schema xmlns:xsd="http://www.w3.org/2001/XMLSchema" xmlns:xs="http://www.w3.org/2001/XMLSchema" xmlns:p="http://schemas.microsoft.com/office/2006/metadata/properties" xmlns:ns2="c22e2786-1872-4eef-8c51-cde95201388d" xmlns:ns3="2567cf4b-5aac-46a9-80b0-6f1cf899f73f" targetNamespace="http://schemas.microsoft.com/office/2006/metadata/properties" ma:root="true" ma:fieldsID="361da999e0069b72674ee4ded9cbc092" ns2:_="" ns3:_="">
    <xsd:import namespace="c22e2786-1872-4eef-8c51-cde95201388d"/>
    <xsd:import namespace="2567cf4b-5aac-46a9-80b0-6f1cf899f7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e2786-1872-4eef-8c51-cde952013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67cf4b-5aac-46a9-80b0-6f1cf899f7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E8EB75-BD7B-48B2-9EC9-8888B3244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e2786-1872-4eef-8c51-cde95201388d"/>
    <ds:schemaRef ds:uri="2567cf4b-5aac-46a9-80b0-6f1cf899f7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608BCF-B68D-4D92-9384-DC24364817C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3104439-EB4E-402D-A5D7-68247EBCC9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Project Details</vt:lpstr>
      <vt:lpstr>Dashboard_FS</vt:lpstr>
      <vt:lpstr>Dashboard_EE</vt:lpstr>
      <vt:lpstr>Form Lookups</vt:lpstr>
      <vt:lpstr>Heating and Cooling Zip Codes</vt:lpstr>
      <vt:lpstr>Algorithms_FS</vt:lpstr>
      <vt:lpstr>Backup_FS</vt:lpstr>
      <vt:lpstr>Algorithms_EE</vt:lpstr>
      <vt:lpstr>Backup_EE</vt:lpstr>
      <vt:lpstr>CZ Inputs</vt:lpstr>
      <vt:lpstr>Rates -&gt;</vt:lpstr>
      <vt:lpstr>Electric Rates</vt:lpstr>
      <vt:lpstr>Gas Rates</vt:lpstr>
      <vt:lpstr>Rate Sheet Input</vt:lpstr>
      <vt:lpstr>'Project Details'!Print_Area</vt:lpstr>
      <vt:lpstr>'Electric Rates'!Print_Titles</vt:lpstr>
      <vt:lpstr>'Rate Sheet Input'!RatesForCAD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Froio, Zach</dc:creator>
  <cp:keywords/>
  <dc:description/>
  <cp:lastModifiedBy>Blum, Tucker</cp:lastModifiedBy>
  <cp:revision/>
  <dcterms:created xsi:type="dcterms:W3CDTF">2022-02-16T14:33:11Z</dcterms:created>
  <dcterms:modified xsi:type="dcterms:W3CDTF">2025-03-18T16:00:45Z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a81f-7ed4-4faa-9408-9652e001dd96_Enabled">
    <vt:lpwstr>true</vt:lpwstr>
  </property>
  <property fmtid="{D5CDD505-2E9C-101B-9397-08002B2CF9AE}" pid="3" name="MSIP_Label_c968a81f-7ed4-4faa-9408-9652e001dd96_SetDate">
    <vt:lpwstr>2023-03-31T13:50:45Z</vt:lpwstr>
  </property>
  <property fmtid="{D5CDD505-2E9C-101B-9397-08002B2CF9AE}" pid="4" name="MSIP_Label_c968a81f-7ed4-4faa-9408-9652e001dd96_Method">
    <vt:lpwstr>Privileged</vt:lpwstr>
  </property>
  <property fmtid="{D5CDD505-2E9C-101B-9397-08002B2CF9AE}" pid="5" name="MSIP_Label_c968a81f-7ed4-4faa-9408-9652e001dd96_Name">
    <vt:lpwstr>Unrestricted</vt:lpwstr>
  </property>
  <property fmtid="{D5CDD505-2E9C-101B-9397-08002B2CF9AE}" pid="6" name="MSIP_Label_c968a81f-7ed4-4faa-9408-9652e001dd96_SiteId">
    <vt:lpwstr>b64da4ac-e800-4cfc-8931-e607f720a1b8</vt:lpwstr>
  </property>
  <property fmtid="{D5CDD505-2E9C-101B-9397-08002B2CF9AE}" pid="7" name="MSIP_Label_c968a81f-7ed4-4faa-9408-9652e001dd96_ActionId">
    <vt:lpwstr>e5ff0a0b-e0f7-49cd-85d1-992ab420c33b</vt:lpwstr>
  </property>
  <property fmtid="{D5CDD505-2E9C-101B-9397-08002B2CF9AE}" pid="8" name="MSIP_Label_c968a81f-7ed4-4faa-9408-9652e001dd96_ContentBits">
    <vt:lpwstr>0</vt:lpwstr>
  </property>
  <property fmtid="{D5CDD505-2E9C-101B-9397-08002B2CF9AE}" pid="9" name="ContentTypeId">
    <vt:lpwstr>0x010100ADB7CBE97E93744C8427EF9BAD615668</vt:lpwstr>
  </property>
</Properties>
</file>